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C:\Users\admin\Desktop\重庆潼南土地\"/>
    </mc:Choice>
  </mc:AlternateContent>
  <xr:revisionPtr revIDLastSave="0" documentId="13_ncr:1_{A589E0DE-1E37-4591-8804-764923360E91}" xr6:coauthVersionLast="45" xr6:coauthVersionMax="45" xr10:uidLastSave="{00000000-0000-0000-0000-000000000000}"/>
  <bookViews>
    <workbookView xWindow="-108" yWindow="-108" windowWidth="23256" windowHeight="12576" tabRatio="875" firstSheet="8" activeTab="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土地案例" sheetId="69" r:id="rId29"/>
    <sheet name="收益还原法" sheetId="44" state="hidden" r:id="rId30"/>
    <sheet name="剩余法-待开发" sheetId="12"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Sheet5" sheetId="72" r:id="rId38"/>
    <sheet name="Sheet6" sheetId="73"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0"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8" i="68" l="1"/>
  <c r="M17" i="68"/>
  <c r="M19" i="68" s="1"/>
  <c r="U9" i="1" s="1"/>
  <c r="D10" i="12"/>
  <c r="E10" i="12"/>
  <c r="C10" i="12"/>
  <c r="Y9" i="1"/>
  <c r="Y8" i="1"/>
  <c r="Y7" i="1"/>
  <c r="Q8" i="1"/>
  <c r="Q7" i="1"/>
  <c r="N9" i="1"/>
  <c r="N8" i="1"/>
  <c r="N7" i="1"/>
  <c r="L8" i="1"/>
  <c r="J9" i="1"/>
  <c r="J8" i="1"/>
  <c r="J7" i="1"/>
  <c r="I8" i="1"/>
  <c r="I7" i="1"/>
  <c r="H8" i="1"/>
  <c r="H7" i="1"/>
  <c r="F22" i="6"/>
  <c r="F21" i="6"/>
  <c r="F20" i="6"/>
  <c r="C22" i="6"/>
  <c r="C21" i="6"/>
  <c r="C20" i="6"/>
  <c r="K16" i="3"/>
  <c r="I15" i="3"/>
  <c r="I14" i="3"/>
  <c r="I13" i="3"/>
  <c r="K9" i="68"/>
  <c r="S8" i="68"/>
  <c r="E7" i="39"/>
  <c r="E9" i="39"/>
  <c r="E40" i="39"/>
  <c r="E48" i="39"/>
  <c r="I48" i="39"/>
  <c r="G48" i="39"/>
  <c r="I40" i="39"/>
  <c r="G40" i="39"/>
  <c r="C12" i="39"/>
  <c r="I9" i="39"/>
  <c r="G9" i="39"/>
  <c r="I7" i="39"/>
  <c r="G7" i="39"/>
  <c r="C19" i="6" l="1"/>
  <c r="A3" i="3"/>
  <c r="C40" i="39" s="1"/>
  <c r="B7" i="4"/>
  <c r="C11" i="4" s="1"/>
  <c r="D3" i="4"/>
  <c r="C20" i="68"/>
  <c r="F19" i="6" l="1"/>
  <c r="AH5" i="59"/>
  <c r="AG5" i="59"/>
  <c r="AE5" i="59"/>
  <c r="AF5" i="59" s="1"/>
  <c r="AD5" i="59"/>
  <c r="Q5" i="59"/>
  <c r="Q6" i="59"/>
  <c r="P5" i="59"/>
  <c r="P6" i="59"/>
  <c r="O5" i="59"/>
  <c r="O6" i="59"/>
  <c r="N5" i="59"/>
  <c r="N6" i="59"/>
  <c r="AH6" i="59"/>
  <c r="AG6" i="59"/>
  <c r="AE6" i="59"/>
  <c r="AF6" i="59" s="1"/>
  <c r="AD6" i="59"/>
  <c r="Q7" i="59"/>
  <c r="Q8" i="59"/>
  <c r="P7" i="59"/>
  <c r="P8" i="59"/>
  <c r="O7" i="59"/>
  <c r="O8" i="59"/>
  <c r="N7" i="59"/>
  <c r="N8" i="59"/>
  <c r="AH7" i="59"/>
  <c r="AG7" i="59"/>
  <c r="AE7" i="59"/>
  <c r="AF7" i="59"/>
  <c r="AD7" i="59"/>
  <c r="F25" i="12"/>
  <c r="AH8" i="59"/>
  <c r="AG8" i="59"/>
  <c r="AE8" i="59"/>
  <c r="AF8" i="59" s="1"/>
  <c r="AD8" i="59"/>
  <c r="M15" i="49"/>
  <c r="L15" i="49"/>
  <c r="K15" i="49"/>
  <c r="J15" i="49"/>
  <c r="I15" i="49"/>
  <c r="H15" i="49"/>
  <c r="G15" i="49"/>
  <c r="F15" i="49"/>
  <c r="E15" i="49"/>
  <c r="D15" i="49"/>
  <c r="C15" i="49"/>
  <c r="B15" i="49"/>
  <c r="AH9" i="59"/>
  <c r="AG9" i="59"/>
  <c r="AE9" i="59"/>
  <c r="AF9" i="59" s="1"/>
  <c r="AD9" i="59"/>
  <c r="Q9" i="59"/>
  <c r="P9" i="59"/>
  <c r="O9" i="59"/>
  <c r="N9" i="59"/>
  <c r="L3" i="59"/>
  <c r="AH3" i="59"/>
  <c r="K3" i="59"/>
  <c r="J3" i="59"/>
  <c r="AE3" i="59"/>
  <c r="AF3" i="59"/>
  <c r="I3" i="59"/>
  <c r="AH10" i="59"/>
  <c r="AG10" i="59"/>
  <c r="AE10" i="59"/>
  <c r="AF10" i="59" s="1"/>
  <c r="AD10" i="59"/>
  <c r="Q10" i="59"/>
  <c r="Q11" i="59"/>
  <c r="P10" i="59"/>
  <c r="P11" i="59"/>
  <c r="O10" i="59"/>
  <c r="O11" i="59"/>
  <c r="N10" i="59"/>
  <c r="N11" i="59"/>
  <c r="AH11" i="59"/>
  <c r="AG11" i="59"/>
  <c r="AE11" i="59"/>
  <c r="AF11" i="59"/>
  <c r="AD11" i="59"/>
  <c r="Q12" i="59"/>
  <c r="P12" i="59"/>
  <c r="O12" i="59"/>
  <c r="N12" i="59"/>
  <c r="M19" i="46"/>
  <c r="J50" i="15"/>
  <c r="J51" i="15" s="1"/>
  <c r="D14" i="59"/>
  <c r="AH12" i="59"/>
  <c r="AG12" i="59"/>
  <c r="AE12" i="59"/>
  <c r="AF12" i="59" s="1"/>
  <c r="AD12" i="59"/>
  <c r="AE13" i="59"/>
  <c r="AF13" i="59" s="1"/>
  <c r="AG13" i="59"/>
  <c r="AH13" i="59"/>
  <c r="AD13" i="59"/>
  <c r="Q13" i="59"/>
  <c r="P13" i="59"/>
  <c r="E13" i="59" s="1"/>
  <c r="O13" i="59"/>
  <c r="N13" i="59"/>
  <c r="N14" i="59"/>
  <c r="Q14" i="59"/>
  <c r="P14" i="59"/>
  <c r="O14" i="59"/>
  <c r="K59" i="15"/>
  <c r="Q74" i="44"/>
  <c r="Q61" i="44"/>
  <c r="Q60" i="44"/>
  <c r="Q53" i="44"/>
  <c r="J51" i="44"/>
  <c r="J52" i="44" s="1"/>
  <c r="M48" i="44"/>
  <c r="A16" i="55"/>
  <c r="B67" i="63" s="1"/>
  <c r="A15" i="55"/>
  <c r="B66" i="63" s="1"/>
  <c r="A10" i="55"/>
  <c r="B61" i="63"/>
  <c r="A9" i="55"/>
  <c r="B60" i="63" s="1"/>
  <c r="A8" i="55"/>
  <c r="A6" i="54"/>
  <c r="B49" i="63" s="1"/>
  <c r="A8" i="54"/>
  <c r="B53" i="63" s="1"/>
  <c r="A7" i="54"/>
  <c r="B51" i="63" s="1"/>
  <c r="A27" i="51"/>
  <c r="B20" i="63" s="1"/>
  <c r="Q15" i="59"/>
  <c r="O15" i="59"/>
  <c r="N16" i="59"/>
  <c r="O16" i="59"/>
  <c r="P16" i="59"/>
  <c r="Q16" i="59"/>
  <c r="N15" i="59"/>
  <c r="P15" i="59"/>
  <c r="D17" i="59"/>
  <c r="E17" i="59"/>
  <c r="U17" i="59" s="1"/>
  <c r="K75" i="9"/>
  <c r="K6" i="4"/>
  <c r="O76" i="9" s="1"/>
  <c r="B22" i="31"/>
  <c r="E15" i="66"/>
  <c r="F15" i="66"/>
  <c r="E16" i="66"/>
  <c r="F16" i="66"/>
  <c r="E17" i="66"/>
  <c r="F17" i="66"/>
  <c r="E18" i="66"/>
  <c r="F18" i="66"/>
  <c r="E19" i="66"/>
  <c r="F19" i="66"/>
  <c r="E20" i="66"/>
  <c r="F20" i="66"/>
  <c r="E21" i="66"/>
  <c r="F21" i="66"/>
  <c r="E22" i="66"/>
  <c r="F22" i="66"/>
  <c r="E23" i="66"/>
  <c r="F23" i="66"/>
  <c r="B3" i="66"/>
  <c r="E16" i="59"/>
  <c r="E15" i="59" s="1"/>
  <c r="AD3" i="59"/>
  <c r="AG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c r="AG26" i="59"/>
  <c r="AH26" i="59"/>
  <c r="AD27" i="59"/>
  <c r="AE27" i="59"/>
  <c r="AF27" i="59" s="1"/>
  <c r="AG27" i="59"/>
  <c r="AH27" i="59"/>
  <c r="AH28" i="59"/>
  <c r="AG28" i="59"/>
  <c r="AE28" i="59"/>
  <c r="AF28" i="59"/>
  <c r="AD28" i="59"/>
  <c r="AD29" i="59"/>
  <c r="AE29" i="59"/>
  <c r="AF29" i="59" s="1"/>
  <c r="AG29" i="59"/>
  <c r="AH29" i="59"/>
  <c r="X21" i="59"/>
  <c r="Y24" i="59"/>
  <c r="Z24" i="59" s="1"/>
  <c r="Y26" i="59"/>
  <c r="Z26" i="59" s="1"/>
  <c r="AA27" i="59"/>
  <c r="Y27" i="59"/>
  <c r="Z27" i="59" s="1"/>
  <c r="S2" i="31"/>
  <c r="M2" i="31"/>
  <c r="N2" i="31"/>
  <c r="O2" i="31"/>
  <c r="P2" i="31"/>
  <c r="Q2" i="31"/>
  <c r="R2" i="31"/>
  <c r="C13" i="59"/>
  <c r="C12" i="59" s="1"/>
  <c r="C3" i="65"/>
  <c r="C1" i="65"/>
  <c r="N1" i="65" s="1"/>
  <c r="T13" i="59"/>
  <c r="D13" i="59"/>
  <c r="B76" i="63"/>
  <c r="M5" i="54"/>
  <c r="B41" i="63" s="1"/>
  <c r="A23" i="51"/>
  <c r="Y12" i="46"/>
  <c r="AA9" i="46"/>
  <c r="AB9" i="46"/>
  <c r="AB10" i="46"/>
  <c r="AC9" i="46"/>
  <c r="AC10" i="46" s="1"/>
  <c r="AD9" i="46"/>
  <c r="AD10" i="46"/>
  <c r="AE9" i="46"/>
  <c r="AF9" i="46"/>
  <c r="AF10" i="46" s="1"/>
  <c r="AG9" i="46"/>
  <c r="AH9" i="46"/>
  <c r="AH10" i="46" s="1"/>
  <c r="AI9" i="46"/>
  <c r="AJ9" i="46"/>
  <c r="AJ10" i="46" s="1"/>
  <c r="Z9" i="46"/>
  <c r="Z10" i="46"/>
  <c r="AI10" i="46"/>
  <c r="AG10" i="46"/>
  <c r="AE10" i="46"/>
  <c r="AA10" i="46"/>
  <c r="Y10" i="46"/>
  <c r="Z12" i="46"/>
  <c r="AI12" i="46"/>
  <c r="AG12" i="46"/>
  <c r="AE12" i="46"/>
  <c r="AC12" i="46"/>
  <c r="AA12" i="46"/>
  <c r="B75" i="63"/>
  <c r="B73" i="63"/>
  <c r="A21" i="64"/>
  <c r="A27" i="64"/>
  <c r="A15" i="64"/>
  <c r="A14" i="64"/>
  <c r="A11" i="64"/>
  <c r="A3" i="64"/>
  <c r="A45" i="9"/>
  <c r="C45" i="9" s="1"/>
  <c r="O40" i="9" s="1"/>
  <c r="A44" i="9"/>
  <c r="C57" i="10"/>
  <c r="A28" i="64" s="1"/>
  <c r="C56" i="10"/>
  <c r="C55" i="10"/>
  <c r="C54" i="10"/>
  <c r="B44" i="63"/>
  <c r="B40" i="63"/>
  <c r="B30" i="63"/>
  <c r="B27" i="63"/>
  <c r="B25" i="63"/>
  <c r="A11" i="51"/>
  <c r="B10" i="63" s="1"/>
  <c r="A26" i="64"/>
  <c r="A26" i="51"/>
  <c r="B19" i="63" s="1"/>
  <c r="K39"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c r="E5" i="54"/>
  <c r="B32" i="63"/>
  <c r="R2" i="54"/>
  <c r="B24" i="63"/>
  <c r="B49" i="50"/>
  <c r="B5" i="63" s="1"/>
  <c r="B40" i="50"/>
  <c r="B3" i="63"/>
  <c r="I19" i="46"/>
  <c r="Q17" i="59"/>
  <c r="F17" i="59" s="1"/>
  <c r="V17" i="59" s="1"/>
  <c r="P17" i="59"/>
  <c r="O17" i="59"/>
  <c r="C17" i="59" s="1"/>
  <c r="C16" i="59" s="1"/>
  <c r="N17" i="59"/>
  <c r="D78" i="59"/>
  <c r="F77" i="59"/>
  <c r="E77" i="59"/>
  <c r="E76" i="59" s="1"/>
  <c r="E75" i="59" s="1"/>
  <c r="C77" i="59"/>
  <c r="D77" i="59"/>
  <c r="B77" i="59"/>
  <c r="B76" i="59" s="1"/>
  <c r="B75" i="59" s="1"/>
  <c r="F76" i="59"/>
  <c r="F75" i="59" s="1"/>
  <c r="D74" i="59"/>
  <c r="F73" i="59"/>
  <c r="E73" i="59"/>
  <c r="E72" i="59"/>
  <c r="E71" i="59"/>
  <c r="C73" i="59"/>
  <c r="D73" i="59"/>
  <c r="B73" i="59"/>
  <c r="F72" i="59"/>
  <c r="F71" i="59" s="1"/>
  <c r="B72" i="59"/>
  <c r="B71" i="59"/>
  <c r="D70" i="59"/>
  <c r="Q69" i="59"/>
  <c r="P69" i="59"/>
  <c r="O69" i="59"/>
  <c r="N69" i="59"/>
  <c r="F69" i="59"/>
  <c r="V69" i="59"/>
  <c r="E69" i="59"/>
  <c r="E68" i="59" s="1"/>
  <c r="E67" i="59" s="1"/>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s="1"/>
  <c r="E65" i="59"/>
  <c r="U65" i="59" s="1"/>
  <c r="C65" i="59"/>
  <c r="T65" i="59"/>
  <c r="B65" i="59"/>
  <c r="S65" i="59" s="1"/>
  <c r="Q64" i="59"/>
  <c r="P64" i="59"/>
  <c r="O64" i="59"/>
  <c r="N64" i="59"/>
  <c r="Q63" i="59"/>
  <c r="P63" i="59"/>
  <c r="O63" i="59"/>
  <c r="N63" i="59"/>
  <c r="Q62" i="59"/>
  <c r="P62" i="59"/>
  <c r="O62" i="59"/>
  <c r="N62" i="59"/>
  <c r="D62" i="59"/>
  <c r="Q61" i="59"/>
  <c r="P61" i="59"/>
  <c r="O61" i="59"/>
  <c r="N61" i="59"/>
  <c r="F61" i="59"/>
  <c r="F60" i="59" s="1"/>
  <c r="F59" i="59" s="1"/>
  <c r="E61" i="59"/>
  <c r="U61" i="59"/>
  <c r="C61" i="59"/>
  <c r="T61" i="59"/>
  <c r="B61" i="59"/>
  <c r="S61" i="59"/>
  <c r="Q60" i="59"/>
  <c r="P60" i="59"/>
  <c r="O60" i="59"/>
  <c r="N60" i="59"/>
  <c r="B60" i="59"/>
  <c r="B59" i="59"/>
  <c r="Q59" i="59"/>
  <c r="P59" i="59"/>
  <c r="O59" i="59"/>
  <c r="N59" i="59"/>
  <c r="Q58" i="59"/>
  <c r="P58" i="59"/>
  <c r="O58" i="59"/>
  <c r="N58" i="59"/>
  <c r="D58" i="59"/>
  <c r="F57" i="59"/>
  <c r="E57" i="59"/>
  <c r="P57" i="59" s="1"/>
  <c r="C57" i="59"/>
  <c r="B57" i="59"/>
  <c r="B56" i="59" s="1"/>
  <c r="N57" i="59"/>
  <c r="F56" i="59"/>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C52" i="59" s="1"/>
  <c r="D52" i="59" s="1"/>
  <c r="N50" i="59"/>
  <c r="B51" i="59"/>
  <c r="B52" i="59" s="1"/>
  <c r="B53" i="59" s="1"/>
  <c r="S53" i="59"/>
  <c r="D50" i="59"/>
  <c r="Q49" i="59"/>
  <c r="P49" i="59"/>
  <c r="O49" i="59"/>
  <c r="N49" i="59"/>
  <c r="Q48" i="59"/>
  <c r="P48" i="59"/>
  <c r="O48" i="59"/>
  <c r="C49" i="59" s="1"/>
  <c r="D49" i="59" s="1"/>
  <c r="N48" i="59"/>
  <c r="Q47" i="59"/>
  <c r="P47" i="59"/>
  <c r="O47" i="59"/>
  <c r="N47" i="59"/>
  <c r="Q46" i="59"/>
  <c r="F47" i="59"/>
  <c r="P46" i="59"/>
  <c r="E47" i="59"/>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P42" i="59"/>
  <c r="E43" i="59" s="1"/>
  <c r="E44" i="59" s="1"/>
  <c r="E45" i="59" s="1"/>
  <c r="U45" i="59" s="1"/>
  <c r="O42" i="59"/>
  <c r="C43" i="59" s="1"/>
  <c r="N42" i="59"/>
  <c r="B43" i="59"/>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C40" i="59" s="1"/>
  <c r="N38" i="59"/>
  <c r="B39" i="59" s="1"/>
  <c r="B40" i="59" s="1"/>
  <c r="B41" i="59" s="1"/>
  <c r="D38" i="59"/>
  <c r="T37" i="59"/>
  <c r="Q37" i="59"/>
  <c r="P37" i="59"/>
  <c r="O37" i="59"/>
  <c r="N37" i="59"/>
  <c r="D37" i="59"/>
  <c r="Q36" i="59"/>
  <c r="P36" i="59"/>
  <c r="O36" i="59"/>
  <c r="N36" i="59"/>
  <c r="Q35" i="59"/>
  <c r="P35" i="59"/>
  <c r="O35" i="59"/>
  <c r="N35" i="59"/>
  <c r="Q34" i="59"/>
  <c r="F35" i="59"/>
  <c r="P34" i="59"/>
  <c r="E35" i="59" s="1"/>
  <c r="E36" i="59" s="1"/>
  <c r="E37" i="59" s="1"/>
  <c r="U37" i="59" s="1"/>
  <c r="O34" i="59"/>
  <c r="C35" i="59" s="1"/>
  <c r="N34" i="59"/>
  <c r="B35" i="59"/>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c r="B32" i="59" s="1"/>
  <c r="B33" i="59" s="1"/>
  <c r="S33" i="59" s="1"/>
  <c r="D30" i="59"/>
  <c r="Q29" i="59"/>
  <c r="P29" i="59"/>
  <c r="O29" i="59"/>
  <c r="N29" i="59"/>
  <c r="Q28" i="59"/>
  <c r="AB28" i="59" s="1"/>
  <c r="P28" i="59"/>
  <c r="O28" i="59"/>
  <c r="Y28" i="59"/>
  <c r="Z28" i="59" s="1"/>
  <c r="N28" i="59"/>
  <c r="X28" i="59"/>
  <c r="Q27" i="59"/>
  <c r="AB27" i="59" s="1"/>
  <c r="P27" i="59"/>
  <c r="O27" i="59"/>
  <c r="N27" i="59"/>
  <c r="X27" i="59" s="1"/>
  <c r="Q26" i="59"/>
  <c r="AB26" i="59" s="1"/>
  <c r="F27" i="59"/>
  <c r="F28" i="59" s="1"/>
  <c r="F29" i="59" s="1"/>
  <c r="V29" i="59" s="1"/>
  <c r="P26" i="59"/>
  <c r="AA26" i="59" s="1"/>
  <c r="E27" i="59"/>
  <c r="E28" i="59" s="1"/>
  <c r="E29" i="59" s="1"/>
  <c r="U29" i="59" s="1"/>
  <c r="O26" i="59"/>
  <c r="C27" i="59"/>
  <c r="D27" i="59" s="1"/>
  <c r="N26" i="59"/>
  <c r="D26" i="59"/>
  <c r="Q25" i="59"/>
  <c r="P25" i="59"/>
  <c r="AA24" i="59" s="1"/>
  <c r="O25" i="59"/>
  <c r="Y25" i="59" s="1"/>
  <c r="Z25" i="59" s="1"/>
  <c r="N25" i="59"/>
  <c r="X25" i="59" s="1"/>
  <c r="Q24" i="59"/>
  <c r="AB24" i="59" s="1"/>
  <c r="P24" i="59"/>
  <c r="O24" i="59"/>
  <c r="N24" i="59"/>
  <c r="Q23" i="59"/>
  <c r="AB23" i="59" s="1"/>
  <c r="P23" i="59"/>
  <c r="AA23" i="59" s="1"/>
  <c r="O23" i="59"/>
  <c r="Y23" i="59" s="1"/>
  <c r="Z23" i="59" s="1"/>
  <c r="N23" i="59"/>
  <c r="Q22" i="59"/>
  <c r="AB22" i="59" s="1"/>
  <c r="P22" i="59"/>
  <c r="E23" i="59" s="1"/>
  <c r="E24" i="59" s="1"/>
  <c r="E25" i="59" s="1"/>
  <c r="U25" i="59" s="1"/>
  <c r="O22" i="59"/>
  <c r="C23" i="59"/>
  <c r="N22" i="59"/>
  <c r="B23" i="59" s="1"/>
  <c r="B24" i="59" s="1"/>
  <c r="B25" i="59" s="1"/>
  <c r="S25" i="59"/>
  <c r="D22" i="59"/>
  <c r="Q21" i="59"/>
  <c r="AB21" i="59" s="1"/>
  <c r="P21" i="59"/>
  <c r="AA21" i="59" s="1"/>
  <c r="O21" i="59"/>
  <c r="Y21" i="59" s="1"/>
  <c r="Z21" i="59" s="1"/>
  <c r="N21" i="59"/>
  <c r="Q20" i="59"/>
  <c r="P20" i="59"/>
  <c r="AA20" i="59" s="1"/>
  <c r="O20" i="59"/>
  <c r="N20" i="59"/>
  <c r="X20" i="59" s="1"/>
  <c r="Q19" i="59"/>
  <c r="P19" i="59"/>
  <c r="AA19" i="59" s="1"/>
  <c r="O19" i="59"/>
  <c r="N19" i="59"/>
  <c r="Q18" i="59"/>
  <c r="AB18" i="59" s="1"/>
  <c r="F19" i="59"/>
  <c r="P18" i="59"/>
  <c r="O18" i="59"/>
  <c r="Y14" i="59" s="1"/>
  <c r="Z14" i="59" s="1"/>
  <c r="N18" i="59"/>
  <c r="D18" i="59"/>
  <c r="S41" i="59"/>
  <c r="S57" i="59"/>
  <c r="AA28" i="59"/>
  <c r="F20" i="59"/>
  <c r="F21" i="59"/>
  <c r="V21" i="59" s="1"/>
  <c r="F32" i="59"/>
  <c r="F33" i="59"/>
  <c r="V33" i="59" s="1"/>
  <c r="F36" i="59"/>
  <c r="F37" i="59" s="1"/>
  <c r="V37" i="59" s="1"/>
  <c r="V45" i="59"/>
  <c r="F48" i="59"/>
  <c r="F49" i="59" s="1"/>
  <c r="V49" i="59" s="1"/>
  <c r="C28" i="59"/>
  <c r="C48" i="59"/>
  <c r="D47" i="59"/>
  <c r="D23" i="59"/>
  <c r="T57" i="59"/>
  <c r="O57" i="59"/>
  <c r="D57" i="59"/>
  <c r="C56" i="59"/>
  <c r="U57" i="59"/>
  <c r="C60" i="59"/>
  <c r="E60" i="59"/>
  <c r="E59" i="59"/>
  <c r="D61" i="59"/>
  <c r="C64" i="59"/>
  <c r="E64" i="59"/>
  <c r="E63" i="59"/>
  <c r="D65" i="59"/>
  <c r="C68" i="59"/>
  <c r="D69" i="59"/>
  <c r="C72" i="59"/>
  <c r="D72" i="59" s="1"/>
  <c r="C76" i="59"/>
  <c r="U16" i="4"/>
  <c r="S16" i="4"/>
  <c r="Q16" i="4"/>
  <c r="O16" i="4"/>
  <c r="M16" i="4"/>
  <c r="N16" i="4" s="1"/>
  <c r="K16" i="4"/>
  <c r="D76" i="59"/>
  <c r="C75" i="59"/>
  <c r="D75" i="59"/>
  <c r="D68" i="59"/>
  <c r="C67" i="59"/>
  <c r="D67" i="59"/>
  <c r="D60" i="59"/>
  <c r="C59" i="59"/>
  <c r="D59" i="59"/>
  <c r="C71" i="59"/>
  <c r="D71" i="59" s="1"/>
  <c r="C53" i="59"/>
  <c r="D48" i="59"/>
  <c r="T49" i="59"/>
  <c r="O27" i="6"/>
  <c r="N27" i="6"/>
  <c r="P26" i="6"/>
  <c r="L26" i="6"/>
  <c r="P25" i="6"/>
  <c r="L25" i="6"/>
  <c r="P24" i="6"/>
  <c r="L24" i="6"/>
  <c r="P23" i="6"/>
  <c r="L23" i="6"/>
  <c r="P22" i="6"/>
  <c r="L22" i="6"/>
  <c r="P21" i="6"/>
  <c r="L21" i="6"/>
  <c r="P20" i="6"/>
  <c r="P19" i="6"/>
  <c r="Z18" i="36"/>
  <c r="Q18" i="36"/>
  <c r="C18" i="36"/>
  <c r="D66" i="36"/>
  <c r="E66" i="36" s="1"/>
  <c r="F18" i="36"/>
  <c r="AA18" i="36" s="1"/>
  <c r="Z18" i="35"/>
  <c r="Q18" i="35"/>
  <c r="F18" i="35"/>
  <c r="S18" i="35" s="1"/>
  <c r="C18" i="35"/>
  <c r="D68" i="35"/>
  <c r="E68" i="35" s="1"/>
  <c r="F68" i="35" s="1"/>
  <c r="G68" i="35" s="1"/>
  <c r="Q21" i="37"/>
  <c r="Z21" i="37" s="1"/>
  <c r="F21" i="37"/>
  <c r="AA21" i="37" s="1"/>
  <c r="C21" i="37"/>
  <c r="E77" i="37"/>
  <c r="F77" i="37" s="1"/>
  <c r="G77" i="37" s="1"/>
  <c r="D77" i="37"/>
  <c r="Z21" i="34"/>
  <c r="Q21" i="34"/>
  <c r="C21" i="34"/>
  <c r="D84" i="34"/>
  <c r="F21" i="34"/>
  <c r="Z21" i="33"/>
  <c r="Q21" i="33"/>
  <c r="C21" i="33"/>
  <c r="D83" i="33"/>
  <c r="E83" i="33" s="1"/>
  <c r="F83" i="33"/>
  <c r="G83" i="33" s="1"/>
  <c r="Q21" i="21"/>
  <c r="Z21" i="21" s="1"/>
  <c r="D83" i="21"/>
  <c r="E83" i="21"/>
  <c r="F21" i="21"/>
  <c r="AA21" i="21" s="1"/>
  <c r="C21" i="21"/>
  <c r="Z27" i="40"/>
  <c r="Q27" i="40"/>
  <c r="D96" i="40"/>
  <c r="E96" i="40" s="1"/>
  <c r="F96" i="40" s="1"/>
  <c r="F27" i="40"/>
  <c r="AA27" i="40" s="1"/>
  <c r="Q31" i="39"/>
  <c r="Z31" i="39" s="1"/>
  <c r="D105" i="39"/>
  <c r="E105" i="39" s="1"/>
  <c r="F105" i="39" s="1"/>
  <c r="F31" i="39"/>
  <c r="AA31" i="39" s="1"/>
  <c r="G20" i="20"/>
  <c r="B85" i="46" s="1"/>
  <c r="C22" i="20"/>
  <c r="B54" i="46" s="1"/>
  <c r="S21" i="37"/>
  <c r="S21" i="21"/>
  <c r="C27" i="40"/>
  <c r="C31" i="39"/>
  <c r="H18" i="35"/>
  <c r="J18" i="35"/>
  <c r="H21" i="37"/>
  <c r="J21" i="37"/>
  <c r="E84" i="34"/>
  <c r="F84" i="34" s="1"/>
  <c r="G84" i="34" s="1"/>
  <c r="J21" i="34"/>
  <c r="H21" i="34"/>
  <c r="F21" i="33"/>
  <c r="H21" i="33"/>
  <c r="J21" i="33"/>
  <c r="F83" i="21"/>
  <c r="G83" i="21" s="1"/>
  <c r="H21" i="21"/>
  <c r="J21" i="21"/>
  <c r="H27" i="40"/>
  <c r="H31" i="39"/>
  <c r="F23" i="15"/>
  <c r="G17" i="11"/>
  <c r="F15" i="15"/>
  <c r="F17" i="15"/>
  <c r="F18" i="15"/>
  <c r="F20" i="15"/>
  <c r="F21" i="15"/>
  <c r="F33" i="15"/>
  <c r="F60" i="15" s="1"/>
  <c r="K2" i="4"/>
  <c r="K1" i="4"/>
  <c r="B1" i="4"/>
  <c r="B37" i="50" s="1"/>
  <c r="B2" i="63" s="1"/>
  <c r="C31" i="57"/>
  <c r="C32" i="57"/>
  <c r="I23" i="57"/>
  <c r="D20" i="57"/>
  <c r="I19" i="57"/>
  <c r="I20" i="57" s="1"/>
  <c r="I18" i="57"/>
  <c r="I17" i="57"/>
  <c r="E15" i="57"/>
  <c r="I14" i="57"/>
  <c r="I13" i="57"/>
  <c r="I12" i="57"/>
  <c r="I15" i="57"/>
  <c r="I9" i="57"/>
  <c r="I8" i="57"/>
  <c r="I7" i="57"/>
  <c r="I6" i="57"/>
  <c r="I5" i="57"/>
  <c r="I4" i="57"/>
  <c r="I3" i="57"/>
  <c r="I10" i="57"/>
  <c r="C30" i="57"/>
  <c r="E26" i="57" s="1"/>
  <c r="C112" i="9"/>
  <c r="C7" i="11"/>
  <c r="F80" i="46"/>
  <c r="H81" i="46" s="1"/>
  <c r="D1" i="46"/>
  <c r="F113" i="46"/>
  <c r="D99" i="46"/>
  <c r="D108" i="46" s="1"/>
  <c r="E99" i="46"/>
  <c r="E108" i="46" s="1"/>
  <c r="F99" i="46"/>
  <c r="F100" i="46" s="1"/>
  <c r="G99" i="46"/>
  <c r="G108" i="46"/>
  <c r="H99" i="46"/>
  <c r="H108" i="46" s="1"/>
  <c r="I99" i="46"/>
  <c r="I108" i="46" s="1"/>
  <c r="J99" i="46"/>
  <c r="J108" i="46"/>
  <c r="K99" i="46"/>
  <c r="K108" i="46"/>
  <c r="L99" i="46"/>
  <c r="L100" i="46" s="1"/>
  <c r="M99" i="46"/>
  <c r="M108" i="46" s="1"/>
  <c r="N99" i="46"/>
  <c r="N108" i="46" s="1"/>
  <c r="C99" i="46"/>
  <c r="C108" i="46"/>
  <c r="K58" i="46"/>
  <c r="J58" i="46"/>
  <c r="D58" i="46"/>
  <c r="K50" i="46"/>
  <c r="J50" i="46" s="1"/>
  <c r="D83" i="46"/>
  <c r="D77" i="46"/>
  <c r="B83" i="46"/>
  <c r="B82" i="46"/>
  <c r="B71" i="46"/>
  <c r="B60" i="46"/>
  <c r="B49" i="46"/>
  <c r="M87" i="46"/>
  <c r="N87" i="46" s="1"/>
  <c r="K87" i="46"/>
  <c r="J87" i="46"/>
  <c r="D87" i="46"/>
  <c r="M86" i="46"/>
  <c r="N86" i="46"/>
  <c r="D86" i="46"/>
  <c r="K86" i="46"/>
  <c r="J86" i="46" s="1"/>
  <c r="M85" i="46"/>
  <c r="N85" i="46"/>
  <c r="D85" i="46"/>
  <c r="K85" i="46"/>
  <c r="J85" i="46"/>
  <c r="M84" i="46"/>
  <c r="N84" i="46"/>
  <c r="K84" i="46"/>
  <c r="J84" i="46" s="1"/>
  <c r="M83" i="46"/>
  <c r="N83" i="46"/>
  <c r="K83" i="46"/>
  <c r="J83" i="46"/>
  <c r="M82" i="46"/>
  <c r="N82" i="46"/>
  <c r="K82" i="46"/>
  <c r="J82" i="46" s="1"/>
  <c r="D82" i="46"/>
  <c r="M81" i="46"/>
  <c r="N81" i="46" s="1"/>
  <c r="K81" i="46"/>
  <c r="J81" i="46"/>
  <c r="M80" i="46"/>
  <c r="N80" i="46"/>
  <c r="K80" i="46"/>
  <c r="J80" i="46"/>
  <c r="M77" i="46"/>
  <c r="N77" i="46" s="1"/>
  <c r="K77" i="46"/>
  <c r="J77" i="46"/>
  <c r="M76" i="46"/>
  <c r="N76" i="46" s="1"/>
  <c r="D76" i="46"/>
  <c r="K76" i="46"/>
  <c r="J76" i="46"/>
  <c r="M75" i="46"/>
  <c r="N75" i="46"/>
  <c r="K75" i="46"/>
  <c r="J75" i="46"/>
  <c r="M74" i="46"/>
  <c r="N74" i="46" s="1"/>
  <c r="K74" i="46"/>
  <c r="J74" i="46" s="1"/>
  <c r="D74" i="46"/>
  <c r="M73" i="46"/>
  <c r="D73" i="46"/>
  <c r="K73" i="46"/>
  <c r="J73" i="46" s="1"/>
  <c r="M72" i="46"/>
  <c r="N72" i="46"/>
  <c r="K72" i="46"/>
  <c r="J72" i="46" s="1"/>
  <c r="D72" i="46"/>
  <c r="M71" i="46"/>
  <c r="N71" i="46"/>
  <c r="K71" i="46"/>
  <c r="J71" i="46" s="1"/>
  <c r="M70" i="46"/>
  <c r="N70" i="46" s="1"/>
  <c r="K70" i="46"/>
  <c r="J70" i="46"/>
  <c r="D70" i="46"/>
  <c r="M69" i="46"/>
  <c r="N69" i="46" s="1"/>
  <c r="K69" i="46"/>
  <c r="J69" i="46"/>
  <c r="M66" i="46"/>
  <c r="N66" i="46" s="1"/>
  <c r="K66" i="46"/>
  <c r="M65" i="46"/>
  <c r="N65" i="46"/>
  <c r="K65" i="46"/>
  <c r="J65" i="46" s="1"/>
  <c r="D65" i="46"/>
  <c r="M64" i="46"/>
  <c r="N64" i="46" s="1"/>
  <c r="K64" i="46"/>
  <c r="J64" i="46"/>
  <c r="D64" i="46"/>
  <c r="M63" i="46"/>
  <c r="N63" i="46" s="1"/>
  <c r="K63" i="46"/>
  <c r="J63" i="46" s="1"/>
  <c r="D63" i="46"/>
  <c r="M62" i="46"/>
  <c r="N62" i="46"/>
  <c r="K62" i="46"/>
  <c r="J62" i="46"/>
  <c r="D62" i="46"/>
  <c r="M61" i="46"/>
  <c r="N61" i="46" s="1"/>
  <c r="K61" i="46"/>
  <c r="J61" i="46"/>
  <c r="D61" i="46"/>
  <c r="M60" i="46"/>
  <c r="N60" i="46"/>
  <c r="K60" i="46"/>
  <c r="J60" i="46"/>
  <c r="D60" i="46"/>
  <c r="M59" i="46"/>
  <c r="N59" i="46"/>
  <c r="K59" i="46"/>
  <c r="J59" i="46"/>
  <c r="D59" i="46"/>
  <c r="M58" i="46"/>
  <c r="N58" i="46"/>
  <c r="M55" i="46"/>
  <c r="N55" i="46" s="1"/>
  <c r="K55" i="46"/>
  <c r="J55" i="46"/>
  <c r="M54" i="46"/>
  <c r="N54" i="46" s="1"/>
  <c r="K54" i="46"/>
  <c r="M53" i="46"/>
  <c r="N53" i="46"/>
  <c r="K53" i="46"/>
  <c r="J53" i="46"/>
  <c r="D53" i="46"/>
  <c r="M52" i="46"/>
  <c r="N52" i="46" s="1"/>
  <c r="K52" i="46"/>
  <c r="J52" i="46"/>
  <c r="D52" i="46"/>
  <c r="M51" i="46"/>
  <c r="N51" i="46"/>
  <c r="K51" i="46"/>
  <c r="J51" i="46" s="1"/>
  <c r="M50" i="46"/>
  <c r="N50" i="46" s="1"/>
  <c r="M49" i="46"/>
  <c r="N49" i="46" s="1"/>
  <c r="K49" i="46"/>
  <c r="J49" i="46"/>
  <c r="D49" i="46"/>
  <c r="M48" i="46"/>
  <c r="N48" i="46" s="1"/>
  <c r="K48" i="46"/>
  <c r="J48" i="46"/>
  <c r="D48" i="46"/>
  <c r="M47" i="46"/>
  <c r="N47" i="46"/>
  <c r="K47" i="46"/>
  <c r="J47" i="46"/>
  <c r="D47" i="46"/>
  <c r="D51" i="46"/>
  <c r="D55" i="46"/>
  <c r="D80" i="46"/>
  <c r="D81" i="46"/>
  <c r="N73" i="46"/>
  <c r="D75" i="46"/>
  <c r="J66" i="46"/>
  <c r="D66"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K12" i="1" s="1"/>
  <c r="M12" i="1" s="1"/>
  <c r="O12" i="1" s="1"/>
  <c r="P12" i="1" s="1"/>
  <c r="R12" i="1"/>
  <c r="A13" i="1"/>
  <c r="B13" i="1"/>
  <c r="E13" i="1" s="1"/>
  <c r="A7" i="1"/>
  <c r="A8" i="1"/>
  <c r="K1" i="43" s="1"/>
  <c r="A9" i="1"/>
  <c r="A10" i="1"/>
  <c r="R10" i="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L112" i="3" s="1"/>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c r="BT105" i="3"/>
  <c r="BS105" i="3"/>
  <c r="BR105" i="3"/>
  <c r="BQ105" i="3"/>
  <c r="BP105" i="3"/>
  <c r="BL105" i="3" s="1"/>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A104" i="3" s="1"/>
  <c r="AZ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L98" i="3" s="1"/>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A97" i="3" s="1"/>
  <c r="AZ97" i="3" s="1"/>
  <c r="BD97" i="3"/>
  <c r="BC97" i="3"/>
  <c r="BB97" i="3"/>
  <c r="AX97" i="3"/>
  <c r="AW97" i="3"/>
  <c r="AV97" i="3"/>
  <c r="AC97" i="3"/>
  <c r="H97" i="3"/>
  <c r="G97" i="3"/>
  <c r="BT96" i="3"/>
  <c r="BS96" i="3"/>
  <c r="BR96" i="3"/>
  <c r="BQ96" i="3"/>
  <c r="BP96" i="3"/>
  <c r="BL96" i="3" s="1"/>
  <c r="BO96" i="3"/>
  <c r="BN96" i="3"/>
  <c r="BM96" i="3"/>
  <c r="BK96" i="3"/>
  <c r="BJ96" i="3"/>
  <c r="BI96" i="3"/>
  <c r="BH96" i="3"/>
  <c r="BG96" i="3"/>
  <c r="BF96" i="3"/>
  <c r="BE96" i="3"/>
  <c r="BD96" i="3"/>
  <c r="BC96" i="3"/>
  <c r="BB96" i="3"/>
  <c r="BA96" i="3" s="1"/>
  <c r="AZ96" i="3"/>
  <c r="AX96" i="3"/>
  <c r="AW96" i="3"/>
  <c r="AV96" i="3"/>
  <c r="AC96" i="3"/>
  <c r="G96" i="3" s="1"/>
  <c r="H96" i="3"/>
  <c r="BT95" i="3"/>
  <c r="BS95" i="3"/>
  <c r="BR95" i="3"/>
  <c r="BQ95" i="3"/>
  <c r="BP95" i="3"/>
  <c r="BO95" i="3"/>
  <c r="BN95" i="3"/>
  <c r="BM95" i="3"/>
  <c r="BL95" i="3" s="1"/>
  <c r="BK95" i="3"/>
  <c r="BJ95" i="3"/>
  <c r="BI95" i="3"/>
  <c r="BH95" i="3"/>
  <c r="BG95" i="3"/>
  <c r="BF95" i="3"/>
  <c r="BE95" i="3"/>
  <c r="BD95" i="3"/>
  <c r="BC95" i="3"/>
  <c r="BA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c r="BT93" i="3"/>
  <c r="BS93" i="3"/>
  <c r="BR93" i="3"/>
  <c r="BQ93" i="3"/>
  <c r="BP93" i="3"/>
  <c r="BL93" i="3" s="1"/>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X91" i="3"/>
  <c r="AW91" i="3"/>
  <c r="AV91" i="3"/>
  <c r="AC91" i="3"/>
  <c r="H91" i="3"/>
  <c r="G91" i="3" s="1"/>
  <c r="BT90" i="3"/>
  <c r="BS90" i="3"/>
  <c r="BR90" i="3"/>
  <c r="BQ90" i="3"/>
  <c r="BP90" i="3"/>
  <c r="BL90" i="3" s="1"/>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A88" i="3" s="1"/>
  <c r="AZ88" i="3" s="1"/>
  <c r="BD88" i="3"/>
  <c r="BC88" i="3"/>
  <c r="BB88" i="3"/>
  <c r="AX88" i="3"/>
  <c r="AW88" i="3"/>
  <c r="AV88" i="3"/>
  <c r="AC88" i="3"/>
  <c r="H88" i="3"/>
  <c r="G88" i="3" s="1"/>
  <c r="BT87" i="3"/>
  <c r="BS87" i="3"/>
  <c r="BR87" i="3"/>
  <c r="BQ87" i="3"/>
  <c r="BP87" i="3"/>
  <c r="BL87" i="3" s="1"/>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L86" i="3" s="1"/>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A85" i="3" s="1"/>
  <c r="BD85" i="3"/>
  <c r="BC85" i="3"/>
  <c r="BB85" i="3"/>
  <c r="AX85" i="3"/>
  <c r="AW85" i="3"/>
  <c r="AV85" i="3"/>
  <c r="AC85" i="3"/>
  <c r="H85" i="3"/>
  <c r="G85" i="3" s="1"/>
  <c r="BT84" i="3"/>
  <c r="BS84" i="3"/>
  <c r="BR84" i="3"/>
  <c r="BQ84" i="3"/>
  <c r="BP84" i="3"/>
  <c r="BL84" i="3" s="1"/>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A82" i="3" s="1"/>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A79" i="3" s="1"/>
  <c r="BD79" i="3"/>
  <c r="BC79" i="3"/>
  <c r="BB79" i="3"/>
  <c r="AX79" i="3"/>
  <c r="AW79" i="3"/>
  <c r="AV79" i="3"/>
  <c r="AC79" i="3"/>
  <c r="G79" i="3" s="1"/>
  <c r="H79" i="3"/>
  <c r="BT78" i="3"/>
  <c r="BS78" i="3"/>
  <c r="BR78" i="3"/>
  <c r="BQ78" i="3"/>
  <c r="BP78" i="3"/>
  <c r="BO78" i="3"/>
  <c r="BN78" i="3"/>
  <c r="BM78" i="3"/>
  <c r="BL78" i="3" s="1"/>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G76" i="3" s="1"/>
  <c r="H76" i="3"/>
  <c r="BT75" i="3"/>
  <c r="BS75" i="3"/>
  <c r="BR75" i="3"/>
  <c r="BQ75" i="3"/>
  <c r="BP75" i="3"/>
  <c r="BO75" i="3"/>
  <c r="BL75" i="3" s="1"/>
  <c r="BN75" i="3"/>
  <c r="BM75" i="3"/>
  <c r="BK75" i="3"/>
  <c r="BJ75" i="3"/>
  <c r="BI75" i="3"/>
  <c r="BH75" i="3"/>
  <c r="BG75" i="3"/>
  <c r="BF75" i="3"/>
  <c r="BE75" i="3"/>
  <c r="BD75" i="3"/>
  <c r="BC75" i="3"/>
  <c r="BA75" i="3" s="1"/>
  <c r="AZ75" i="3" s="1"/>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G73" i="3" s="1"/>
  <c r="H73" i="3"/>
  <c r="BT72" i="3"/>
  <c r="BS72" i="3"/>
  <c r="BR72" i="3"/>
  <c r="BQ72" i="3"/>
  <c r="BP72" i="3"/>
  <c r="BO72" i="3"/>
  <c r="BL72" i="3" s="1"/>
  <c r="BN72" i="3"/>
  <c r="BM72" i="3"/>
  <c r="BK72" i="3"/>
  <c r="BJ72" i="3"/>
  <c r="BI72" i="3"/>
  <c r="BH72" i="3"/>
  <c r="BG72" i="3"/>
  <c r="BF72" i="3"/>
  <c r="BE72" i="3"/>
  <c r="BD72" i="3"/>
  <c r="BC72" i="3"/>
  <c r="BA72" i="3" s="1"/>
  <c r="AZ72" i="3" s="1"/>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A70" i="3" s="1"/>
  <c r="BC70" i="3"/>
  <c r="BB70" i="3"/>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A67" i="3" s="1"/>
  <c r="AZ67" i="3" s="1"/>
  <c r="BC67" i="3"/>
  <c r="BB67" i="3"/>
  <c r="AX67" i="3"/>
  <c r="AW67" i="3"/>
  <c r="AV67" i="3"/>
  <c r="AC67" i="3"/>
  <c r="G67" i="3" s="1"/>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G64" i="3" s="1"/>
  <c r="H64" i="3"/>
  <c r="BT63" i="3"/>
  <c r="BS63" i="3"/>
  <c r="BR63" i="3"/>
  <c r="BQ63" i="3"/>
  <c r="BP63" i="3"/>
  <c r="BO63" i="3"/>
  <c r="BL63" i="3" s="1"/>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A61" i="3" s="1"/>
  <c r="AZ61" i="3" s="1"/>
  <c r="BC61" i="3"/>
  <c r="BB61" i="3"/>
  <c r="AX61" i="3"/>
  <c r="AW61" i="3"/>
  <c r="AV61" i="3"/>
  <c r="AC61" i="3"/>
  <c r="G61" i="3" s="1"/>
  <c r="H61" i="3"/>
  <c r="BT60" i="3"/>
  <c r="BS60" i="3"/>
  <c r="BR60" i="3"/>
  <c r="BQ60" i="3"/>
  <c r="BP60" i="3"/>
  <c r="BO60" i="3"/>
  <c r="BL60" i="3" s="1"/>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A58" i="3" s="1"/>
  <c r="AZ58" i="3" s="1"/>
  <c r="BC58" i="3"/>
  <c r="BB58" i="3"/>
  <c r="AX58" i="3"/>
  <c r="AW58" i="3"/>
  <c r="AV58" i="3"/>
  <c r="AC58" i="3"/>
  <c r="G58" i="3" s="1"/>
  <c r="H58" i="3"/>
  <c r="BT57" i="3"/>
  <c r="BS57" i="3"/>
  <c r="BR57" i="3"/>
  <c r="BQ57" i="3"/>
  <c r="BP57" i="3"/>
  <c r="BO57" i="3"/>
  <c r="BL57" i="3" s="1"/>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G52" i="3" s="1"/>
  <c r="H52" i="3"/>
  <c r="BT51" i="3"/>
  <c r="BS51" i="3"/>
  <c r="BR51" i="3"/>
  <c r="BQ51" i="3"/>
  <c r="BP51" i="3"/>
  <c r="BO51" i="3"/>
  <c r="BL51" i="3" s="1"/>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L48" i="3" s="1"/>
  <c r="BN48" i="3"/>
  <c r="BM48" i="3"/>
  <c r="BK48" i="3"/>
  <c r="BJ48" i="3"/>
  <c r="BI48" i="3"/>
  <c r="BH48" i="3"/>
  <c r="BG48" i="3"/>
  <c r="BF48" i="3"/>
  <c r="BE48" i="3"/>
  <c r="BD48" i="3"/>
  <c r="BC48" i="3"/>
  <c r="BA48" i="3" s="1"/>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L46" i="3" s="1"/>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A40" i="3" s="1"/>
  <c r="BC40" i="3"/>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c r="BT38" i="3"/>
  <c r="BS38" i="3"/>
  <c r="BR38" i="3"/>
  <c r="BQ38" i="3"/>
  <c r="BP38" i="3"/>
  <c r="BL38" i="3" s="1"/>
  <c r="BO38" i="3"/>
  <c r="BN38" i="3"/>
  <c r="BM38" i="3"/>
  <c r="BK38" i="3"/>
  <c r="BJ38" i="3"/>
  <c r="BI38" i="3"/>
  <c r="BH38" i="3"/>
  <c r="BG38" i="3"/>
  <c r="BF38" i="3"/>
  <c r="BE38" i="3"/>
  <c r="BD38" i="3"/>
  <c r="BC38" i="3"/>
  <c r="BB38" i="3"/>
  <c r="BA38" i="3" s="1"/>
  <c r="AZ38" i="3" s="1"/>
  <c r="AX38" i="3"/>
  <c r="AW38" i="3"/>
  <c r="AV38" i="3"/>
  <c r="AC38" i="3"/>
  <c r="G38" i="3" s="1"/>
  <c r="H38" i="3"/>
  <c r="BT37" i="3"/>
  <c r="BS37" i="3"/>
  <c r="BR37" i="3"/>
  <c r="BQ37" i="3"/>
  <c r="BP37" i="3"/>
  <c r="BO37" i="3"/>
  <c r="BN37" i="3"/>
  <c r="BM37" i="3"/>
  <c r="BL37" i="3" s="1"/>
  <c r="BK37" i="3"/>
  <c r="BJ37" i="3"/>
  <c r="BI37" i="3"/>
  <c r="BH37" i="3"/>
  <c r="BG37" i="3"/>
  <c r="BF37" i="3"/>
  <c r="BE37" i="3"/>
  <c r="BD37" i="3"/>
  <c r="BC37" i="3"/>
  <c r="BA37" i="3" s="1"/>
  <c r="AZ37" i="3" s="1"/>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A28" i="3" s="1"/>
  <c r="AZ28" i="3" s="1"/>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G26" i="3" s="1"/>
  <c r="H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L204" i="3" s="1"/>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A203" i="3" s="1"/>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L198" i="3" s="1"/>
  <c r="BO198" i="3"/>
  <c r="BN198" i="3"/>
  <c r="BM198" i="3"/>
  <c r="BK198" i="3"/>
  <c r="BJ198" i="3"/>
  <c r="BI198" i="3"/>
  <c r="BH198" i="3"/>
  <c r="BA198" i="3" s="1"/>
  <c r="AZ198" i="3" s="1"/>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G197" i="3" s="1"/>
  <c r="H197" i="3"/>
  <c r="BT196" i="3"/>
  <c r="BS196" i="3"/>
  <c r="BL196" i="3" s="1"/>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A189" i="3" s="1"/>
  <c r="BD189" i="3"/>
  <c r="BC189" i="3"/>
  <c r="BB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A187" i="3" s="1"/>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A176" i="3" s="1"/>
  <c r="AZ176" i="3" s="1"/>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A175" i="3" s="1"/>
  <c r="AZ175" i="3" s="1"/>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L168" i="3" s="1"/>
  <c r="BQ168" i="3"/>
  <c r="BP168" i="3"/>
  <c r="BO168" i="3"/>
  <c r="BN168" i="3"/>
  <c r="BM168" i="3"/>
  <c r="BK168" i="3"/>
  <c r="BJ168" i="3"/>
  <c r="BI168" i="3"/>
  <c r="BH168" i="3"/>
  <c r="BG168" i="3"/>
  <c r="BF168" i="3"/>
  <c r="BE168" i="3"/>
  <c r="BD168" i="3"/>
  <c r="BC168" i="3"/>
  <c r="BB168" i="3"/>
  <c r="BA168" i="3" s="1"/>
  <c r="AZ168" i="3" s="1"/>
  <c r="AX168" i="3"/>
  <c r="AW168" i="3"/>
  <c r="AV168" i="3"/>
  <c r="AC168" i="3"/>
  <c r="G168" i="3" s="1"/>
  <c r="H168" i="3"/>
  <c r="BT167" i="3"/>
  <c r="BS167" i="3"/>
  <c r="BR167" i="3"/>
  <c r="BQ167" i="3"/>
  <c r="BP167" i="3"/>
  <c r="BO167" i="3"/>
  <c r="BN167" i="3"/>
  <c r="BM167" i="3"/>
  <c r="BL167" i="3" s="1"/>
  <c r="BK167" i="3"/>
  <c r="BJ167" i="3"/>
  <c r="BI167" i="3"/>
  <c r="BH167" i="3"/>
  <c r="BG167" i="3"/>
  <c r="BF167" i="3"/>
  <c r="BE167" i="3"/>
  <c r="BA167" i="3" s="1"/>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A166" i="3" s="1"/>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A159" i="3" s="1"/>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L156" i="3" s="1"/>
  <c r="BN156" i="3"/>
  <c r="BM156" i="3"/>
  <c r="BK156" i="3"/>
  <c r="BJ156" i="3"/>
  <c r="BI156" i="3"/>
  <c r="BH156" i="3"/>
  <c r="BG156" i="3"/>
  <c r="BF156" i="3"/>
  <c r="BE156" i="3"/>
  <c r="BD156" i="3"/>
  <c r="BC156" i="3"/>
  <c r="BB156" i="3"/>
  <c r="BA156" i="3" s="1"/>
  <c r="AX156" i="3"/>
  <c r="AW156" i="3"/>
  <c r="AV156" i="3"/>
  <c r="AC156" i="3"/>
  <c r="H156" i="3"/>
  <c r="G156" i="3" s="1"/>
  <c r="BT155" i="3"/>
  <c r="BS155" i="3"/>
  <c r="BR155" i="3"/>
  <c r="BL155" i="3" s="1"/>
  <c r="BQ155" i="3"/>
  <c r="BP155" i="3"/>
  <c r="BO155" i="3"/>
  <c r="BN155" i="3"/>
  <c r="BM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L152" i="3" s="1"/>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A149" i="3" s="1"/>
  <c r="AZ149" i="3" s="1"/>
  <c r="BF149" i="3"/>
  <c r="BE149" i="3"/>
  <c r="BD149" i="3"/>
  <c r="BC149" i="3"/>
  <c r="BB149" i="3"/>
  <c r="AX149" i="3"/>
  <c r="AW149" i="3"/>
  <c r="AV149" i="3"/>
  <c r="AC149" i="3"/>
  <c r="H149" i="3"/>
  <c r="G149" i="3" s="1"/>
  <c r="BT148" i="3"/>
  <c r="BS148" i="3"/>
  <c r="BR148" i="3"/>
  <c r="BL148" i="3" s="1"/>
  <c r="BQ148" i="3"/>
  <c r="BP148" i="3"/>
  <c r="BO148" i="3"/>
  <c r="BN148" i="3"/>
  <c r="BM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A144" i="3" s="1"/>
  <c r="AZ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A141" i="3" s="1"/>
  <c r="AZ141" i="3" s="1"/>
  <c r="BC141" i="3"/>
  <c r="BB141" i="3"/>
  <c r="AX141" i="3"/>
  <c r="AW141" i="3"/>
  <c r="AV141" i="3"/>
  <c r="AC141" i="3"/>
  <c r="H141" i="3"/>
  <c r="G141" i="3" s="1"/>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A136" i="3" s="1"/>
  <c r="AZ136" i="3" s="1"/>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L134" i="3" s="1"/>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A121" i="3" s="1"/>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G113" i="3" s="1"/>
  <c r="H113" i="3"/>
  <c r="BT296" i="3"/>
  <c r="BS296" i="3"/>
  <c r="BR296" i="3"/>
  <c r="BQ296" i="3"/>
  <c r="BP296" i="3"/>
  <c r="BO296" i="3"/>
  <c r="BN296" i="3"/>
  <c r="BM296" i="3"/>
  <c r="BL296" i="3" s="1"/>
  <c r="BK296" i="3"/>
  <c r="BJ296" i="3"/>
  <c r="BI296" i="3"/>
  <c r="BH296" i="3"/>
  <c r="BG296" i="3"/>
  <c r="BF296" i="3"/>
  <c r="BE296" i="3"/>
  <c r="BA296" i="3" s="1"/>
  <c r="AZ296" i="3" s="1"/>
  <c r="BD296" i="3"/>
  <c r="BC296" i="3"/>
  <c r="BB296" i="3"/>
  <c r="AX296" i="3"/>
  <c r="AW296" i="3"/>
  <c r="AV296" i="3"/>
  <c r="AC296" i="3"/>
  <c r="H296" i="3"/>
  <c r="G296" i="3" s="1"/>
  <c r="BT295" i="3"/>
  <c r="BS295" i="3"/>
  <c r="BR295" i="3"/>
  <c r="BQ295" i="3"/>
  <c r="BP295" i="3"/>
  <c r="BL295" i="3" s="1"/>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A293" i="3" s="1"/>
  <c r="BD293" i="3"/>
  <c r="BC293" i="3"/>
  <c r="BB293" i="3"/>
  <c r="AX293" i="3"/>
  <c r="AW293" i="3"/>
  <c r="AV293" i="3"/>
  <c r="AC293" i="3"/>
  <c r="H293" i="3"/>
  <c r="G293" i="3" s="1"/>
  <c r="BT292" i="3"/>
  <c r="BS292" i="3"/>
  <c r="BR292" i="3"/>
  <c r="BQ292" i="3"/>
  <c r="BP292" i="3"/>
  <c r="BL292" i="3" s="1"/>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A290" i="3" s="1"/>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A282" i="3" s="1"/>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A281" i="3" s="1"/>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A280" i="3" s="1"/>
  <c r="AZ280" i="3" s="1"/>
  <c r="BD280" i="3"/>
  <c r="BC280" i="3"/>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A277" i="3" s="1"/>
  <c r="BD277" i="3"/>
  <c r="BC277" i="3"/>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A274" i="3" s="1"/>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L243" i="3" s="1"/>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L238" i="3" s="1"/>
  <c r="BK238" i="3"/>
  <c r="BJ238" i="3"/>
  <c r="BI238" i="3"/>
  <c r="BH238" i="3"/>
  <c r="BG238" i="3"/>
  <c r="BF238" i="3"/>
  <c r="BE238" i="3"/>
  <c r="BA238" i="3" s="1"/>
  <c r="AZ238" i="3" s="1"/>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G237" i="3"/>
  <c r="BT236" i="3"/>
  <c r="BS236" i="3"/>
  <c r="BR236" i="3"/>
  <c r="BQ236" i="3"/>
  <c r="BP236" i="3"/>
  <c r="BL236" i="3" s="1"/>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L235" i="3" s="1"/>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A233" i="3" s="1"/>
  <c r="BE233" i="3"/>
  <c r="BD233" i="3"/>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A228" i="3" s="1"/>
  <c r="BE228" i="3"/>
  <c r="BD228" i="3"/>
  <c r="BC228" i="3"/>
  <c r="BB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BT224" i="3"/>
  <c r="BS224" i="3"/>
  <c r="BR224" i="3"/>
  <c r="BQ224" i="3"/>
  <c r="BP224" i="3"/>
  <c r="BO224" i="3"/>
  <c r="BN224" i="3"/>
  <c r="BL224" i="3" s="1"/>
  <c r="BM224" i="3"/>
  <c r="BK224" i="3"/>
  <c r="BJ224" i="3"/>
  <c r="BI224" i="3"/>
  <c r="BH224" i="3"/>
  <c r="BG224" i="3"/>
  <c r="BF224" i="3"/>
  <c r="BA224" i="3" s="1"/>
  <c r="AZ224" i="3" s="1"/>
  <c r="BE224" i="3"/>
  <c r="BD224" i="3"/>
  <c r="BC224" i="3"/>
  <c r="BB224" i="3"/>
  <c r="AX224" i="3"/>
  <c r="AW224" i="3"/>
  <c r="AV224" i="3"/>
  <c r="AC224" i="3"/>
  <c r="G224" i="3" s="1"/>
  <c r="H224" i="3"/>
  <c r="BT223" i="3"/>
  <c r="BS223" i="3"/>
  <c r="BR223" i="3"/>
  <c r="BQ223" i="3"/>
  <c r="BL223" i="3" s="1"/>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G220" i="3" s="1"/>
  <c r="H220" i="3"/>
  <c r="BT219" i="3"/>
  <c r="BS219" i="3"/>
  <c r="BR219" i="3"/>
  <c r="BQ219" i="3"/>
  <c r="BP219" i="3"/>
  <c r="BL219" i="3" s="1"/>
  <c r="BO219" i="3"/>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A206" i="3" s="1"/>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c r="AX205" i="3"/>
  <c r="AW205" i="3"/>
  <c r="AV205" i="3"/>
  <c r="AC205" i="3"/>
  <c r="H205" i="3"/>
  <c r="G205" i="3" s="1"/>
  <c r="BT388" i="3"/>
  <c r="BS388" i="3"/>
  <c r="BL388" i="3" s="1"/>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L369" i="3" s="1"/>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A353" i="3" s="1"/>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A351" i="3" s="1"/>
  <c r="BF351" i="3"/>
  <c r="BE351" i="3"/>
  <c r="BD351" i="3"/>
  <c r="BC351" i="3"/>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L342" i="3" s="1"/>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A335" i="3" s="1"/>
  <c r="BB335" i="3"/>
  <c r="AX335" i="3"/>
  <c r="AW335" i="3"/>
  <c r="AV335" i="3"/>
  <c r="AC335" i="3"/>
  <c r="H335" i="3"/>
  <c r="BT334" i="3"/>
  <c r="BS334" i="3"/>
  <c r="BR334" i="3"/>
  <c r="BQ334" i="3"/>
  <c r="BP334" i="3"/>
  <c r="BL334" i="3" s="1"/>
  <c r="BO334" i="3"/>
  <c r="BN334" i="3"/>
  <c r="BM334" i="3"/>
  <c r="BK334" i="3"/>
  <c r="BJ334" i="3"/>
  <c r="BI334" i="3"/>
  <c r="BH334" i="3"/>
  <c r="BA334" i="3" s="1"/>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A479" i="3" s="1"/>
  <c r="BE479" i="3"/>
  <c r="BD479" i="3"/>
  <c r="BC479" i="3"/>
  <c r="BB479" i="3"/>
  <c r="AX479" i="3"/>
  <c r="AW479" i="3"/>
  <c r="AV479" i="3"/>
  <c r="AC479" i="3"/>
  <c r="G479" i="3" s="1"/>
  <c r="H479" i="3"/>
  <c r="BT478" i="3"/>
  <c r="BS478" i="3"/>
  <c r="BR478" i="3"/>
  <c r="BQ478" i="3"/>
  <c r="BP478" i="3"/>
  <c r="BL478" i="3" s="1"/>
  <c r="BO478" i="3"/>
  <c r="BN478" i="3"/>
  <c r="BM478" i="3"/>
  <c r="BK478" i="3"/>
  <c r="BJ478" i="3"/>
  <c r="BI478" i="3"/>
  <c r="BH478" i="3"/>
  <c r="BA478" i="3" s="1"/>
  <c r="AZ478" i="3" s="1"/>
  <c r="BG478" i="3"/>
  <c r="BF478" i="3"/>
  <c r="BE478" i="3"/>
  <c r="BD478" i="3"/>
  <c r="BC478" i="3"/>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A476" i="3" s="1"/>
  <c r="BD476" i="3"/>
  <c r="BC476" i="3"/>
  <c r="BB476" i="3"/>
  <c r="AX476" i="3"/>
  <c r="AW476" i="3"/>
  <c r="AV476" i="3"/>
  <c r="AC476" i="3"/>
  <c r="H476" i="3"/>
  <c r="G476" i="3" s="1"/>
  <c r="BT475" i="3"/>
  <c r="BS475" i="3"/>
  <c r="BR475" i="3"/>
  <c r="BQ475" i="3"/>
  <c r="BP475" i="3"/>
  <c r="BL475" i="3" s="1"/>
  <c r="BO475" i="3"/>
  <c r="BN475" i="3"/>
  <c r="BM475" i="3"/>
  <c r="BK475" i="3"/>
  <c r="BJ475" i="3"/>
  <c r="BI475" i="3"/>
  <c r="BH475" i="3"/>
  <c r="BA475" i="3" s="1"/>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c r="BT468" i="3"/>
  <c r="BS468" i="3"/>
  <c r="BR468" i="3"/>
  <c r="BQ468" i="3"/>
  <c r="BL468" i="3" s="1"/>
  <c r="BP468" i="3"/>
  <c r="BO468" i="3"/>
  <c r="BN468" i="3"/>
  <c r="BM468" i="3"/>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M466" i="3"/>
  <c r="BL466" i="3" s="1"/>
  <c r="BK466" i="3"/>
  <c r="BJ466" i="3"/>
  <c r="BI466" i="3"/>
  <c r="BH466" i="3"/>
  <c r="BG466" i="3"/>
  <c r="BF466" i="3"/>
  <c r="BA466" i="3" s="1"/>
  <c r="BE466" i="3"/>
  <c r="BD466" i="3"/>
  <c r="BC466" i="3"/>
  <c r="BB466" i="3"/>
  <c r="AX466" i="3"/>
  <c r="AW466" i="3"/>
  <c r="AV466" i="3"/>
  <c r="AC466" i="3"/>
  <c r="H466" i="3"/>
  <c r="G466" i="3" s="1"/>
  <c r="BT465" i="3"/>
  <c r="BS465" i="3"/>
  <c r="BR465" i="3"/>
  <c r="BQ465" i="3"/>
  <c r="BP465" i="3"/>
  <c r="BL465" i="3" s="1"/>
  <c r="BO465" i="3"/>
  <c r="BN465" i="3"/>
  <c r="BM465" i="3"/>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A463" i="3" s="1"/>
  <c r="BE463" i="3"/>
  <c r="BD463" i="3"/>
  <c r="BC463" i="3"/>
  <c r="BB463" i="3"/>
  <c r="AX463" i="3"/>
  <c r="AW463" i="3"/>
  <c r="AV463" i="3"/>
  <c r="AC463" i="3"/>
  <c r="H463" i="3"/>
  <c r="G463" i="3" s="1"/>
  <c r="BT462" i="3"/>
  <c r="BS462" i="3"/>
  <c r="BR462" i="3"/>
  <c r="BQ462" i="3"/>
  <c r="BP462" i="3"/>
  <c r="BL462" i="3" s="1"/>
  <c r="BO462" i="3"/>
  <c r="BN462" i="3"/>
  <c r="BM462" i="3"/>
  <c r="BK462" i="3"/>
  <c r="BJ462" i="3"/>
  <c r="BI462" i="3"/>
  <c r="BH462" i="3"/>
  <c r="BG462" i="3"/>
  <c r="BF462" i="3"/>
  <c r="BE462" i="3"/>
  <c r="BD462" i="3"/>
  <c r="BC462" i="3"/>
  <c r="BA462" i="3" s="1"/>
  <c r="AZ462" i="3" s="1"/>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A460" i="3" s="1"/>
  <c r="AZ460" i="3" s="1"/>
  <c r="BD460" i="3"/>
  <c r="BC460" i="3"/>
  <c r="BB460" i="3"/>
  <c r="AX460" i="3"/>
  <c r="AW460" i="3"/>
  <c r="AV460" i="3"/>
  <c r="AC460" i="3"/>
  <c r="H460" i="3"/>
  <c r="G460" i="3" s="1"/>
  <c r="BT459" i="3"/>
  <c r="BS459" i="3"/>
  <c r="BR459" i="3"/>
  <c r="BQ459" i="3"/>
  <c r="BP459" i="3"/>
  <c r="BL459" i="3" s="1"/>
  <c r="BO459" i="3"/>
  <c r="BN459" i="3"/>
  <c r="BM459" i="3"/>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L455" i="3" s="1"/>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A453" i="3" s="1"/>
  <c r="AZ453" i="3" s="1"/>
  <c r="BD453" i="3"/>
  <c r="BC453" i="3"/>
  <c r="BB453" i="3"/>
  <c r="AX453" i="3"/>
  <c r="AW453" i="3"/>
  <c r="AV453" i="3"/>
  <c r="AC453" i="3"/>
  <c r="H453" i="3"/>
  <c r="G453" i="3" s="1"/>
  <c r="BT452" i="3"/>
  <c r="BS452" i="3"/>
  <c r="BR452" i="3"/>
  <c r="BQ452" i="3"/>
  <c r="BP452" i="3"/>
  <c r="BL452" i="3" s="1"/>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A450" i="3" s="1"/>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L448" i="3" s="1"/>
  <c r="BP448" i="3"/>
  <c r="BO448" i="3"/>
  <c r="BN448" i="3"/>
  <c r="BM448" i="3"/>
  <c r="BK448" i="3"/>
  <c r="BJ448" i="3"/>
  <c r="BI448" i="3"/>
  <c r="BH448" i="3"/>
  <c r="BG448" i="3"/>
  <c r="BF448" i="3"/>
  <c r="BE448" i="3"/>
  <c r="BD448" i="3"/>
  <c r="BC448" i="3"/>
  <c r="BB448" i="3"/>
  <c r="BA448" i="3"/>
  <c r="AZ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L445" i="3" s="1"/>
  <c r="BP445" i="3"/>
  <c r="BO445" i="3"/>
  <c r="BN445" i="3"/>
  <c r="BM445" i="3"/>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A443" i="3" s="1"/>
  <c r="BE443" i="3"/>
  <c r="BD443" i="3"/>
  <c r="BC443" i="3"/>
  <c r="BB443" i="3"/>
  <c r="AX443" i="3"/>
  <c r="AW443" i="3"/>
  <c r="AV443" i="3"/>
  <c r="AC443" i="3"/>
  <c r="H443" i="3"/>
  <c r="G443" i="3"/>
  <c r="BT442" i="3"/>
  <c r="BS442" i="3"/>
  <c r="BR442" i="3"/>
  <c r="BQ442" i="3"/>
  <c r="BL442" i="3" s="1"/>
  <c r="BP442" i="3"/>
  <c r="BO442" i="3"/>
  <c r="BN442" i="3"/>
  <c r="BM442" i="3"/>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A440" i="3" s="1"/>
  <c r="BD440" i="3"/>
  <c r="BC440" i="3"/>
  <c r="BB440" i="3"/>
  <c r="AX440" i="3"/>
  <c r="AW440" i="3"/>
  <c r="AV440" i="3"/>
  <c r="AC440" i="3"/>
  <c r="H440" i="3"/>
  <c r="G440" i="3" s="1"/>
  <c r="BT439" i="3"/>
  <c r="BS439" i="3"/>
  <c r="BR439" i="3"/>
  <c r="BQ439" i="3"/>
  <c r="BP439" i="3"/>
  <c r="BL439" i="3" s="1"/>
  <c r="BO439" i="3"/>
  <c r="BN439" i="3"/>
  <c r="BM439" i="3"/>
  <c r="BK439" i="3"/>
  <c r="BJ439" i="3"/>
  <c r="BI439" i="3"/>
  <c r="BH439" i="3"/>
  <c r="BG439" i="3"/>
  <c r="BF439" i="3"/>
  <c r="BE439" i="3"/>
  <c r="BD439" i="3"/>
  <c r="BC439" i="3"/>
  <c r="BA439" i="3" s="1"/>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L435" i="3" s="1"/>
  <c r="BP435" i="3"/>
  <c r="BO435" i="3"/>
  <c r="BN435" i="3"/>
  <c r="BM435" i="3"/>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A433" i="3" s="1"/>
  <c r="BE433" i="3"/>
  <c r="BD433" i="3"/>
  <c r="BC433" i="3"/>
  <c r="BB433" i="3"/>
  <c r="AX433" i="3"/>
  <c r="AW433" i="3"/>
  <c r="AV433" i="3"/>
  <c r="AC433" i="3"/>
  <c r="H433" i="3"/>
  <c r="G433" i="3" s="1"/>
  <c r="BT432" i="3"/>
  <c r="BS432" i="3"/>
  <c r="BR432" i="3"/>
  <c r="BQ432" i="3"/>
  <c r="BP432" i="3"/>
  <c r="BL432" i="3" s="1"/>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A430" i="3" s="1"/>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A420" i="3" s="1"/>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A417" i="3" s="1"/>
  <c r="BE417" i="3"/>
  <c r="BD417" i="3"/>
  <c r="BC417" i="3"/>
  <c r="BB417" i="3"/>
  <c r="AX417" i="3"/>
  <c r="AW417" i="3"/>
  <c r="AV417" i="3"/>
  <c r="AC417" i="3"/>
  <c r="H417" i="3"/>
  <c r="G417" i="3"/>
  <c r="BT416" i="3"/>
  <c r="BS416" i="3"/>
  <c r="BR416" i="3"/>
  <c r="BQ416" i="3"/>
  <c r="BL416" i="3" s="1"/>
  <c r="BP416" i="3"/>
  <c r="BO416" i="3"/>
  <c r="BN416" i="3"/>
  <c r="BM416" i="3"/>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L415" i="3" s="1"/>
  <c r="AZ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A414" i="3" s="1"/>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A410" i="3" s="1"/>
  <c r="BD410" i="3"/>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A408" i="3" s="1"/>
  <c r="BE408" i="3"/>
  <c r="BD408" i="3"/>
  <c r="BC408" i="3"/>
  <c r="BB408" i="3"/>
  <c r="AX408" i="3"/>
  <c r="AW408" i="3"/>
  <c r="AV408" i="3"/>
  <c r="AC408" i="3"/>
  <c r="H408" i="3"/>
  <c r="G408" i="3"/>
  <c r="BT407" i="3"/>
  <c r="BS407" i="3"/>
  <c r="BR407" i="3"/>
  <c r="BQ407" i="3"/>
  <c r="BL407" i="3" s="1"/>
  <c r="AZ407" i="3" s="1"/>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A404" i="3" s="1"/>
  <c r="AZ404" i="3" s="1"/>
  <c r="BD404" i="3"/>
  <c r="BC404" i="3"/>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A398" i="3" s="1"/>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L396" i="3" s="1"/>
  <c r="BO396" i="3"/>
  <c r="BN396" i="3"/>
  <c r="BM396" i="3"/>
  <c r="BK396" i="3"/>
  <c r="BJ396" i="3"/>
  <c r="BI396" i="3"/>
  <c r="BH396" i="3"/>
  <c r="BG396" i="3"/>
  <c r="BF396" i="3"/>
  <c r="BE396" i="3"/>
  <c r="BD396" i="3"/>
  <c r="BA396" i="3" s="1"/>
  <c r="AZ396" i="3" s="1"/>
  <c r="BC396" i="3"/>
  <c r="BB396" i="3"/>
  <c r="AX396" i="3"/>
  <c r="AW396" i="3"/>
  <c r="AV396" i="3"/>
  <c r="AC396" i="3"/>
  <c r="H396" i="3"/>
  <c r="G396" i="3" s="1"/>
  <c r="BT395" i="3"/>
  <c r="BS395" i="3"/>
  <c r="BR395" i="3"/>
  <c r="BL395" i="3" s="1"/>
  <c r="BQ395" i="3"/>
  <c r="BP395" i="3"/>
  <c r="BO395" i="3"/>
  <c r="BN395" i="3"/>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A393" i="3" s="1"/>
  <c r="BE393" i="3"/>
  <c r="BD393" i="3"/>
  <c r="BC393" i="3"/>
  <c r="BB393" i="3"/>
  <c r="AX393" i="3"/>
  <c r="AW393" i="3"/>
  <c r="AV393" i="3"/>
  <c r="AC393" i="3"/>
  <c r="H393" i="3"/>
  <c r="G393" i="3" s="1"/>
  <c r="BT392" i="3"/>
  <c r="BS392" i="3"/>
  <c r="BR392" i="3"/>
  <c r="BQ392" i="3"/>
  <c r="BP392" i="3"/>
  <c r="BL392" i="3" s="1"/>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L390" i="3" s="1"/>
  <c r="AZ390" i="3" s="1"/>
  <c r="BN390" i="3"/>
  <c r="BM390" i="3"/>
  <c r="BK390" i="3"/>
  <c r="BJ390" i="3"/>
  <c r="BI390" i="3"/>
  <c r="BH390" i="3"/>
  <c r="BG390" i="3"/>
  <c r="BF390" i="3"/>
  <c r="BE390" i="3"/>
  <c r="BD390" i="3"/>
  <c r="BA390" i="3" s="1"/>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A389" i="3" s="1"/>
  <c r="AZ389" i="3" s="1"/>
  <c r="BE389" i="3"/>
  <c r="BD389" i="3"/>
  <c r="BC389" i="3"/>
  <c r="BB389" i="3"/>
  <c r="AX389" i="3"/>
  <c r="AW389" i="3"/>
  <c r="AV389" i="3"/>
  <c r="AC389" i="3"/>
  <c r="H389" i="3"/>
  <c r="G389" i="3" s="1"/>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c r="H63" i="39"/>
  <c r="I63" i="39"/>
  <c r="C63" i="39" s="1"/>
  <c r="H59" i="39"/>
  <c r="I59" i="39" s="1"/>
  <c r="C59" i="39" s="1"/>
  <c r="H67" i="39"/>
  <c r="I67" i="39"/>
  <c r="C67" i="39" s="1"/>
  <c r="H66" i="39"/>
  <c r="I66" i="39" s="1"/>
  <c r="C66" i="39" s="1"/>
  <c r="H65" i="39"/>
  <c r="I65" i="39" s="1"/>
  <c r="C65" i="39" s="1"/>
  <c r="H64" i="39"/>
  <c r="I64" i="39"/>
  <c r="C64" i="39" s="1"/>
  <c r="H62" i="39"/>
  <c r="I62" i="39" s="1"/>
  <c r="C62" i="39" s="1"/>
  <c r="H61" i="39"/>
  <c r="I61" i="39" s="1"/>
  <c r="C61" i="39" s="1"/>
  <c r="H60" i="39"/>
  <c r="I60" i="39"/>
  <c r="C60" i="39" s="1"/>
  <c r="L25" i="4"/>
  <c r="C109" i="9"/>
  <c r="C145" i="21"/>
  <c r="J142" i="21"/>
  <c r="J140" i="21"/>
  <c r="K139" i="21"/>
  <c r="K145" i="21" s="1"/>
  <c r="M87" i="21"/>
  <c r="L87" i="21"/>
  <c r="K87" i="21"/>
  <c r="J87" i="21"/>
  <c r="I87" i="21"/>
  <c r="H87" i="21"/>
  <c r="G87" i="21"/>
  <c r="F87" i="21"/>
  <c r="E87" i="21"/>
  <c r="D87" i="21"/>
  <c r="G2" i="46"/>
  <c r="H17" i="46"/>
  <c r="G19" i="46"/>
  <c r="R26" i="31"/>
  <c r="S26" i="31"/>
  <c r="R27" i="31"/>
  <c r="R28" i="31"/>
  <c r="S28" i="31"/>
  <c r="R29" i="31"/>
  <c r="R30" i="31"/>
  <c r="S30" i="31" s="1"/>
  <c r="R31" i="31"/>
  <c r="R32" i="31"/>
  <c r="S32" i="31"/>
  <c r="R33" i="31"/>
  <c r="R34" i="31"/>
  <c r="S34" i="31"/>
  <c r="R35" i="31"/>
  <c r="R36" i="31"/>
  <c r="S36" i="31"/>
  <c r="R37" i="31"/>
  <c r="R38" i="31"/>
  <c r="S38" i="31"/>
  <c r="R39" i="31"/>
  <c r="R40" i="31"/>
  <c r="S40" i="31" s="1"/>
  <c r="R41" i="31"/>
  <c r="R42" i="31"/>
  <c r="S42" i="31" s="1"/>
  <c r="R43" i="31"/>
  <c r="R44" i="31"/>
  <c r="S44" i="31" s="1"/>
  <c r="R45" i="31"/>
  <c r="R46" i="31"/>
  <c r="S46" i="31" s="1"/>
  <c r="R47" i="31"/>
  <c r="R48" i="31"/>
  <c r="S48" i="31" s="1"/>
  <c r="R49" i="31"/>
  <c r="R50" i="31"/>
  <c r="S50" i="31" s="1"/>
  <c r="R51" i="31"/>
  <c r="R52" i="31"/>
  <c r="S52" i="31"/>
  <c r="R53" i="31"/>
  <c r="R54" i="31"/>
  <c r="S54" i="31"/>
  <c r="R55" i="31"/>
  <c r="R56" i="31"/>
  <c r="S56" i="31"/>
  <c r="R57" i="31"/>
  <c r="R58" i="31"/>
  <c r="S58" i="31"/>
  <c r="R59" i="31"/>
  <c r="R60" i="31"/>
  <c r="S60" i="31"/>
  <c r="R61" i="31"/>
  <c r="R62" i="31"/>
  <c r="S62" i="31" s="1"/>
  <c r="R63" i="31"/>
  <c r="R64" i="31"/>
  <c r="S64" i="31" s="1"/>
  <c r="R65" i="31"/>
  <c r="R66" i="31"/>
  <c r="S66" i="31" s="1"/>
  <c r="S22" i="31" s="1"/>
  <c r="R67" i="31"/>
  <c r="R68" i="31"/>
  <c r="S68" i="31"/>
  <c r="R69" i="31"/>
  <c r="R70" i="31"/>
  <c r="S70" i="31"/>
  <c r="R71" i="31"/>
  <c r="R72" i="31"/>
  <c r="S72" i="31"/>
  <c r="R73" i="31"/>
  <c r="R74" i="31"/>
  <c r="S74" i="31"/>
  <c r="R75" i="31"/>
  <c r="R76" i="31"/>
  <c r="S76" i="31"/>
  <c r="R77" i="31"/>
  <c r="R78" i="31"/>
  <c r="S78" i="31" s="1"/>
  <c r="R79" i="31"/>
  <c r="R80" i="31"/>
  <c r="S80" i="31" s="1"/>
  <c r="R81" i="31"/>
  <c r="R82" i="31"/>
  <c r="S82" i="31" s="1"/>
  <c r="R83" i="31"/>
  <c r="R84" i="31"/>
  <c r="S84" i="31"/>
  <c r="R85" i="31"/>
  <c r="R86" i="31"/>
  <c r="S86" i="31"/>
  <c r="R87" i="31"/>
  <c r="R88" i="31"/>
  <c r="S88" i="31"/>
  <c r="R89" i="31"/>
  <c r="R90" i="31"/>
  <c r="S90" i="31"/>
  <c r="R91" i="31"/>
  <c r="R92" i="31"/>
  <c r="S92" i="31"/>
  <c r="R93" i="31"/>
  <c r="R94" i="31"/>
  <c r="S94" i="31" s="1"/>
  <c r="R95" i="31"/>
  <c r="R96" i="31"/>
  <c r="S96" i="31" s="1"/>
  <c r="R97" i="31"/>
  <c r="R98" i="31"/>
  <c r="S98" i="31" s="1"/>
  <c r="R99" i="31"/>
  <c r="R100" i="31"/>
  <c r="S100" i="31"/>
  <c r="R101" i="31"/>
  <c r="R102" i="31"/>
  <c r="S102" i="31"/>
  <c r="R103" i="31"/>
  <c r="R104" i="31"/>
  <c r="S104" i="31"/>
  <c r="R105" i="31"/>
  <c r="R106" i="31"/>
  <c r="S106" i="31"/>
  <c r="R107" i="31"/>
  <c r="R108" i="31"/>
  <c r="S108" i="31"/>
  <c r="R109" i="31"/>
  <c r="R110" i="31"/>
  <c r="S110" i="31" s="1"/>
  <c r="R111" i="31"/>
  <c r="R112" i="31"/>
  <c r="S112" i="31" s="1"/>
  <c r="R113" i="31"/>
  <c r="R114" i="31"/>
  <c r="S114" i="31" s="1"/>
  <c r="R115" i="31"/>
  <c r="R116" i="31"/>
  <c r="S116" i="31"/>
  <c r="R117" i="31"/>
  <c r="R118" i="31"/>
  <c r="S118" i="31"/>
  <c r="R119" i="31"/>
  <c r="R120" i="31"/>
  <c r="S120" i="31"/>
  <c r="R121" i="31"/>
  <c r="R122" i="31"/>
  <c r="S122" i="31"/>
  <c r="R123" i="31"/>
  <c r="R124" i="31"/>
  <c r="S124" i="31"/>
  <c r="R125" i="31"/>
  <c r="R126" i="31"/>
  <c r="S126" i="31" s="1"/>
  <c r="R127" i="31"/>
  <c r="R128" i="31"/>
  <c r="S128" i="31" s="1"/>
  <c r="R129" i="31"/>
  <c r="R130" i="31"/>
  <c r="S130" i="31" s="1"/>
  <c r="R131" i="31"/>
  <c r="R132" i="31"/>
  <c r="S132" i="31"/>
  <c r="R133" i="31"/>
  <c r="R134" i="31"/>
  <c r="S134" i="31"/>
  <c r="R135" i="31"/>
  <c r="R136" i="31"/>
  <c r="S136" i="31"/>
  <c r="R137" i="31"/>
  <c r="R138" i="31"/>
  <c r="S138" i="31"/>
  <c r="R139" i="31"/>
  <c r="R140" i="31"/>
  <c r="S140" i="31"/>
  <c r="R141" i="31"/>
  <c r="R142" i="31"/>
  <c r="S142" i="31" s="1"/>
  <c r="R143" i="31"/>
  <c r="R144" i="31"/>
  <c r="S144" i="31" s="1"/>
  <c r="R145" i="31"/>
  <c r="R146" i="31"/>
  <c r="S146" i="31" s="1"/>
  <c r="R147" i="31"/>
  <c r="R148" i="31"/>
  <c r="S148" i="31"/>
  <c r="R149" i="31"/>
  <c r="R150" i="31"/>
  <c r="S150" i="31"/>
  <c r="R151" i="31"/>
  <c r="R152" i="31"/>
  <c r="S152" i="31"/>
  <c r="R153" i="31"/>
  <c r="R154" i="31"/>
  <c r="S154" i="31"/>
  <c r="R155" i="31"/>
  <c r="R156" i="31"/>
  <c r="S156" i="31"/>
  <c r="R157" i="31"/>
  <c r="R158" i="31"/>
  <c r="S158" i="31" s="1"/>
  <c r="R159" i="31"/>
  <c r="R160" i="31"/>
  <c r="S160" i="31" s="1"/>
  <c r="R161" i="31"/>
  <c r="R162" i="31"/>
  <c r="S162" i="31" s="1"/>
  <c r="R163" i="31"/>
  <c r="R164" i="31"/>
  <c r="S164" i="31"/>
  <c r="R165" i="31"/>
  <c r="R166" i="31"/>
  <c r="S166" i="31"/>
  <c r="R167" i="31"/>
  <c r="R168" i="31"/>
  <c r="S168" i="31"/>
  <c r="R169" i="31"/>
  <c r="R170" i="31"/>
  <c r="S170" i="31"/>
  <c r="R171" i="31"/>
  <c r="R172" i="31"/>
  <c r="S172" i="31"/>
  <c r="R173" i="31"/>
  <c r="R174" i="31"/>
  <c r="S174" i="31" s="1"/>
  <c r="R175" i="31"/>
  <c r="R176" i="31"/>
  <c r="S176" i="31" s="1"/>
  <c r="R177" i="31"/>
  <c r="R178" i="31"/>
  <c r="S178" i="31" s="1"/>
  <c r="R179" i="31"/>
  <c r="R180" i="31"/>
  <c r="S180" i="31"/>
  <c r="R181" i="31"/>
  <c r="R182" i="31"/>
  <c r="S182" i="31"/>
  <c r="R183" i="31"/>
  <c r="R184" i="31"/>
  <c r="S184" i="31"/>
  <c r="R185" i="31"/>
  <c r="R186" i="31"/>
  <c r="S186" i="31"/>
  <c r="R187" i="31"/>
  <c r="R188" i="31"/>
  <c r="S188" i="31"/>
  <c r="R189" i="31"/>
  <c r="R190" i="31"/>
  <c r="S190" i="31" s="1"/>
  <c r="R191" i="31"/>
  <c r="R192" i="31"/>
  <c r="S192" i="31" s="1"/>
  <c r="R193" i="31"/>
  <c r="R194" i="31"/>
  <c r="S194" i="31" s="1"/>
  <c r="R195" i="31"/>
  <c r="R196" i="31"/>
  <c r="S196" i="31"/>
  <c r="R197" i="31"/>
  <c r="R198" i="31"/>
  <c r="S198" i="31"/>
  <c r="R199" i="31"/>
  <c r="R200" i="31"/>
  <c r="S200" i="31"/>
  <c r="R201" i="31"/>
  <c r="R202" i="31"/>
  <c r="S202" i="31"/>
  <c r="R203" i="31"/>
  <c r="R204" i="31"/>
  <c r="S204" i="31"/>
  <c r="R205" i="31"/>
  <c r="R206" i="31"/>
  <c r="S206" i="31" s="1"/>
  <c r="R207" i="31"/>
  <c r="R208" i="31"/>
  <c r="S208" i="31" s="1"/>
  <c r="R209" i="31"/>
  <c r="R210" i="31"/>
  <c r="S210" i="31" s="1"/>
  <c r="R211" i="31"/>
  <c r="R212" i="31"/>
  <c r="S212" i="31"/>
  <c r="R213" i="31"/>
  <c r="R214" i="31"/>
  <c r="S214" i="31"/>
  <c r="R215" i="31"/>
  <c r="R216" i="31"/>
  <c r="S216" i="3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c r="R437" i="31"/>
  <c r="R438" i="31"/>
  <c r="S438" i="31"/>
  <c r="R439" i="31"/>
  <c r="R440" i="31"/>
  <c r="S440" i="31"/>
  <c r="R441" i="31"/>
  <c r="R442" i="31"/>
  <c r="S442" i="31"/>
  <c r="R443" i="31"/>
  <c r="R444" i="31"/>
  <c r="S444" i="31" s="1"/>
  <c r="R445" i="31"/>
  <c r="R446" i="31"/>
  <c r="S446" i="31" s="1"/>
  <c r="R447" i="31"/>
  <c r="R448" i="31"/>
  <c r="S448" i="31" s="1"/>
  <c r="R449" i="31"/>
  <c r="R450" i="31"/>
  <c r="S450" i="31"/>
  <c r="R451" i="31"/>
  <c r="R452" i="31"/>
  <c r="S452" i="31"/>
  <c r="R453" i="31"/>
  <c r="R454" i="31"/>
  <c r="S454" i="31"/>
  <c r="R455" i="31"/>
  <c r="R456" i="31"/>
  <c r="S456" i="31"/>
  <c r="R457" i="31"/>
  <c r="R458" i="31"/>
  <c r="S458" i="31"/>
  <c r="R459" i="31"/>
  <c r="R460" i="31"/>
  <c r="S460" i="31" s="1"/>
  <c r="R461" i="31"/>
  <c r="R462" i="31"/>
  <c r="S462" i="31" s="1"/>
  <c r="R463" i="31"/>
  <c r="R464" i="31"/>
  <c r="S464" i="31" s="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c r="R503" i="31"/>
  <c r="R504" i="31"/>
  <c r="S504" i="31"/>
  <c r="R505" i="31"/>
  <c r="R506" i="31"/>
  <c r="S506" i="31"/>
  <c r="R507" i="31"/>
  <c r="R508" i="31"/>
  <c r="S508" i="31"/>
  <c r="R509" i="31"/>
  <c r="R510" i="31"/>
  <c r="S510" i="31" s="1"/>
  <c r="R511" i="31"/>
  <c r="R512" i="31"/>
  <c r="S512" i="31" s="1"/>
  <c r="R513" i="31"/>
  <c r="R514" i="31"/>
  <c r="S514" i="31" s="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7" i="52" s="1"/>
  <c r="I2" i="46"/>
  <c r="N12" i="46"/>
  <c r="A7" i="46"/>
  <c r="F41" i="4"/>
  <c r="J52" i="40" s="1"/>
  <c r="H61" i="49"/>
  <c r="H39" i="46"/>
  <c r="H38" i="46"/>
  <c r="H37" i="46"/>
  <c r="H36" i="46"/>
  <c r="H35" i="46"/>
  <c r="H34" i="46"/>
  <c r="H33" i="46"/>
  <c r="J20" i="46"/>
  <c r="C18" i="46"/>
  <c r="F15" i="46"/>
  <c r="E15" i="46"/>
  <c r="D15" i="46"/>
  <c r="C15" i="46"/>
  <c r="C10" i="46"/>
  <c r="C11" i="46" s="1"/>
  <c r="C9" i="46"/>
  <c r="E19" i="6"/>
  <c r="K6" i="1" s="1"/>
  <c r="M6" i="1" s="1"/>
  <c r="O6" i="1" s="1"/>
  <c r="E20" i="6"/>
  <c r="E21" i="6"/>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C18" i="9" s="1"/>
  <c r="D17" i="9"/>
  <c r="F17" i="44"/>
  <c r="F19" i="44"/>
  <c r="F22" i="44"/>
  <c r="F25" i="44"/>
  <c r="D25" i="44" s="1"/>
  <c r="F23" i="44"/>
  <c r="E16" i="43"/>
  <c r="F14" i="43"/>
  <c r="F15" i="43"/>
  <c r="F17" i="43"/>
  <c r="F19" i="43"/>
  <c r="F20" i="43"/>
  <c r="F10" i="40"/>
  <c r="AA10" i="40"/>
  <c r="F11" i="40"/>
  <c r="AA11" i="40"/>
  <c r="C21" i="40"/>
  <c r="C32" i="40"/>
  <c r="F36" i="40"/>
  <c r="AA36" i="40" s="1"/>
  <c r="H10" i="40"/>
  <c r="AB10" i="40"/>
  <c r="H11" i="40"/>
  <c r="AB11" i="40"/>
  <c r="H36" i="40"/>
  <c r="AB36" i="40"/>
  <c r="J10" i="40"/>
  <c r="AC10" i="40" s="1"/>
  <c r="J11" i="40"/>
  <c r="AC11" i="40" s="1"/>
  <c r="J36" i="40"/>
  <c r="AC36" i="40"/>
  <c r="F10" i="39"/>
  <c r="AA10" i="39" s="1"/>
  <c r="F11" i="39"/>
  <c r="AA11" i="39" s="1"/>
  <c r="C25" i="39"/>
  <c r="F36" i="39"/>
  <c r="AA36" i="39"/>
  <c r="F40" i="39"/>
  <c r="AA40" i="39" s="1"/>
  <c r="F42" i="39"/>
  <c r="AA42" i="39" s="1"/>
  <c r="H10" i="39"/>
  <c r="AB10" i="39" s="1"/>
  <c r="H11" i="39"/>
  <c r="AB11" i="39"/>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s="1"/>
  <c r="N67" i="9"/>
  <c r="K44" i="9"/>
  <c r="K43" i="9"/>
  <c r="B31" i="1"/>
  <c r="E10" i="11" s="1"/>
  <c r="B22" i="1"/>
  <c r="C2" i="65" s="1"/>
  <c r="B23" i="1"/>
  <c r="BM14" i="3"/>
  <c r="BL14" i="3" s="1"/>
  <c r="BM15" i="3"/>
  <c r="BM16" i="3"/>
  <c r="BM17" i="3"/>
  <c r="BO14" i="3"/>
  <c r="BO5" i="3" s="1"/>
  <c r="BO15" i="3"/>
  <c r="BO16" i="3"/>
  <c r="BO17" i="3"/>
  <c r="BN14" i="3"/>
  <c r="BN15" i="3"/>
  <c r="BN16" i="3"/>
  <c r="BN17" i="3"/>
  <c r="BP14" i="3"/>
  <c r="BP5" i="3" s="1"/>
  <c r="BP15" i="3"/>
  <c r="BP16" i="3"/>
  <c r="BP17" i="3"/>
  <c r="BQ14" i="3"/>
  <c r="BQ15" i="3"/>
  <c r="BQ16" i="3"/>
  <c r="BQ17" i="3"/>
  <c r="BS14" i="3"/>
  <c r="BS5" i="3" s="1"/>
  <c r="BS15" i="3"/>
  <c r="BS16" i="3"/>
  <c r="BS17" i="3"/>
  <c r="BR14" i="3"/>
  <c r="BR15" i="3"/>
  <c r="BR16" i="3"/>
  <c r="BR17" i="3"/>
  <c r="BT14" i="3"/>
  <c r="BT15" i="3"/>
  <c r="BT16" i="3"/>
  <c r="BT17" i="3"/>
  <c r="BD17" i="3"/>
  <c r="BB17" i="3"/>
  <c r="BC17" i="3"/>
  <c r="BE17" i="3"/>
  <c r="BF17" i="3"/>
  <c r="BG17" i="3"/>
  <c r="BH17" i="3"/>
  <c r="BI17" i="3"/>
  <c r="BJ17" i="3"/>
  <c r="BK17" i="3"/>
  <c r="BB14" i="3"/>
  <c r="BC14" i="3"/>
  <c r="BA14" i="3" s="1"/>
  <c r="AZ14" i="3" s="1"/>
  <c r="BD14" i="3"/>
  <c r="BE14" i="3"/>
  <c r="BF14" i="3"/>
  <c r="BG14" i="3"/>
  <c r="BH14" i="3"/>
  <c r="BI14" i="3"/>
  <c r="BJ14" i="3"/>
  <c r="BK14" i="3"/>
  <c r="BB15" i="3"/>
  <c r="BC15" i="3"/>
  <c r="BD15" i="3"/>
  <c r="BE15" i="3"/>
  <c r="BF15" i="3"/>
  <c r="BG15" i="3"/>
  <c r="BH15" i="3"/>
  <c r="BI15" i="3"/>
  <c r="BA15" i="3" s="1"/>
  <c r="AZ15" i="3" s="1"/>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M20" i="15" s="1"/>
  <c r="I48" i="37"/>
  <c r="J48" i="37"/>
  <c r="G48" i="37"/>
  <c r="H48" i="37"/>
  <c r="E48" i="37"/>
  <c r="F48" i="37"/>
  <c r="I55" i="34"/>
  <c r="J55" i="34" s="1"/>
  <c r="G55" i="34"/>
  <c r="H55" i="34"/>
  <c r="E55" i="34"/>
  <c r="F55" i="34"/>
  <c r="I50" i="40"/>
  <c r="J50" i="40"/>
  <c r="G50" i="40"/>
  <c r="H50" i="40" s="1"/>
  <c r="E50" i="40"/>
  <c r="F50" i="40"/>
  <c r="I55" i="39"/>
  <c r="J55" i="39" s="1"/>
  <c r="G55" i="39"/>
  <c r="H55" i="39"/>
  <c r="E55" i="39"/>
  <c r="F55" i="39" s="1"/>
  <c r="I42" i="36"/>
  <c r="J42" i="36"/>
  <c r="G42" i="36"/>
  <c r="H42" i="36"/>
  <c r="E42" i="36"/>
  <c r="F42" i="36"/>
  <c r="I44" i="35"/>
  <c r="J44" i="35" s="1"/>
  <c r="G44" i="35"/>
  <c r="H44" i="35"/>
  <c r="E44" i="35"/>
  <c r="F44" i="35"/>
  <c r="I54" i="33"/>
  <c r="J54" i="33"/>
  <c r="G54" i="33"/>
  <c r="H54" i="33" s="1"/>
  <c r="E54" i="33"/>
  <c r="F54" i="33" s="1"/>
  <c r="H14" i="3"/>
  <c r="G14" i="3" s="1"/>
  <c r="AC14" i="3"/>
  <c r="H15" i="3"/>
  <c r="G15" i="3" s="1"/>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A19" i="3" s="1"/>
  <c r="AZ19" i="3" s="1"/>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BL20" i="3" s="1"/>
  <c r="H481" i="3"/>
  <c r="G481" i="3"/>
  <c r="AC481" i="3"/>
  <c r="BB481" i="3"/>
  <c r="BC481" i="3"/>
  <c r="BD481" i="3"/>
  <c r="BE481" i="3"/>
  <c r="BF481" i="3"/>
  <c r="BG481" i="3"/>
  <c r="BH481" i="3"/>
  <c r="BI481" i="3"/>
  <c r="BJ481" i="3"/>
  <c r="BK481" i="3"/>
  <c r="BM481" i="3"/>
  <c r="BN481" i="3"/>
  <c r="BO481" i="3"/>
  <c r="BL481" i="3" s="1"/>
  <c r="BP481" i="3"/>
  <c r="BQ481" i="3"/>
  <c r="BR481" i="3"/>
  <c r="BS481" i="3"/>
  <c r="BT481" i="3"/>
  <c r="H482" i="3"/>
  <c r="AC482" i="3"/>
  <c r="G482" i="3" s="1"/>
  <c r="BB482" i="3"/>
  <c r="BA482" i="3" s="1"/>
  <c r="BC482" i="3"/>
  <c r="BD482" i="3"/>
  <c r="BE482" i="3"/>
  <c r="BF482" i="3"/>
  <c r="BG482" i="3"/>
  <c r="BH482" i="3"/>
  <c r="BI482" i="3"/>
  <c r="BJ482" i="3"/>
  <c r="BK482" i="3"/>
  <c r="BM482" i="3"/>
  <c r="BN482" i="3"/>
  <c r="BO482" i="3"/>
  <c r="BP482" i="3"/>
  <c r="BR482" i="3"/>
  <c r="BS482" i="3"/>
  <c r="BT482" i="3"/>
  <c r="BL482" i="3" s="1"/>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A484" i="3" s="1"/>
  <c r="AZ484" i="3" s="1"/>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A486" i="3" s="1"/>
  <c r="BE486" i="3"/>
  <c r="BF486" i="3"/>
  <c r="BG486" i="3"/>
  <c r="BH486" i="3"/>
  <c r="BI486" i="3"/>
  <c r="BJ486" i="3"/>
  <c r="BK486" i="3"/>
  <c r="BM486" i="3"/>
  <c r="BN486" i="3"/>
  <c r="BO486" i="3"/>
  <c r="BP486" i="3"/>
  <c r="BR486" i="3"/>
  <c r="BS486" i="3"/>
  <c r="BT486" i="3"/>
  <c r="H487" i="3"/>
  <c r="AC487" i="3"/>
  <c r="AC5"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BL498" i="3" s="1"/>
  <c r="H499" i="3"/>
  <c r="AC499" i="3"/>
  <c r="BB499" i="3"/>
  <c r="BC499" i="3"/>
  <c r="BD499" i="3"/>
  <c r="BE499" i="3"/>
  <c r="BF499" i="3"/>
  <c r="BG499" i="3"/>
  <c r="BH499" i="3"/>
  <c r="BI499" i="3"/>
  <c r="BJ499" i="3"/>
  <c r="BK499" i="3"/>
  <c r="BM499" i="3"/>
  <c r="BN499" i="3"/>
  <c r="BO499" i="3"/>
  <c r="BP499" i="3"/>
  <c r="BL499" i="3" s="1"/>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A501" i="3" s="1"/>
  <c r="BI501" i="3"/>
  <c r="BJ501" i="3"/>
  <c r="BK501" i="3"/>
  <c r="BM501" i="3"/>
  <c r="BN501" i="3"/>
  <c r="BO501" i="3"/>
  <c r="BP501" i="3"/>
  <c r="BQ501" i="3"/>
  <c r="BL501" i="3" s="1"/>
  <c r="BR501" i="3"/>
  <c r="BS501" i="3"/>
  <c r="BT501" i="3"/>
  <c r="H502" i="3"/>
  <c r="AC502" i="3"/>
  <c r="BB502" i="3"/>
  <c r="BC502" i="3"/>
  <c r="BD502" i="3"/>
  <c r="BA502" i="3" s="1"/>
  <c r="AZ502" i="3" s="1"/>
  <c r="BE502" i="3"/>
  <c r="BF502" i="3"/>
  <c r="BG502" i="3"/>
  <c r="BH502" i="3"/>
  <c r="BI502" i="3"/>
  <c r="BJ502" i="3"/>
  <c r="BK502" i="3"/>
  <c r="BM502" i="3"/>
  <c r="BL502" i="3" s="1"/>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L503" i="3" s="1"/>
  <c r="BR503" i="3"/>
  <c r="BS503" i="3"/>
  <c r="BT503" i="3"/>
  <c r="H504" i="3"/>
  <c r="G504" i="3" s="1"/>
  <c r="AC504" i="3"/>
  <c r="BB504" i="3"/>
  <c r="BC504" i="3"/>
  <c r="BD504" i="3"/>
  <c r="BA504" i="3" s="1"/>
  <c r="BE504" i="3"/>
  <c r="BF504" i="3"/>
  <c r="BG504" i="3"/>
  <c r="BH504" i="3"/>
  <c r="BI504" i="3"/>
  <c r="BJ504" i="3"/>
  <c r="BK504" i="3"/>
  <c r="BM504" i="3"/>
  <c r="BL504" i="3" s="1"/>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A524" i="3" s="1"/>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L533" i="3" s="1"/>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L535" i="3" s="1"/>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A541" i="3" s="1"/>
  <c r="BI541" i="3"/>
  <c r="BJ541" i="3"/>
  <c r="BK541" i="3"/>
  <c r="BM541" i="3"/>
  <c r="BN541" i="3"/>
  <c r="BO541" i="3"/>
  <c r="BP541" i="3"/>
  <c r="BQ541" i="3"/>
  <c r="BL541" i="3" s="1"/>
  <c r="AZ541" i="3" s="1"/>
  <c r="BR541" i="3"/>
  <c r="BS541" i="3"/>
  <c r="BT541" i="3"/>
  <c r="H542" i="3"/>
  <c r="BB542" i="3"/>
  <c r="BC542" i="3"/>
  <c r="BD542" i="3"/>
  <c r="BE542" i="3"/>
  <c r="BA542" i="3" s="1"/>
  <c r="AZ542" i="3" s="1"/>
  <c r="BF542" i="3"/>
  <c r="BG542" i="3"/>
  <c r="BH542" i="3"/>
  <c r="BI542" i="3"/>
  <c r="BJ542" i="3"/>
  <c r="BK542" i="3"/>
  <c r="BM542" i="3"/>
  <c r="BN542" i="3"/>
  <c r="BL542" i="3" s="1"/>
  <c r="BO542" i="3"/>
  <c r="BP542" i="3"/>
  <c r="BR542" i="3"/>
  <c r="BS542" i="3"/>
  <c r="BT542" i="3"/>
  <c r="H543" i="3"/>
  <c r="AC543" i="3"/>
  <c r="G543" i="3"/>
  <c r="BB543" i="3"/>
  <c r="BC543" i="3"/>
  <c r="BD543" i="3"/>
  <c r="BE543" i="3"/>
  <c r="BF543" i="3"/>
  <c r="BG543" i="3"/>
  <c r="BH543" i="3"/>
  <c r="BI543" i="3"/>
  <c r="BA543" i="3" s="1"/>
  <c r="AZ543" i="3" s="1"/>
  <c r="BJ543" i="3"/>
  <c r="BK543" i="3"/>
  <c r="BM543" i="3"/>
  <c r="BN543" i="3"/>
  <c r="BO543" i="3"/>
  <c r="BP543" i="3"/>
  <c r="BQ543" i="3"/>
  <c r="BR543" i="3"/>
  <c r="BL543" i="3" s="1"/>
  <c r="BS543" i="3"/>
  <c r="BT543" i="3"/>
  <c r="H544" i="3"/>
  <c r="AC544" i="3"/>
  <c r="BB544" i="3"/>
  <c r="BC544" i="3"/>
  <c r="BD544" i="3"/>
  <c r="BE544" i="3"/>
  <c r="BF544" i="3"/>
  <c r="BG544" i="3"/>
  <c r="BH544" i="3"/>
  <c r="BI544" i="3"/>
  <c r="BJ544" i="3"/>
  <c r="BK544" i="3"/>
  <c r="BM544" i="3"/>
  <c r="BN544" i="3"/>
  <c r="BL544" i="3" s="1"/>
  <c r="BO544" i="3"/>
  <c r="BP544" i="3"/>
  <c r="BR544" i="3"/>
  <c r="BS544" i="3"/>
  <c r="BT544" i="3"/>
  <c r="H545" i="3"/>
  <c r="AC545" i="3"/>
  <c r="BB545" i="3"/>
  <c r="BA545" i="3" s="1"/>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A546" i="3" s="1"/>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A548" i="3" s="1"/>
  <c r="BF548" i="3"/>
  <c r="BG548" i="3"/>
  <c r="BH548" i="3"/>
  <c r="BI548" i="3"/>
  <c r="BJ548" i="3"/>
  <c r="BK548" i="3"/>
  <c r="BM548" i="3"/>
  <c r="BN548" i="3"/>
  <c r="BL548" i="3" s="1"/>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L549" i="3" s="1"/>
  <c r="BT549" i="3"/>
  <c r="H550" i="3"/>
  <c r="AC550" i="3"/>
  <c r="BB550" i="3"/>
  <c r="BC550" i="3"/>
  <c r="BD550" i="3"/>
  <c r="BE550" i="3"/>
  <c r="BF550" i="3"/>
  <c r="BA550" i="3" s="1"/>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L551" i="3" s="1"/>
  <c r="BT551" i="3"/>
  <c r="H552" i="3"/>
  <c r="AC552" i="3"/>
  <c r="BB552" i="3"/>
  <c r="BC552" i="3"/>
  <c r="BD552" i="3"/>
  <c r="BE552" i="3"/>
  <c r="BF552" i="3"/>
  <c r="BG552" i="3"/>
  <c r="BH552" i="3"/>
  <c r="BI552" i="3"/>
  <c r="BJ552" i="3"/>
  <c r="BK552" i="3"/>
  <c r="BM552" i="3"/>
  <c r="BN552" i="3"/>
  <c r="BO552" i="3"/>
  <c r="BL552" i="3" s="1"/>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BL553" i="3" s="1"/>
  <c r="H554" i="3"/>
  <c r="AC554" i="3"/>
  <c r="BB554" i="3"/>
  <c r="BC554" i="3"/>
  <c r="BD554" i="3"/>
  <c r="BE554" i="3"/>
  <c r="BF554" i="3"/>
  <c r="BG554" i="3"/>
  <c r="BA554" i="3" s="1"/>
  <c r="BH554" i="3"/>
  <c r="BI554" i="3"/>
  <c r="BJ554" i="3"/>
  <c r="BK554" i="3"/>
  <c r="BM554" i="3"/>
  <c r="BN554" i="3"/>
  <c r="BO554" i="3"/>
  <c r="BP554" i="3"/>
  <c r="BL554" i="3" s="1"/>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A556" i="3" s="1"/>
  <c r="BH556" i="3"/>
  <c r="BI556" i="3"/>
  <c r="BJ556" i="3"/>
  <c r="BK556" i="3"/>
  <c r="BM556" i="3"/>
  <c r="BN556" i="3"/>
  <c r="BO556" i="3"/>
  <c r="BP556" i="3"/>
  <c r="BL556" i="3" s="1"/>
  <c r="BR556" i="3"/>
  <c r="BS556" i="3"/>
  <c r="BT556" i="3"/>
  <c r="H557" i="3"/>
  <c r="AC557" i="3"/>
  <c r="BB557" i="3"/>
  <c r="BC557" i="3"/>
  <c r="BD557" i="3"/>
  <c r="BA557" i="3" s="1"/>
  <c r="BE557" i="3"/>
  <c r="BF557" i="3"/>
  <c r="BG557" i="3"/>
  <c r="BH557" i="3"/>
  <c r="BI557" i="3"/>
  <c r="BJ557" i="3"/>
  <c r="BK557" i="3"/>
  <c r="BM557" i="3"/>
  <c r="BL557" i="3" s="1"/>
  <c r="BN557" i="3"/>
  <c r="BO557" i="3"/>
  <c r="BP557" i="3"/>
  <c r="BQ557" i="3"/>
  <c r="BR557" i="3"/>
  <c r="BS557" i="3"/>
  <c r="BT557" i="3"/>
  <c r="H558" i="3"/>
  <c r="G558" i="3" s="1"/>
  <c r="AC558" i="3"/>
  <c r="BB558" i="3"/>
  <c r="BC558" i="3"/>
  <c r="BD558" i="3"/>
  <c r="BE558" i="3"/>
  <c r="BF558" i="3"/>
  <c r="BG558" i="3"/>
  <c r="BH558" i="3"/>
  <c r="BA558" i="3" s="1"/>
  <c r="BI558" i="3"/>
  <c r="BJ558" i="3"/>
  <c r="BK558" i="3"/>
  <c r="BM558" i="3"/>
  <c r="BN558" i="3"/>
  <c r="BO558" i="3"/>
  <c r="BP558" i="3"/>
  <c r="BR558" i="3"/>
  <c r="BS558" i="3"/>
  <c r="BT558" i="3"/>
  <c r="H559" i="3"/>
  <c r="AC559" i="3"/>
  <c r="G559" i="3"/>
  <c r="BB559" i="3"/>
  <c r="BC559" i="3"/>
  <c r="BD559" i="3"/>
  <c r="BA559" i="3" s="1"/>
  <c r="BE559" i="3"/>
  <c r="BF559" i="3"/>
  <c r="BG559" i="3"/>
  <c r="BH559" i="3"/>
  <c r="BI559" i="3"/>
  <c r="BJ559" i="3"/>
  <c r="BK559" i="3"/>
  <c r="BM559" i="3"/>
  <c r="BL559" i="3" s="1"/>
  <c r="BN559" i="3"/>
  <c r="BO559" i="3"/>
  <c r="BP559" i="3"/>
  <c r="BQ559" i="3"/>
  <c r="BR559" i="3"/>
  <c r="BS559" i="3"/>
  <c r="BT559" i="3"/>
  <c r="H560" i="3"/>
  <c r="G560" i="3" s="1"/>
  <c r="AC560" i="3"/>
  <c r="BB560" i="3"/>
  <c r="BC560" i="3"/>
  <c r="BD560" i="3"/>
  <c r="BE560" i="3"/>
  <c r="BF560" i="3"/>
  <c r="BG560" i="3"/>
  <c r="BH560" i="3"/>
  <c r="BA560" i="3" s="1"/>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L561" i="3" s="1"/>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A563" i="3" s="1"/>
  <c r="BG563" i="3"/>
  <c r="BH563" i="3"/>
  <c r="BI563" i="3"/>
  <c r="BJ563" i="3"/>
  <c r="BK563" i="3"/>
  <c r="BM563" i="3"/>
  <c r="BN563" i="3"/>
  <c r="BO563" i="3"/>
  <c r="BL563" i="3" s="1"/>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A565" i="3" s="1"/>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c r="C26" i="35"/>
  <c r="C79" i="35"/>
  <c r="J31" i="35"/>
  <c r="H31" i="35"/>
  <c r="F31" i="35"/>
  <c r="AA31" i="35" s="1"/>
  <c r="D87" i="35"/>
  <c r="E87" i="35"/>
  <c r="F87" i="35"/>
  <c r="G87" i="35" s="1"/>
  <c r="H87" i="35" s="1"/>
  <c r="I87" i="35" s="1"/>
  <c r="J87" i="35" s="1"/>
  <c r="K87" i="35" s="1"/>
  <c r="L87" i="35" s="1"/>
  <c r="M87" i="35" s="1"/>
  <c r="H34" i="37"/>
  <c r="D101" i="37"/>
  <c r="F34" i="37"/>
  <c r="D99" i="37"/>
  <c r="E99" i="37"/>
  <c r="H42" i="34"/>
  <c r="J42" i="34"/>
  <c r="F42" i="34"/>
  <c r="J38" i="34"/>
  <c r="D114" i="34"/>
  <c r="F38" i="34"/>
  <c r="D112" i="34"/>
  <c r="E112" i="34"/>
  <c r="F112" i="34" s="1"/>
  <c r="G112" i="34"/>
  <c r="H112" i="34"/>
  <c r="I112" i="34"/>
  <c r="J112" i="34" s="1"/>
  <c r="K112" i="34" s="1"/>
  <c r="L112" i="34" s="1"/>
  <c r="M112" i="34" s="1"/>
  <c r="F40" i="33"/>
  <c r="J41" i="33"/>
  <c r="AC41" i="33"/>
  <c r="D113" i="33"/>
  <c r="F37" i="33"/>
  <c r="AA37" i="33" s="1"/>
  <c r="D111" i="33"/>
  <c r="E111" i="33"/>
  <c r="F111" i="33" s="1"/>
  <c r="G111" i="33"/>
  <c r="H111" i="33" s="1"/>
  <c r="I111" i="33"/>
  <c r="J111" i="33" s="1"/>
  <c r="K111" i="33" s="1"/>
  <c r="L111" i="33" s="1"/>
  <c r="M111" i="33" s="1"/>
  <c r="S515" i="31"/>
  <c r="S517" i="31"/>
  <c r="S519" i="31"/>
  <c r="S521" i="31"/>
  <c r="S523" i="31"/>
  <c r="F41" i="21"/>
  <c r="J41" i="21"/>
  <c r="AC41" i="21"/>
  <c r="H41" i="21"/>
  <c r="U41" i="21"/>
  <c r="D83" i="39"/>
  <c r="E83" i="39" s="1"/>
  <c r="F83" i="39" s="1"/>
  <c r="D78" i="40"/>
  <c r="F13" i="40"/>
  <c r="S13" i="40" s="1"/>
  <c r="B122" i="40"/>
  <c r="F42" i="40" s="1"/>
  <c r="AA42" i="40" s="1"/>
  <c r="B120" i="40"/>
  <c r="B118" i="40"/>
  <c r="F40" i="40"/>
  <c r="AA40" i="40" s="1"/>
  <c r="D117" i="40"/>
  <c r="E117" i="40"/>
  <c r="F117" i="40" s="1"/>
  <c r="G117" i="40"/>
  <c r="H117" i="40"/>
  <c r="I117" i="40" s="1"/>
  <c r="J117" i="40" s="1"/>
  <c r="K117" i="40" s="1"/>
  <c r="L117" i="40" s="1"/>
  <c r="M117" i="40" s="1"/>
  <c r="D115" i="40"/>
  <c r="J38" i="40"/>
  <c r="AC38" i="40"/>
  <c r="E115" i="40"/>
  <c r="F115" i="40" s="1"/>
  <c r="G115" i="40" s="1"/>
  <c r="H115" i="40" s="1"/>
  <c r="I115" i="40" s="1"/>
  <c r="J115" i="40" s="1"/>
  <c r="K115" i="40" s="1"/>
  <c r="L115" i="40" s="1"/>
  <c r="M115" i="40" s="1"/>
  <c r="H38" i="40"/>
  <c r="AB38" i="40" s="1"/>
  <c r="D113" i="40"/>
  <c r="E113" i="40"/>
  <c r="F113" i="40" s="1"/>
  <c r="M109" i="40"/>
  <c r="L109" i="40"/>
  <c r="K109" i="40"/>
  <c r="J109" i="40"/>
  <c r="I109" i="40"/>
  <c r="H109" i="40"/>
  <c r="G109" i="40"/>
  <c r="F109" i="40"/>
  <c r="E109" i="40"/>
  <c r="D109" i="40"/>
  <c r="C109" i="40"/>
  <c r="B107" i="40"/>
  <c r="B105" i="40"/>
  <c r="B103" i="40"/>
  <c r="D102" i="40"/>
  <c r="E102" i="40"/>
  <c r="F102" i="40" s="1"/>
  <c r="G102" i="40"/>
  <c r="H102" i="40" s="1"/>
  <c r="I102" i="40" s="1"/>
  <c r="J102" i="40" s="1"/>
  <c r="K102" i="40" s="1"/>
  <c r="L102" i="40" s="1"/>
  <c r="M102" i="40" s="1"/>
  <c r="D100" i="40"/>
  <c r="E100" i="40"/>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c r="Q40" i="40"/>
  <c r="Z40" i="40"/>
  <c r="Q39" i="40"/>
  <c r="Z39" i="40"/>
  <c r="Q38" i="40"/>
  <c r="Z38" i="40" s="1"/>
  <c r="Q37" i="40"/>
  <c r="Z37" i="40" s="1"/>
  <c r="Q36" i="40"/>
  <c r="Z36" i="40"/>
  <c r="Q35" i="40"/>
  <c r="Z35" i="40"/>
  <c r="Q34" i="40"/>
  <c r="Z34" i="40" s="1"/>
  <c r="Q33" i="40"/>
  <c r="Z33" i="40"/>
  <c r="Q32" i="40"/>
  <c r="Z32" i="40"/>
  <c r="Q30" i="40"/>
  <c r="Z30" i="40"/>
  <c r="Q29" i="40"/>
  <c r="Z29" i="40" s="1"/>
  <c r="Q25" i="40"/>
  <c r="Z25" i="40" s="1"/>
  <c r="Q23" i="40"/>
  <c r="Z23" i="40"/>
  <c r="Q21" i="40"/>
  <c r="Z21" i="40"/>
  <c r="Q19" i="40"/>
  <c r="Z19" i="40" s="1"/>
  <c r="Q17" i="40"/>
  <c r="Z17" i="40" s="1"/>
  <c r="Q16" i="40"/>
  <c r="Z16" i="40"/>
  <c r="Q15" i="40"/>
  <c r="Z15" i="40"/>
  <c r="Q14" i="40"/>
  <c r="Z14" i="40" s="1"/>
  <c r="Q13" i="40"/>
  <c r="Z13" i="40"/>
  <c r="Q12" i="40"/>
  <c r="Z12" i="40"/>
  <c r="Q11" i="40"/>
  <c r="Z11" i="40"/>
  <c r="C9" i="40"/>
  <c r="C65" i="40"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F23" i="39" s="1"/>
  <c r="D95" i="39"/>
  <c r="E95" i="39" s="1"/>
  <c r="F95" i="39" s="1"/>
  <c r="G95" i="39" s="1"/>
  <c r="D93" i="39"/>
  <c r="E93" i="39"/>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E103" i="37" s="1"/>
  <c r="J35" i="37"/>
  <c r="AC35" i="37" s="1"/>
  <c r="F97" i="37"/>
  <c r="E97" i="37"/>
  <c r="D97" i="37"/>
  <c r="C97" i="37"/>
  <c r="D96" i="37"/>
  <c r="E96" i="37"/>
  <c r="D94" i="37"/>
  <c r="E94" i="37" s="1"/>
  <c r="M90" i="37"/>
  <c r="L90" i="37"/>
  <c r="K90" i="37"/>
  <c r="J90" i="37"/>
  <c r="I90" i="37"/>
  <c r="H90" i="37"/>
  <c r="G90" i="37"/>
  <c r="F90" i="37"/>
  <c r="E90" i="37"/>
  <c r="D90" i="37"/>
  <c r="C90" i="37"/>
  <c r="D89" i="37"/>
  <c r="B86" i="37"/>
  <c r="B84" i="37"/>
  <c r="H27" i="37"/>
  <c r="U27" i="37"/>
  <c r="B82" i="37"/>
  <c r="D79" i="37"/>
  <c r="E79" i="37"/>
  <c r="D75" i="37"/>
  <c r="E75" i="37"/>
  <c r="F75" i="37"/>
  <c r="D73" i="37"/>
  <c r="E73" i="37"/>
  <c r="F73" i="37" s="1"/>
  <c r="G73" i="37" s="1"/>
  <c r="D71" i="37"/>
  <c r="E71" i="37" s="1"/>
  <c r="F71" i="37" s="1"/>
  <c r="G71" i="37" s="1"/>
  <c r="F15" i="37"/>
  <c r="AA15" i="37"/>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c r="Q38" i="37"/>
  <c r="Z38" i="37"/>
  <c r="Q37" i="37"/>
  <c r="Z37" i="37" s="1"/>
  <c r="Q36" i="37"/>
  <c r="Z36" i="37" s="1"/>
  <c r="Q35" i="37"/>
  <c r="Z35" i="37"/>
  <c r="Q34" i="37"/>
  <c r="Z34" i="37"/>
  <c r="Q33" i="37"/>
  <c r="Z33" i="37" s="1"/>
  <c r="Q32" i="37"/>
  <c r="Z32" i="37" s="1"/>
  <c r="Q31" i="37"/>
  <c r="Z31" i="37"/>
  <c r="J31" i="37"/>
  <c r="Q30" i="37"/>
  <c r="Z30" i="37"/>
  <c r="J30" i="37"/>
  <c r="W30" i="37" s="1"/>
  <c r="H30" i="37"/>
  <c r="AB30" i="37" s="1"/>
  <c r="F30" i="37"/>
  <c r="Q29" i="37"/>
  <c r="Z29" i="37"/>
  <c r="H29" i="37"/>
  <c r="U29" i="37" s="1"/>
  <c r="Q28" i="37"/>
  <c r="Z28" i="37" s="1"/>
  <c r="Q27" i="37"/>
  <c r="Z27" i="37"/>
  <c r="Q26" i="37"/>
  <c r="Z26" i="37"/>
  <c r="J26" i="37"/>
  <c r="H26" i="37"/>
  <c r="AB26" i="37" s="1"/>
  <c r="F26" i="37"/>
  <c r="AA26" i="37" s="1"/>
  <c r="Q25" i="37"/>
  <c r="Z25" i="37" s="1"/>
  <c r="J25" i="37"/>
  <c r="W25" i="37" s="1"/>
  <c r="F25" i="37"/>
  <c r="AA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W31" i="36"/>
  <c r="H31" i="36"/>
  <c r="AB31" i="36" s="1"/>
  <c r="F31" i="36"/>
  <c r="S31" i="36" s="1"/>
  <c r="M86" i="36"/>
  <c r="L86" i="36"/>
  <c r="K86" i="36"/>
  <c r="J86" i="36"/>
  <c r="I86" i="36"/>
  <c r="H86" i="36"/>
  <c r="G86" i="36"/>
  <c r="F86" i="36"/>
  <c r="E86" i="36"/>
  <c r="D86" i="36"/>
  <c r="C86" i="36"/>
  <c r="D85" i="36"/>
  <c r="H29" i="36"/>
  <c r="AB29" i="36"/>
  <c r="D81" i="36"/>
  <c r="E81" i="36" s="1"/>
  <c r="F81" i="36" s="1"/>
  <c r="G81" i="36" s="1"/>
  <c r="H81" i="36" s="1"/>
  <c r="I81" i="36" s="1"/>
  <c r="J81" i="36"/>
  <c r="K81" i="36" s="1"/>
  <c r="L81" i="36" s="1"/>
  <c r="M81" i="36" s="1"/>
  <c r="F79" i="36"/>
  <c r="E79" i="36"/>
  <c r="D79" i="36"/>
  <c r="C79" i="36"/>
  <c r="B93" i="36"/>
  <c r="B91" i="36"/>
  <c r="F32" i="36" s="1"/>
  <c r="S32" i="36" s="1"/>
  <c r="B95" i="36"/>
  <c r="D83" i="36"/>
  <c r="E83" i="36"/>
  <c r="F83" i="36" s="1"/>
  <c r="G83" i="36" s="1"/>
  <c r="H83" i="36" s="1"/>
  <c r="I83" i="36" s="1"/>
  <c r="J83" i="36"/>
  <c r="K83" i="36" s="1"/>
  <c r="L83" i="36" s="1"/>
  <c r="M83" i="36" s="1"/>
  <c r="D78" i="36"/>
  <c r="J26" i="36"/>
  <c r="W26" i="36" s="1"/>
  <c r="B75" i="36"/>
  <c r="B73" i="36"/>
  <c r="J24" i="36" s="1"/>
  <c r="W24" i="36"/>
  <c r="B71" i="36"/>
  <c r="D70" i="36"/>
  <c r="H22" i="36"/>
  <c r="AB22" i="36" s="1"/>
  <c r="D68" i="36"/>
  <c r="E68" i="36"/>
  <c r="D64" i="36"/>
  <c r="E64" i="36"/>
  <c r="F64" i="36" s="1"/>
  <c r="G64" i="36"/>
  <c r="J16" i="36"/>
  <c r="D62" i="36"/>
  <c r="E62" i="36" s="1"/>
  <c r="B59" i="36"/>
  <c r="B57" i="36"/>
  <c r="J12" i="36"/>
  <c r="B55" i="36"/>
  <c r="F54" i="36"/>
  <c r="G54" i="36"/>
  <c r="H54" i="36"/>
  <c r="I54" i="36" s="1"/>
  <c r="J10" i="36"/>
  <c r="W10" i="36" s="1"/>
  <c r="C51" i="36"/>
  <c r="H9" i="36" s="1"/>
  <c r="P37" i="36"/>
  <c r="P36" i="36"/>
  <c r="V35" i="36"/>
  <c r="T35" i="36"/>
  <c r="R35" i="36"/>
  <c r="P35" i="36"/>
  <c r="Q34" i="36"/>
  <c r="Z34" i="36"/>
  <c r="Q33" i="36"/>
  <c r="Z33" i="36" s="1"/>
  <c r="Q32" i="36"/>
  <c r="Z32" i="36" s="1"/>
  <c r="Q31" i="36"/>
  <c r="Z31" i="36"/>
  <c r="Q30" i="36"/>
  <c r="Z30" i="36"/>
  <c r="Q29" i="36"/>
  <c r="Z29" i="36" s="1"/>
  <c r="Q28" i="36"/>
  <c r="Z28" i="36" s="1"/>
  <c r="J28" i="36"/>
  <c r="AC28" i="36"/>
  <c r="Q27" i="36"/>
  <c r="Z27" i="36"/>
  <c r="Q26" i="36"/>
  <c r="Z26" i="36" s="1"/>
  <c r="H26" i="36"/>
  <c r="Q25" i="36"/>
  <c r="Z25" i="36"/>
  <c r="Q24" i="36"/>
  <c r="Z24" i="36"/>
  <c r="H24" i="36"/>
  <c r="AB24" i="36" s="1"/>
  <c r="Q23" i="36"/>
  <c r="Z23" i="36" s="1"/>
  <c r="F23" i="36"/>
  <c r="AA23" i="36" s="1"/>
  <c r="Q22" i="36"/>
  <c r="Z22" i="36" s="1"/>
  <c r="J22" i="36"/>
  <c r="AC22" i="36"/>
  <c r="Q20" i="36"/>
  <c r="Z20" i="36"/>
  <c r="Q16" i="36"/>
  <c r="Z16" i="36" s="1"/>
  <c r="Q14" i="36"/>
  <c r="Z14" i="36" s="1"/>
  <c r="Q13" i="36"/>
  <c r="Z13" i="36"/>
  <c r="Q12" i="36"/>
  <c r="Z12" i="36"/>
  <c r="H12" i="36"/>
  <c r="U12" i="36" s="1"/>
  <c r="Q11" i="36"/>
  <c r="Z11" i="36" s="1"/>
  <c r="Q10" i="36"/>
  <c r="Z10" i="36"/>
  <c r="F10" i="36"/>
  <c r="AA10" i="36"/>
  <c r="Q9" i="36"/>
  <c r="Z9" i="36" s="1"/>
  <c r="J9" i="36"/>
  <c r="AC9" i="36" s="1"/>
  <c r="AB9" i="36"/>
  <c r="F9" i="36"/>
  <c r="AA9" i="36"/>
  <c r="J8" i="36"/>
  <c r="AC8" i="36" s="1"/>
  <c r="H8" i="36"/>
  <c r="U8" i="36" s="1"/>
  <c r="F8" i="36"/>
  <c r="AA8" i="36"/>
  <c r="C7" i="36"/>
  <c r="C46" i="36" s="1"/>
  <c r="D46" i="36" s="1"/>
  <c r="D89" i="35"/>
  <c r="H30" i="35"/>
  <c r="U30" i="35"/>
  <c r="M90" i="35"/>
  <c r="L90" i="35"/>
  <c r="K90" i="35"/>
  <c r="J90" i="35"/>
  <c r="I90" i="35"/>
  <c r="H90" i="35"/>
  <c r="G90" i="35"/>
  <c r="F90" i="35"/>
  <c r="E90" i="35"/>
  <c r="D90" i="35"/>
  <c r="C90" i="35"/>
  <c r="F85" i="35"/>
  <c r="E85" i="35"/>
  <c r="D85" i="35"/>
  <c r="C85" i="35"/>
  <c r="J27" i="35"/>
  <c r="H27" i="35"/>
  <c r="U27" i="35" s="1"/>
  <c r="F27" i="35"/>
  <c r="AA27" i="35"/>
  <c r="J22" i="35"/>
  <c r="AC22" i="35"/>
  <c r="B101" i="35"/>
  <c r="H36" i="35"/>
  <c r="B99" i="35"/>
  <c r="B97" i="35"/>
  <c r="B77" i="35"/>
  <c r="B75" i="35"/>
  <c r="J24" i="35" s="1"/>
  <c r="W24" i="35" s="1"/>
  <c r="B73" i="35"/>
  <c r="B57" i="35"/>
  <c r="B61" i="35"/>
  <c r="B59" i="35"/>
  <c r="H12" i="35"/>
  <c r="B131" i="34"/>
  <c r="B129" i="34"/>
  <c r="B127" i="34"/>
  <c r="B99" i="34"/>
  <c r="B97" i="34"/>
  <c r="B95" i="34"/>
  <c r="B93" i="34"/>
  <c r="B75" i="34"/>
  <c r="B73" i="34"/>
  <c r="B71" i="34"/>
  <c r="B130" i="33"/>
  <c r="H46" i="33" s="1"/>
  <c r="AB46" i="33" s="1"/>
  <c r="B128" i="33"/>
  <c r="H45" i="33"/>
  <c r="U45" i="33" s="1"/>
  <c r="B126" i="33"/>
  <c r="B98" i="33"/>
  <c r="F31" i="33"/>
  <c r="AA31" i="33"/>
  <c r="B96" i="33"/>
  <c r="B94" i="33"/>
  <c r="J29" i="33" s="1"/>
  <c r="W29" i="33" s="1"/>
  <c r="B74" i="33"/>
  <c r="B72" i="33"/>
  <c r="B70" i="33"/>
  <c r="D96" i="35"/>
  <c r="E96" i="35"/>
  <c r="F96" i="35"/>
  <c r="G96" i="35" s="1"/>
  <c r="D94" i="35"/>
  <c r="D84" i="35"/>
  <c r="E84" i="35" s="1"/>
  <c r="F84" i="35" s="1"/>
  <c r="G84" i="35" s="1"/>
  <c r="H84" i="35" s="1"/>
  <c r="I84" i="35"/>
  <c r="J84" i="35"/>
  <c r="K84" i="35" s="1"/>
  <c r="L84" i="35" s="1"/>
  <c r="M84" i="35" s="1"/>
  <c r="D80" i="35"/>
  <c r="D72" i="35"/>
  <c r="D70" i="35"/>
  <c r="E70" i="35"/>
  <c r="F70" i="35"/>
  <c r="G70" i="35" s="1"/>
  <c r="D66" i="35"/>
  <c r="E66" i="35"/>
  <c r="F66" i="35" s="1"/>
  <c r="G66" i="35" s="1"/>
  <c r="D64" i="35"/>
  <c r="E64" i="35" s="1"/>
  <c r="F64" i="35"/>
  <c r="G64" i="35" s="1"/>
  <c r="F56" i="35"/>
  <c r="G56" i="35"/>
  <c r="H56" i="35" s="1"/>
  <c r="I56" i="35" s="1"/>
  <c r="C53" i="35"/>
  <c r="H9" i="35"/>
  <c r="AB9" i="35" s="1"/>
  <c r="P39" i="35"/>
  <c r="P38" i="35"/>
  <c r="V37" i="35"/>
  <c r="T37" i="35"/>
  <c r="R37" i="35"/>
  <c r="P37" i="35"/>
  <c r="Q36" i="35"/>
  <c r="Z36" i="35" s="1"/>
  <c r="J36" i="35"/>
  <c r="AC36" i="35" s="1"/>
  <c r="Q35" i="35"/>
  <c r="Z35" i="35" s="1"/>
  <c r="Q34" i="35"/>
  <c r="Z34" i="35"/>
  <c r="J34" i="35"/>
  <c r="AC34" i="35"/>
  <c r="H34" i="35"/>
  <c r="AB34" i="35"/>
  <c r="F34" i="35"/>
  <c r="AA34" i="35" s="1"/>
  <c r="Q33" i="35"/>
  <c r="Z33" i="35" s="1"/>
  <c r="Q32" i="35"/>
  <c r="Z32" i="35" s="1"/>
  <c r="H32" i="35"/>
  <c r="AB32" i="35" s="1"/>
  <c r="F32" i="35"/>
  <c r="AA32" i="35" s="1"/>
  <c r="Q31" i="35"/>
  <c r="Z31" i="35" s="1"/>
  <c r="AC31" i="35"/>
  <c r="AB31" i="35"/>
  <c r="Q30" i="35"/>
  <c r="Z30" i="35"/>
  <c r="Q29" i="35"/>
  <c r="Z29" i="35" s="1"/>
  <c r="Q28" i="35"/>
  <c r="Z28" i="35" s="1"/>
  <c r="J28" i="35"/>
  <c r="H28" i="35"/>
  <c r="F28" i="35"/>
  <c r="AA28" i="35"/>
  <c r="Q27" i="35"/>
  <c r="Z27" i="35" s="1"/>
  <c r="Q26" i="35"/>
  <c r="Z26" i="35" s="1"/>
  <c r="Q25" i="35"/>
  <c r="Z25" i="35"/>
  <c r="Q24" i="35"/>
  <c r="Z24" i="35"/>
  <c r="Q23" i="35"/>
  <c r="Z23" i="35" s="1"/>
  <c r="J23" i="35"/>
  <c r="AC23" i="35" s="1"/>
  <c r="Q22" i="35"/>
  <c r="Z22" i="35"/>
  <c r="Q20" i="35"/>
  <c r="Z20" i="35"/>
  <c r="Q16" i="35"/>
  <c r="Z16" i="35" s="1"/>
  <c r="Q14" i="35"/>
  <c r="Z14" i="35" s="1"/>
  <c r="Q13" i="35"/>
  <c r="Z13" i="35"/>
  <c r="Q12" i="35"/>
  <c r="Z12" i="35"/>
  <c r="J12" i="35"/>
  <c r="W12" i="35" s="1"/>
  <c r="F12" i="35"/>
  <c r="AA12" i="35" s="1"/>
  <c r="Q11" i="35"/>
  <c r="Z11" i="35"/>
  <c r="Q10" i="35"/>
  <c r="Z10" i="35"/>
  <c r="Q9" i="35"/>
  <c r="Z9" i="35" s="1"/>
  <c r="J9" i="35"/>
  <c r="W9" i="35" s="1"/>
  <c r="F9" i="35"/>
  <c r="AA9" i="35"/>
  <c r="J8" i="35"/>
  <c r="H8" i="35"/>
  <c r="AB8" i="35" s="1"/>
  <c r="F8" i="35"/>
  <c r="AA8" i="35" s="1"/>
  <c r="C7" i="35"/>
  <c r="D120" i="34"/>
  <c r="E120" i="34" s="1"/>
  <c r="F120" i="34" s="1"/>
  <c r="G120" i="34" s="1"/>
  <c r="H120" i="34"/>
  <c r="I120" i="34" s="1"/>
  <c r="J120" i="34" s="1"/>
  <c r="K120" i="34"/>
  <c r="L120" i="34" s="1"/>
  <c r="M120" i="34" s="1"/>
  <c r="D90" i="34"/>
  <c r="C15" i="34"/>
  <c r="F67" i="34"/>
  <c r="G67" i="34"/>
  <c r="H67" i="34" s="1"/>
  <c r="I67" i="34" s="1"/>
  <c r="H10" i="34"/>
  <c r="AB10" i="34" s="1"/>
  <c r="D126" i="34"/>
  <c r="E126" i="34" s="1"/>
  <c r="F126" i="34" s="1"/>
  <c r="G126" i="34" s="1"/>
  <c r="D124" i="34"/>
  <c r="E124" i="34"/>
  <c r="F124" i="34" s="1"/>
  <c r="G124" i="34" s="1"/>
  <c r="H124" i="34" s="1"/>
  <c r="I124" i="34" s="1"/>
  <c r="J124" i="34" s="1"/>
  <c r="K124" i="34"/>
  <c r="L124" i="34" s="1"/>
  <c r="M124" i="34" s="1"/>
  <c r="J43" i="34"/>
  <c r="D118" i="34"/>
  <c r="E118" i="34"/>
  <c r="F118" i="34" s="1"/>
  <c r="G118" i="34" s="1"/>
  <c r="H40" i="34"/>
  <c r="U40" i="34"/>
  <c r="D116" i="34"/>
  <c r="E116" i="34" s="1"/>
  <c r="F116" i="34" s="1"/>
  <c r="G116" i="34" s="1"/>
  <c r="H116" i="34" s="1"/>
  <c r="I116" i="34" s="1"/>
  <c r="J116" i="34" s="1"/>
  <c r="K116" i="34"/>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B89" i="34"/>
  <c r="J27" i="34"/>
  <c r="D88" i="34"/>
  <c r="E88" i="34"/>
  <c r="F88" i="34" s="1"/>
  <c r="G88" i="34"/>
  <c r="H88" i="34" s="1"/>
  <c r="I88" i="34" s="1"/>
  <c r="J88" i="34" s="1"/>
  <c r="K88" i="34" s="1"/>
  <c r="L88" i="34" s="1"/>
  <c r="M88" i="34" s="1"/>
  <c r="D86" i="34"/>
  <c r="E86" i="34"/>
  <c r="D82" i="34"/>
  <c r="E82" i="34" s="1"/>
  <c r="F82" i="34" s="1"/>
  <c r="G82" i="34" s="1"/>
  <c r="D80" i="34"/>
  <c r="D78" i="34"/>
  <c r="D70" i="34"/>
  <c r="E70" i="34"/>
  <c r="F70" i="34"/>
  <c r="G70" i="34" s="1"/>
  <c r="H70" i="34" s="1"/>
  <c r="I70" i="34" s="1"/>
  <c r="J70" i="34" s="1"/>
  <c r="K70" i="34" s="1"/>
  <c r="L70" i="34" s="1"/>
  <c r="M70" i="34"/>
  <c r="M68" i="34"/>
  <c r="L68" i="34"/>
  <c r="K68" i="34"/>
  <c r="J68" i="34"/>
  <c r="I68" i="34"/>
  <c r="H68" i="34"/>
  <c r="G68" i="34"/>
  <c r="F68" i="34"/>
  <c r="E68" i="34"/>
  <c r="D68" i="34"/>
  <c r="C68" i="34"/>
  <c r="C64" i="34"/>
  <c r="H9" i="34" s="1"/>
  <c r="AB9" i="34" s="1"/>
  <c r="P50" i="34"/>
  <c r="P49" i="34"/>
  <c r="V48" i="34"/>
  <c r="T48" i="34"/>
  <c r="R48" i="34"/>
  <c r="P48" i="34"/>
  <c r="Q47" i="34"/>
  <c r="Z47" i="34" s="1"/>
  <c r="Q46" i="34"/>
  <c r="Z46" i="34"/>
  <c r="Q45" i="34"/>
  <c r="Z45" i="34"/>
  <c r="Q44" i="34"/>
  <c r="Z44" i="34"/>
  <c r="H44" i="34"/>
  <c r="AB44" i="34" s="1"/>
  <c r="Q43" i="34"/>
  <c r="Z43" i="34"/>
  <c r="F43" i="34"/>
  <c r="AA43" i="34"/>
  <c r="Q42" i="34"/>
  <c r="Z42" i="34"/>
  <c r="Q41" i="34"/>
  <c r="Z41" i="34" s="1"/>
  <c r="Q40" i="34"/>
  <c r="Z40" i="34"/>
  <c r="F40" i="34"/>
  <c r="S40" i="34"/>
  <c r="Q39" i="34"/>
  <c r="Z39" i="34"/>
  <c r="J39" i="34"/>
  <c r="H39" i="34"/>
  <c r="U39" i="34"/>
  <c r="F39" i="34"/>
  <c r="Q38" i="34"/>
  <c r="Z38" i="34" s="1"/>
  <c r="Q37" i="34"/>
  <c r="Z37" i="34"/>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c r="Q12" i="34"/>
  <c r="Z12" i="34" s="1"/>
  <c r="Q11" i="34"/>
  <c r="Z11" i="34"/>
  <c r="Q10" i="34"/>
  <c r="Z10" i="34"/>
  <c r="F10" i="34"/>
  <c r="AA10" i="34"/>
  <c r="Q9" i="34"/>
  <c r="Z9" i="34" s="1"/>
  <c r="J9" i="34"/>
  <c r="AC9" i="34" s="1"/>
  <c r="F9" i="34"/>
  <c r="AA9" i="34" s="1"/>
  <c r="J8" i="34"/>
  <c r="AC8" i="34" s="1"/>
  <c r="H8" i="34"/>
  <c r="U8" i="34" s="1"/>
  <c r="F8" i="34"/>
  <c r="AA8" i="34"/>
  <c r="C7" i="34"/>
  <c r="C59" i="34"/>
  <c r="D59" i="34" s="1"/>
  <c r="E59" i="34" s="1"/>
  <c r="F59" i="34" s="1"/>
  <c r="G59" i="34" s="1"/>
  <c r="D121" i="33"/>
  <c r="F109" i="33"/>
  <c r="E109" i="33"/>
  <c r="D109" i="33"/>
  <c r="C109" i="33"/>
  <c r="D91" i="33"/>
  <c r="E91" i="33" s="1"/>
  <c r="F91" i="33"/>
  <c r="G91" i="33" s="1"/>
  <c r="H91" i="33" s="1"/>
  <c r="I91" i="33" s="1"/>
  <c r="J91" i="33"/>
  <c r="K91" i="33" s="1"/>
  <c r="L91" i="33" s="1"/>
  <c r="M91" i="33" s="1"/>
  <c r="B88" i="33"/>
  <c r="J26" i="33"/>
  <c r="AC26" i="33" s="1"/>
  <c r="C23" i="33"/>
  <c r="C19" i="33"/>
  <c r="C17" i="33"/>
  <c r="C15" i="33"/>
  <c r="C15" i="21"/>
  <c r="D125" i="33"/>
  <c r="D123" i="33"/>
  <c r="D117" i="33"/>
  <c r="E117" i="33"/>
  <c r="F117" i="33"/>
  <c r="G117" i="33"/>
  <c r="D115" i="33"/>
  <c r="E115" i="33" s="1"/>
  <c r="F115" i="33" s="1"/>
  <c r="G115" i="33" s="1"/>
  <c r="H115" i="33" s="1"/>
  <c r="I115" i="33"/>
  <c r="J115" i="33" s="1"/>
  <c r="K115" i="33" s="1"/>
  <c r="L115" i="33"/>
  <c r="M115" i="33" s="1"/>
  <c r="D108" i="33"/>
  <c r="E108" i="33"/>
  <c r="F108" i="33" s="1"/>
  <c r="G108" i="33" s="1"/>
  <c r="H108" i="33"/>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c r="L101" i="33" s="1"/>
  <c r="M101" i="33" s="1"/>
  <c r="B92" i="33"/>
  <c r="F28" i="33" s="1"/>
  <c r="B90" i="33"/>
  <c r="H27" i="33" s="1"/>
  <c r="U27" i="33" s="1"/>
  <c r="D87" i="33"/>
  <c r="E87" i="33" s="1"/>
  <c r="D85" i="33"/>
  <c r="E85" i="33" s="1"/>
  <c r="D81" i="33"/>
  <c r="E81" i="33"/>
  <c r="F81" i="33" s="1"/>
  <c r="G81" i="33" s="1"/>
  <c r="D79" i="33"/>
  <c r="E79" i="33"/>
  <c r="D77" i="33"/>
  <c r="E77" i="33"/>
  <c r="F77" i="33" s="1"/>
  <c r="G77" i="33" s="1"/>
  <c r="D69" i="33"/>
  <c r="E69" i="33"/>
  <c r="F69" i="33" s="1"/>
  <c r="G69" i="33" s="1"/>
  <c r="H69" i="33" s="1"/>
  <c r="I69" i="33"/>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s="1"/>
  <c r="Q42" i="33"/>
  <c r="Z42" i="33" s="1"/>
  <c r="J42" i="33"/>
  <c r="AC42" i="33"/>
  <c r="W41" i="33"/>
  <c r="Q41" i="33"/>
  <c r="Z41" i="33"/>
  <c r="Q40" i="33"/>
  <c r="Z40" i="33"/>
  <c r="J40" i="33"/>
  <c r="AC40" i="33" s="1"/>
  <c r="H40" i="33"/>
  <c r="AA40" i="33"/>
  <c r="Q39" i="33"/>
  <c r="Z39" i="33" s="1"/>
  <c r="J39" i="33"/>
  <c r="AC39" i="33" s="1"/>
  <c r="Q38" i="33"/>
  <c r="Z38" i="33" s="1"/>
  <c r="J38" i="33"/>
  <c r="AC38" i="33"/>
  <c r="H38" i="33"/>
  <c r="AB38" i="33" s="1"/>
  <c r="F38" i="33"/>
  <c r="AA38" i="33"/>
  <c r="Q37" i="33"/>
  <c r="Z37" i="33" s="1"/>
  <c r="Q36" i="33"/>
  <c r="Z36" i="33" s="1"/>
  <c r="Q35" i="33"/>
  <c r="Z35" i="33"/>
  <c r="H35" i="33"/>
  <c r="AB35" i="33" s="1"/>
  <c r="Q34" i="33"/>
  <c r="Z34" i="33" s="1"/>
  <c r="Q33" i="33"/>
  <c r="Z33" i="33"/>
  <c r="J33" i="33"/>
  <c r="AC33" i="33"/>
  <c r="H33" i="33"/>
  <c r="AB33" i="33" s="1"/>
  <c r="F33" i="33"/>
  <c r="AA33" i="33" s="1"/>
  <c r="Q32" i="33"/>
  <c r="Z32" i="33" s="1"/>
  <c r="Q31" i="33"/>
  <c r="Z31" i="33" s="1"/>
  <c r="Q30" i="33"/>
  <c r="Z30" i="33"/>
  <c r="Q29" i="33"/>
  <c r="Z29" i="33" s="1"/>
  <c r="Q28" i="33"/>
  <c r="Z28" i="33"/>
  <c r="Q27" i="33"/>
  <c r="Z27" i="33"/>
  <c r="Q26" i="33"/>
  <c r="Z26" i="33"/>
  <c r="Q25" i="33"/>
  <c r="Z25" i="33" s="1"/>
  <c r="Q23" i="33"/>
  <c r="Z23" i="33" s="1"/>
  <c r="Q19" i="33"/>
  <c r="Z19" i="33" s="1"/>
  <c r="Q17" i="33"/>
  <c r="Z17" i="33" s="1"/>
  <c r="Q15" i="33"/>
  <c r="Z15" i="33" s="1"/>
  <c r="F15" i="33"/>
  <c r="AA15" i="33" s="1"/>
  <c r="Q14" i="33"/>
  <c r="Z14" i="33"/>
  <c r="Q13" i="33"/>
  <c r="Z13" i="33"/>
  <c r="Q12" i="33"/>
  <c r="Z12" i="33" s="1"/>
  <c r="J12" i="33"/>
  <c r="W12" i="33"/>
  <c r="H12" i="33"/>
  <c r="U12" i="33" s="1"/>
  <c r="F12" i="33"/>
  <c r="S12" i="33" s="1"/>
  <c r="Q11" i="33"/>
  <c r="Z11" i="33" s="1"/>
  <c r="Q10" i="33"/>
  <c r="Z10" i="33"/>
  <c r="Q9" i="33"/>
  <c r="Z9" i="33" s="1"/>
  <c r="F9" i="33"/>
  <c r="AA9" i="33" s="1"/>
  <c r="J8" i="33"/>
  <c r="W8" i="33"/>
  <c r="H8" i="33"/>
  <c r="F8" i="33"/>
  <c r="C7" i="33"/>
  <c r="C58" i="33" s="1"/>
  <c r="M102" i="21"/>
  <c r="D102" i="21"/>
  <c r="E102" i="21"/>
  <c r="F102" i="21"/>
  <c r="G102" i="21"/>
  <c r="H102" i="21"/>
  <c r="I102" i="21"/>
  <c r="J102" i="21"/>
  <c r="K102" i="21"/>
  <c r="L102" i="21"/>
  <c r="C102" i="21"/>
  <c r="C63" i="21"/>
  <c r="J9" i="21" s="1"/>
  <c r="AC9" i="21" s="1"/>
  <c r="F9" i="21"/>
  <c r="S9" i="21" s="1"/>
  <c r="G18" i="20"/>
  <c r="B87" i="46" s="1"/>
  <c r="C25" i="40"/>
  <c r="G16" i="20"/>
  <c r="B81" i="46"/>
  <c r="G15" i="20"/>
  <c r="B80" i="46"/>
  <c r="C24" i="20"/>
  <c r="B72" i="46" s="1"/>
  <c r="C21" i="20"/>
  <c r="B73" i="46" s="1"/>
  <c r="C20" i="20"/>
  <c r="B76" i="46" s="1"/>
  <c r="C18" i="20"/>
  <c r="B70" i="46" s="1"/>
  <c r="C17" i="20"/>
  <c r="B58" i="46" s="1"/>
  <c r="C16" i="20"/>
  <c r="B47" i="46" s="1"/>
  <c r="C15" i="20"/>
  <c r="B69" i="46" s="1"/>
  <c r="E54" i="21"/>
  <c r="F54" i="21"/>
  <c r="I54" i="21"/>
  <c r="J54" i="21" s="1"/>
  <c r="G54" i="21"/>
  <c r="H54" i="21"/>
  <c r="D125" i="21"/>
  <c r="E125" i="21"/>
  <c r="D123" i="21"/>
  <c r="E123" i="21"/>
  <c r="F123" i="21"/>
  <c r="G123" i="21" s="1"/>
  <c r="H123" i="21" s="1"/>
  <c r="I123" i="21" s="1"/>
  <c r="J123" i="21" s="1"/>
  <c r="K123" i="21" s="1"/>
  <c r="L123" i="21" s="1"/>
  <c r="M123" i="21" s="1"/>
  <c r="H42" i="21"/>
  <c r="AB42" i="21"/>
  <c r="D119" i="21"/>
  <c r="D117" i="21"/>
  <c r="E117" i="21"/>
  <c r="F117" i="21" s="1"/>
  <c r="G117" i="21" s="1"/>
  <c r="D115" i="21"/>
  <c r="E115" i="21"/>
  <c r="F115" i="21"/>
  <c r="G115" i="21" s="1"/>
  <c r="H115" i="21" s="1"/>
  <c r="I115" i="21" s="1"/>
  <c r="J115" i="21" s="1"/>
  <c r="K115" i="21" s="1"/>
  <c r="L115" i="21"/>
  <c r="M115" i="21" s="1"/>
  <c r="D113" i="21"/>
  <c r="E113" i="21" s="1"/>
  <c r="F113" i="21"/>
  <c r="G113" i="21" s="1"/>
  <c r="H113" i="21" s="1"/>
  <c r="D110" i="21"/>
  <c r="E110" i="21" s="1"/>
  <c r="F110" i="21" s="1"/>
  <c r="G110" i="21" s="1"/>
  <c r="H110" i="21" s="1"/>
  <c r="I110" i="21" s="1"/>
  <c r="J110" i="21"/>
  <c r="K110" i="21" s="1"/>
  <c r="L110" i="21" s="1"/>
  <c r="M110" i="21" s="1"/>
  <c r="J36" i="21"/>
  <c r="W36" i="21"/>
  <c r="D108" i="21"/>
  <c r="E108" i="21"/>
  <c r="F108" i="21"/>
  <c r="G108" i="21" s="1"/>
  <c r="H108" i="21" s="1"/>
  <c r="I108" i="21" s="1"/>
  <c r="J108" i="21" s="1"/>
  <c r="K108" i="21"/>
  <c r="L108" i="21" s="1"/>
  <c r="M108" i="21" s="1"/>
  <c r="D106" i="21"/>
  <c r="E106" i="21"/>
  <c r="F106" i="21" s="1"/>
  <c r="G106" i="21" s="1"/>
  <c r="H106" i="21" s="1"/>
  <c r="I106" i="21" s="1"/>
  <c r="J106" i="21" s="1"/>
  <c r="K106" i="21" s="1"/>
  <c r="L106" i="21" s="1"/>
  <c r="M106" i="21" s="1"/>
  <c r="D101" i="21"/>
  <c r="E101" i="21" s="1"/>
  <c r="F101" i="21" s="1"/>
  <c r="G101" i="21" s="1"/>
  <c r="H101" i="21" s="1"/>
  <c r="I101" i="21" s="1"/>
  <c r="J101" i="21"/>
  <c r="K101" i="21" s="1"/>
  <c r="L101" i="21" s="1"/>
  <c r="M101" i="21" s="1"/>
  <c r="D89" i="21"/>
  <c r="E89" i="21" s="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s="1"/>
  <c r="H66" i="21" s="1"/>
  <c r="I66" i="21" s="1"/>
  <c r="D111" i="21"/>
  <c r="E111" i="21"/>
  <c r="F111" i="21"/>
  <c r="C111" i="21"/>
  <c r="D79" i="21"/>
  <c r="E79" i="21" s="1"/>
  <c r="F79" i="21" s="1"/>
  <c r="G79" i="21" s="1"/>
  <c r="D85" i="21"/>
  <c r="E85" i="21"/>
  <c r="D81" i="21"/>
  <c r="E81" i="21"/>
  <c r="F81" i="21"/>
  <c r="G81" i="21" s="1"/>
  <c r="D77" i="21"/>
  <c r="E77" i="21"/>
  <c r="B130" i="21"/>
  <c r="B128" i="21"/>
  <c r="H45" i="21" s="1"/>
  <c r="U45" i="21" s="1"/>
  <c r="B126" i="21"/>
  <c r="B98" i="21"/>
  <c r="B96" i="21"/>
  <c r="B94" i="21"/>
  <c r="B92" i="21"/>
  <c r="B90" i="21"/>
  <c r="B74" i="21"/>
  <c r="B72" i="21"/>
  <c r="F13" i="21" s="1"/>
  <c r="AA13" i="21" s="1"/>
  <c r="B70" i="21"/>
  <c r="F12" i="21"/>
  <c r="F10" i="21"/>
  <c r="C7" i="21"/>
  <c r="C58" i="2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E5" i="3" s="1"/>
  <c r="BF13" i="3"/>
  <c r="BG13" i="3"/>
  <c r="BH13" i="3"/>
  <c r="BH5" i="3" s="1"/>
  <c r="BI13" i="3"/>
  <c r="BJ13" i="3"/>
  <c r="BK13" i="3"/>
  <c r="BM13" i="3"/>
  <c r="BN13" i="3"/>
  <c r="BN5" i="3" s="1"/>
  <c r="BO13" i="3"/>
  <c r="BP13" i="3"/>
  <c r="BS13" i="3"/>
  <c r="BT13" i="3"/>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A572" i="3" s="1"/>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L5" i="3"/>
  <c r="M5" i="3"/>
  <c r="N5" i="3"/>
  <c r="O5" i="3"/>
  <c r="P5" i="3"/>
  <c r="Q5" i="3"/>
  <c r="R5" i="3"/>
  <c r="S5" i="3"/>
  <c r="T5" i="3"/>
  <c r="U5" i="3"/>
  <c r="V5" i="3"/>
  <c r="W5" i="3"/>
  <c r="X5" i="3"/>
  <c r="Y5" i="3"/>
  <c r="Z5" i="3"/>
  <c r="AA5" i="3"/>
  <c r="AB5" i="3"/>
  <c r="H570" i="3"/>
  <c r="G570" i="3"/>
  <c r="H571" i="3"/>
  <c r="H572" i="3"/>
  <c r="F5" i="3"/>
  <c r="G27" i="6"/>
  <c r="F34" i="21"/>
  <c r="AA34" i="21" s="1"/>
  <c r="H34" i="21"/>
  <c r="U34" i="21"/>
  <c r="F43" i="21"/>
  <c r="S43" i="21" s="1"/>
  <c r="H38" i="21"/>
  <c r="AB38" i="21" s="1"/>
  <c r="H43" i="21"/>
  <c r="AB43" i="21" s="1"/>
  <c r="F32" i="21"/>
  <c r="F38" i="21"/>
  <c r="F36" i="21"/>
  <c r="S36" i="21"/>
  <c r="F39" i="21"/>
  <c r="AA39" i="21"/>
  <c r="J40" i="21"/>
  <c r="W40" i="21"/>
  <c r="H35" i="21"/>
  <c r="AB35" i="21" s="1"/>
  <c r="J8" i="21"/>
  <c r="AC8" i="21"/>
  <c r="H8" i="21"/>
  <c r="H9" i="21"/>
  <c r="U9" i="21" s="1"/>
  <c r="AB9" i="21"/>
  <c r="H10" i="21"/>
  <c r="U10" i="21" s="1"/>
  <c r="H39" i="21"/>
  <c r="AB39" i="21" s="1"/>
  <c r="J34" i="21"/>
  <c r="W34" i="21" s="1"/>
  <c r="H36" i="21"/>
  <c r="U36" i="21"/>
  <c r="F35" i="21"/>
  <c r="AA35" i="21" s="1"/>
  <c r="J33" i="21"/>
  <c r="W33" i="21" s="1"/>
  <c r="H33" i="21"/>
  <c r="F33" i="21"/>
  <c r="J10" i="21"/>
  <c r="AC10" i="21" s="1"/>
  <c r="H26" i="21"/>
  <c r="F19" i="21"/>
  <c r="AA19" i="21" s="1"/>
  <c r="H19" i="21"/>
  <c r="AB19" i="21" s="1"/>
  <c r="J19" i="21"/>
  <c r="W19" i="21"/>
  <c r="J12" i="21"/>
  <c r="H12" i="21"/>
  <c r="U12" i="21"/>
  <c r="J26" i="21"/>
  <c r="W26" i="21"/>
  <c r="F26" i="21"/>
  <c r="AA26" i="21"/>
  <c r="AB41" i="21"/>
  <c r="W41" i="21"/>
  <c r="S10" i="39"/>
  <c r="U30" i="37"/>
  <c r="F103" i="37"/>
  <c r="F39" i="37"/>
  <c r="W39" i="37"/>
  <c r="F29" i="36"/>
  <c r="AA29" i="36" s="1"/>
  <c r="F16" i="36"/>
  <c r="AA16" i="36" s="1"/>
  <c r="U22" i="36"/>
  <c r="W22" i="36"/>
  <c r="AC31" i="36"/>
  <c r="J33" i="36"/>
  <c r="W33" i="36"/>
  <c r="U31" i="35"/>
  <c r="S34" i="35"/>
  <c r="W36" i="35"/>
  <c r="S31" i="35"/>
  <c r="W31" i="35"/>
  <c r="U34" i="35"/>
  <c r="F36" i="34"/>
  <c r="S36" i="34"/>
  <c r="W9" i="34"/>
  <c r="S34" i="34"/>
  <c r="H39" i="33"/>
  <c r="AB39" i="33" s="1"/>
  <c r="F26" i="33"/>
  <c r="AA26" i="33" s="1"/>
  <c r="U33" i="33"/>
  <c r="W38" i="33"/>
  <c r="S40" i="33"/>
  <c r="S33" i="33"/>
  <c r="W33" i="33"/>
  <c r="U38" i="33"/>
  <c r="W8" i="21"/>
  <c r="H39" i="37"/>
  <c r="AB39" i="37" s="1"/>
  <c r="AB27" i="35"/>
  <c r="S10" i="40"/>
  <c r="W10" i="40"/>
  <c r="S11" i="40"/>
  <c r="U11" i="40"/>
  <c r="S36" i="40"/>
  <c r="U36" i="40"/>
  <c r="S40" i="39"/>
  <c r="S36" i="39"/>
  <c r="F11" i="21"/>
  <c r="S11" i="21" s="1"/>
  <c r="AC40" i="21"/>
  <c r="AB36" i="21"/>
  <c r="AC35" i="21"/>
  <c r="C29" i="39"/>
  <c r="C23" i="39"/>
  <c r="U36" i="39"/>
  <c r="H32" i="33"/>
  <c r="AB32" i="33" s="1"/>
  <c r="H11" i="21"/>
  <c r="U11" i="21"/>
  <c r="J11" i="21"/>
  <c r="W11" i="21" s="1"/>
  <c r="F100" i="40"/>
  <c r="F86" i="40"/>
  <c r="AA12" i="33"/>
  <c r="J27" i="36"/>
  <c r="W27" i="36" s="1"/>
  <c r="J30" i="35"/>
  <c r="W30" i="35" s="1"/>
  <c r="F22" i="35"/>
  <c r="H10" i="35"/>
  <c r="U10" i="35"/>
  <c r="AC24" i="36"/>
  <c r="U29" i="36"/>
  <c r="U24" i="36"/>
  <c r="E85" i="36"/>
  <c r="F85" i="36"/>
  <c r="G85" i="36" s="1"/>
  <c r="H85" i="36"/>
  <c r="I85" i="36" s="1"/>
  <c r="J85" i="36" s="1"/>
  <c r="K85" i="36" s="1"/>
  <c r="L85" i="36" s="1"/>
  <c r="M85" i="36" s="1"/>
  <c r="J29" i="36"/>
  <c r="AC29" i="36" s="1"/>
  <c r="F12" i="36"/>
  <c r="S12" i="36"/>
  <c r="F24" i="36"/>
  <c r="AA24" i="36" s="1"/>
  <c r="S10" i="36"/>
  <c r="AB8" i="36"/>
  <c r="H16" i="35"/>
  <c r="U16" i="35" s="1"/>
  <c r="H33" i="35"/>
  <c r="AB33" i="35" s="1"/>
  <c r="W8" i="35"/>
  <c r="AC8" i="35"/>
  <c r="F35" i="37"/>
  <c r="S35" i="37" s="1"/>
  <c r="E101" i="37"/>
  <c r="F101" i="37"/>
  <c r="G101" i="37"/>
  <c r="H101" i="37" s="1"/>
  <c r="I101" i="37" s="1"/>
  <c r="J101" i="37" s="1"/>
  <c r="K101" i="37" s="1"/>
  <c r="L101" i="37" s="1"/>
  <c r="M101" i="37" s="1"/>
  <c r="J34" i="37"/>
  <c r="W34" i="37" s="1"/>
  <c r="H43" i="34"/>
  <c r="U42" i="34"/>
  <c r="E114" i="34"/>
  <c r="H36" i="34"/>
  <c r="U36" i="34" s="1"/>
  <c r="F37" i="34"/>
  <c r="AA37" i="34" s="1"/>
  <c r="F33" i="34"/>
  <c r="S33" i="34" s="1"/>
  <c r="F19" i="34"/>
  <c r="AA19" i="34"/>
  <c r="J10" i="34"/>
  <c r="AC10" i="34"/>
  <c r="U9" i="34"/>
  <c r="W8" i="34"/>
  <c r="S38" i="33"/>
  <c r="E113" i="33"/>
  <c r="F113" i="33" s="1"/>
  <c r="G113" i="33" s="1"/>
  <c r="H113" i="33" s="1"/>
  <c r="I113" i="33" s="1"/>
  <c r="J113" i="33" s="1"/>
  <c r="K113" i="33" s="1"/>
  <c r="L113" i="33" s="1"/>
  <c r="M113" i="33" s="1"/>
  <c r="F36" i="33"/>
  <c r="S36" i="33"/>
  <c r="F19" i="33"/>
  <c r="S19" i="33" s="1"/>
  <c r="J19" i="33"/>
  <c r="W40" i="33"/>
  <c r="F125" i="21"/>
  <c r="G125" i="21" s="1"/>
  <c r="G86" i="40"/>
  <c r="AB30" i="36"/>
  <c r="H29" i="35"/>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c r="J10" i="35"/>
  <c r="W10" i="35" s="1"/>
  <c r="AL5" i="3"/>
  <c r="BQ13" i="3"/>
  <c r="J14" i="21"/>
  <c r="AC14" i="21" s="1"/>
  <c r="F14" i="21"/>
  <c r="AA14" i="21" s="1"/>
  <c r="H14" i="21"/>
  <c r="U14" i="21" s="1"/>
  <c r="H28" i="21"/>
  <c r="F28" i="21"/>
  <c r="J28" i="21"/>
  <c r="AC28" i="21"/>
  <c r="J44" i="21"/>
  <c r="AC44" i="21" s="1"/>
  <c r="H44" i="21"/>
  <c r="U44" i="21" s="1"/>
  <c r="F44" i="21"/>
  <c r="AA44" i="21" s="1"/>
  <c r="H46" i="21"/>
  <c r="J46" i="21"/>
  <c r="W46" i="21"/>
  <c r="F46" i="21"/>
  <c r="AA46" i="21" s="1"/>
  <c r="H26" i="33"/>
  <c r="U26" i="33" s="1"/>
  <c r="H28" i="33"/>
  <c r="AB28" i="33" s="1"/>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c r="J13" i="21"/>
  <c r="AC13" i="21" s="1"/>
  <c r="H27" i="21"/>
  <c r="AB27" i="21" s="1"/>
  <c r="J27" i="21"/>
  <c r="W27" i="21" s="1"/>
  <c r="F27" i="21"/>
  <c r="AA27" i="21" s="1"/>
  <c r="J29" i="21"/>
  <c r="AC29" i="21" s="1"/>
  <c r="H29" i="21"/>
  <c r="U29" i="21" s="1"/>
  <c r="F29" i="21"/>
  <c r="S29" i="21" s="1"/>
  <c r="J31" i="21"/>
  <c r="AC31" i="21" s="1"/>
  <c r="H31" i="21"/>
  <c r="U31" i="21" s="1"/>
  <c r="F31" i="21"/>
  <c r="S31" i="21" s="1"/>
  <c r="J45" i="21"/>
  <c r="W45" i="21"/>
  <c r="F45" i="21"/>
  <c r="J27" i="33"/>
  <c r="AC27" i="33" s="1"/>
  <c r="F27" i="33"/>
  <c r="AA27" i="33" s="1"/>
  <c r="S27" i="33"/>
  <c r="F13" i="33"/>
  <c r="S13" i="33" s="1"/>
  <c r="J31" i="33"/>
  <c r="AC31" i="33" s="1"/>
  <c r="H31" i="33"/>
  <c r="AB31" i="33" s="1"/>
  <c r="U31" i="33"/>
  <c r="S31" i="33"/>
  <c r="J45" i="33"/>
  <c r="W45" i="33"/>
  <c r="F45" i="33"/>
  <c r="S45" i="33"/>
  <c r="F11" i="35"/>
  <c r="S11" i="35"/>
  <c r="H28" i="36"/>
  <c r="AB28" i="36" s="1"/>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J40" i="37"/>
  <c r="F40" i="37"/>
  <c r="AA40" i="37"/>
  <c r="H14" i="33"/>
  <c r="U14" i="33"/>
  <c r="F14" i="33"/>
  <c r="AA14" i="33" s="1"/>
  <c r="J14" i="33"/>
  <c r="AC14" i="33"/>
  <c r="H30" i="33"/>
  <c r="AB30" i="33"/>
  <c r="F30" i="33"/>
  <c r="S30" i="33"/>
  <c r="J30" i="33"/>
  <c r="AC30" i="33" s="1"/>
  <c r="H44" i="33"/>
  <c r="U44" i="33" s="1"/>
  <c r="J44" i="33"/>
  <c r="AC44" i="33" s="1"/>
  <c r="F44" i="33"/>
  <c r="S44" i="33" s="1"/>
  <c r="J46" i="33"/>
  <c r="AC46" i="33"/>
  <c r="F46" i="33"/>
  <c r="AA46" i="33" s="1"/>
  <c r="H13" i="34"/>
  <c r="U13" i="34" s="1"/>
  <c r="J13" i="34"/>
  <c r="W13" i="34" s="1"/>
  <c r="F13" i="34"/>
  <c r="AA13" i="34" s="1"/>
  <c r="J29" i="34"/>
  <c r="AC29" i="34" s="1"/>
  <c r="F29" i="34"/>
  <c r="S29" i="34" s="1"/>
  <c r="H29" i="34"/>
  <c r="U29" i="34"/>
  <c r="J31" i="34"/>
  <c r="H31" i="34"/>
  <c r="AB31" i="34" s="1"/>
  <c r="F31" i="34"/>
  <c r="S31" i="34" s="1"/>
  <c r="H45" i="34"/>
  <c r="U45" i="34"/>
  <c r="J45" i="34"/>
  <c r="W45" i="34" s="1"/>
  <c r="F45" i="34"/>
  <c r="AA45" i="34" s="1"/>
  <c r="H47" i="34"/>
  <c r="U47" i="34" s="1"/>
  <c r="F47" i="34"/>
  <c r="AA47" i="34" s="1"/>
  <c r="J47" i="34"/>
  <c r="AC47" i="34" s="1"/>
  <c r="F13" i="35"/>
  <c r="S13" i="35" s="1"/>
  <c r="J13" i="35"/>
  <c r="AC13" i="35" s="1"/>
  <c r="H13" i="35"/>
  <c r="U13" i="35"/>
  <c r="J25" i="35"/>
  <c r="AC25" i="35" s="1"/>
  <c r="F25" i="35"/>
  <c r="H25" i="35"/>
  <c r="AB25" i="35" s="1"/>
  <c r="J35" i="35"/>
  <c r="W35" i="35" s="1"/>
  <c r="F35" i="35"/>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S27" i="37" s="1"/>
  <c r="AA27" i="37"/>
  <c r="J14" i="37"/>
  <c r="W14" i="37" s="1"/>
  <c r="J27" i="37"/>
  <c r="W27" i="37" s="1"/>
  <c r="AB13" i="35"/>
  <c r="W46" i="33"/>
  <c r="U30" i="33"/>
  <c r="J36" i="37"/>
  <c r="AC36" i="37" s="1"/>
  <c r="G105" i="37"/>
  <c r="AB31" i="21"/>
  <c r="AB13" i="21"/>
  <c r="AB14" i="21"/>
  <c r="W14" i="21"/>
  <c r="W42" i="21"/>
  <c r="U36" i="37"/>
  <c r="AB45" i="33"/>
  <c r="AB27" i="33"/>
  <c r="AC28" i="33"/>
  <c r="AB44" i="21"/>
  <c r="S19" i="21"/>
  <c r="G529" i="3"/>
  <c r="G521" i="3"/>
  <c r="G517" i="3"/>
  <c r="G513" i="3"/>
  <c r="G508" i="3"/>
  <c r="G499" i="3"/>
  <c r="G493" i="3"/>
  <c r="G17" i="3"/>
  <c r="G565" i="3"/>
  <c r="G561" i="3"/>
  <c r="G557" i="3"/>
  <c r="G549" i="3"/>
  <c r="G545" i="3"/>
  <c r="G539" i="3"/>
  <c r="BL569" i="3"/>
  <c r="BL545" i="3"/>
  <c r="BL527" i="3"/>
  <c r="BL519" i="3"/>
  <c r="BL511" i="3"/>
  <c r="BL491" i="3"/>
  <c r="BL555" i="3"/>
  <c r="BL525" i="3"/>
  <c r="G518" i="3"/>
  <c r="G514" i="3"/>
  <c r="G510" i="3"/>
  <c r="BL495" i="3"/>
  <c r="BL485" i="3"/>
  <c r="G18" i="3"/>
  <c r="BA569" i="3"/>
  <c r="AZ569" i="3" s="1"/>
  <c r="BA561" i="3"/>
  <c r="AZ561" i="3" s="1"/>
  <c r="BA531" i="3"/>
  <c r="BA521" i="3"/>
  <c r="BA505" i="3"/>
  <c r="BA493" i="3"/>
  <c r="AZ493" i="3" s="1"/>
  <c r="BA487" i="3"/>
  <c r="BA562" i="3"/>
  <c r="BA544" i="3"/>
  <c r="AZ544" i="3" s="1"/>
  <c r="BA540" i="3"/>
  <c r="BA536" i="3"/>
  <c r="BA532" i="3"/>
  <c r="BA528" i="3"/>
  <c r="BA520" i="3"/>
  <c r="AZ520" i="3" s="1"/>
  <c r="BA516" i="3"/>
  <c r="BA512" i="3"/>
  <c r="BA508" i="3"/>
  <c r="BA492" i="3"/>
  <c r="BA488" i="3"/>
  <c r="AZ488" i="3" s="1"/>
  <c r="G566" i="3"/>
  <c r="G562" i="3"/>
  <c r="G556" i="3"/>
  <c r="G554" i="3"/>
  <c r="G550" i="3"/>
  <c r="G546" i="3"/>
  <c r="AC542" i="3"/>
  <c r="G542" i="3"/>
  <c r="BQ542" i="3"/>
  <c r="BQ568" i="3"/>
  <c r="BQ566" i="3"/>
  <c r="BQ564" i="3"/>
  <c r="BL564" i="3"/>
  <c r="BQ562" i="3"/>
  <c r="BL562" i="3"/>
  <c r="BQ560" i="3"/>
  <c r="BQ558" i="3"/>
  <c r="BQ556" i="3"/>
  <c r="BQ554" i="3"/>
  <c r="BQ552" i="3"/>
  <c r="BQ550" i="3"/>
  <c r="BQ548" i="3"/>
  <c r="BQ546" i="3"/>
  <c r="BL546" i="3"/>
  <c r="BQ544" i="3"/>
  <c r="G544" i="3"/>
  <c r="G538" i="3"/>
  <c r="G534" i="3"/>
  <c r="G530" i="3"/>
  <c r="G526" i="3"/>
  <c r="G522" i="3"/>
  <c r="BQ540" i="3"/>
  <c r="BQ538" i="3"/>
  <c r="BL538" i="3" s="1"/>
  <c r="BQ536" i="3"/>
  <c r="BQ534" i="3"/>
  <c r="BL534" i="3"/>
  <c r="BQ532" i="3"/>
  <c r="BL532" i="3"/>
  <c r="BQ530" i="3"/>
  <c r="BQ528" i="3"/>
  <c r="BQ526" i="3"/>
  <c r="BL526" i="3"/>
  <c r="BQ524" i="3"/>
  <c r="BL524" i="3"/>
  <c r="AZ524" i="3" s="1"/>
  <c r="BQ522" i="3"/>
  <c r="BQ520" i="3"/>
  <c r="BL520" i="3" s="1"/>
  <c r="BQ518" i="3"/>
  <c r="BL518" i="3" s="1"/>
  <c r="BQ516" i="3"/>
  <c r="BL516" i="3"/>
  <c r="BQ514" i="3"/>
  <c r="BL514" i="3" s="1"/>
  <c r="BQ512" i="3"/>
  <c r="BQ510" i="3"/>
  <c r="BQ508" i="3"/>
  <c r="AC506" i="3"/>
  <c r="G506" i="3" s="1"/>
  <c r="BQ506" i="3"/>
  <c r="G502" i="3"/>
  <c r="G498" i="3"/>
  <c r="BQ504" i="3"/>
  <c r="BQ502" i="3"/>
  <c r="BQ500" i="3"/>
  <c r="BL500" i="3"/>
  <c r="BQ498" i="3"/>
  <c r="BQ496" i="3"/>
  <c r="AC494" i="3"/>
  <c r="BQ494" i="3"/>
  <c r="BL493" i="3"/>
  <c r="G488" i="3"/>
  <c r="G484" i="3"/>
  <c r="G20" i="3"/>
  <c r="BQ492" i="3"/>
  <c r="BL492" i="3"/>
  <c r="BQ490" i="3"/>
  <c r="BQ488" i="3"/>
  <c r="BL488" i="3" s="1"/>
  <c r="BQ486" i="3"/>
  <c r="BQ484" i="3"/>
  <c r="BL484" i="3"/>
  <c r="BQ482" i="3"/>
  <c r="BQ20" i="3"/>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H28" i="34"/>
  <c r="AB28" i="34"/>
  <c r="F22" i="36"/>
  <c r="S22" i="36" s="1"/>
  <c r="H35" i="34"/>
  <c r="U35" i="34" s="1"/>
  <c r="F41" i="34"/>
  <c r="S41" i="34" s="1"/>
  <c r="H41" i="34"/>
  <c r="U41" i="34"/>
  <c r="J41" i="34"/>
  <c r="F10" i="35"/>
  <c r="F24" i="35"/>
  <c r="AA24" i="35" s="1"/>
  <c r="H24" i="35"/>
  <c r="AB24" i="35" s="1"/>
  <c r="H23" i="37"/>
  <c r="AB23" i="37" s="1"/>
  <c r="J32" i="37"/>
  <c r="AC32" i="37" s="1"/>
  <c r="F36" i="37"/>
  <c r="F37" i="37"/>
  <c r="AA37" i="37"/>
  <c r="U23" i="37"/>
  <c r="F123" i="33"/>
  <c r="G123" i="33" s="1"/>
  <c r="H123" i="33" s="1"/>
  <c r="I123" i="33" s="1"/>
  <c r="J123" i="33" s="1"/>
  <c r="K123" i="33" s="1"/>
  <c r="L123" i="33" s="1"/>
  <c r="M123" i="33" s="1"/>
  <c r="H42" i="33"/>
  <c r="U42" i="33" s="1"/>
  <c r="J43" i="33"/>
  <c r="AC43" i="33" s="1"/>
  <c r="G79" i="37"/>
  <c r="J23" i="37"/>
  <c r="W23" i="37" s="1"/>
  <c r="F17" i="37"/>
  <c r="AA17" i="37"/>
  <c r="AB43" i="33"/>
  <c r="D3" i="21"/>
  <c r="AC33" i="36"/>
  <c r="AC12" i="35"/>
  <c r="W23" i="35"/>
  <c r="U39"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U12" i="37" s="1"/>
  <c r="AB12" i="37"/>
  <c r="F12" i="37"/>
  <c r="AA12" i="37"/>
  <c r="H15" i="37"/>
  <c r="U15" i="37"/>
  <c r="F31" i="37"/>
  <c r="S31" i="37"/>
  <c r="F94" i="37"/>
  <c r="G94" i="37" s="1"/>
  <c r="H94" i="37"/>
  <c r="I94" i="37" s="1"/>
  <c r="J94" i="37" s="1"/>
  <c r="K94" i="37" s="1"/>
  <c r="L94" i="37" s="1"/>
  <c r="M94" i="37" s="1"/>
  <c r="H31" i="37"/>
  <c r="AB31" i="37" s="1"/>
  <c r="J15" i="37"/>
  <c r="W15" i="37" s="1"/>
  <c r="AB10" i="37"/>
  <c r="J11" i="37"/>
  <c r="W11" i="37" s="1"/>
  <c r="E90" i="40"/>
  <c r="F21" i="40"/>
  <c r="S21" i="40" s="1"/>
  <c r="W36" i="40"/>
  <c r="F90" i="40"/>
  <c r="G90" i="40" s="1"/>
  <c r="J21" i="40"/>
  <c r="AC21" i="40" s="1"/>
  <c r="S27" i="31"/>
  <c r="G483" i="3"/>
  <c r="G515" i="3"/>
  <c r="G507" i="3"/>
  <c r="BL17" i="3"/>
  <c r="BL15" i="3"/>
  <c r="H13" i="40"/>
  <c r="U13" i="40" s="1"/>
  <c r="H12" i="48"/>
  <c r="I4" i="4"/>
  <c r="K141" i="21"/>
  <c r="K143" i="21"/>
  <c r="K144" i="21"/>
  <c r="I59" i="40"/>
  <c r="C59" i="40" s="1"/>
  <c r="I60" i="40"/>
  <c r="C60" i="40"/>
  <c r="G297" i="3"/>
  <c r="BL298" i="3"/>
  <c r="G299" i="3"/>
  <c r="BL300" i="3"/>
  <c r="BA302" i="3"/>
  <c r="AZ302" i="3" s="1"/>
  <c r="BA303" i="3"/>
  <c r="BL303" i="3"/>
  <c r="G304" i="3"/>
  <c r="BA305" i="3"/>
  <c r="AZ305" i="3"/>
  <c r="G321" i="3"/>
  <c r="BL322" i="3"/>
  <c r="G323" i="3"/>
  <c r="BL324" i="3"/>
  <c r="BA326" i="3"/>
  <c r="AZ326" i="3"/>
  <c r="BA327" i="3"/>
  <c r="BL327" i="3"/>
  <c r="AZ327" i="3" s="1"/>
  <c r="G328" i="3"/>
  <c r="BA329" i="3"/>
  <c r="G337" i="3"/>
  <c r="BL338" i="3"/>
  <c r="AZ338" i="3" s="1"/>
  <c r="G339" i="3"/>
  <c r="BL340" i="3"/>
  <c r="BA342" i="3"/>
  <c r="AZ342" i="3"/>
  <c r="BA343" i="3"/>
  <c r="AZ343" i="3" s="1"/>
  <c r="BL343" i="3"/>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s="1"/>
  <c r="G120" i="3"/>
  <c r="BA122" i="3"/>
  <c r="AZ122" i="3" s="1"/>
  <c r="BL123" i="3"/>
  <c r="AZ123" i="3" s="1"/>
  <c r="G124" i="3"/>
  <c r="BA126" i="3"/>
  <c r="AZ126" i="3" s="1"/>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c r="BL147" i="3"/>
  <c r="AZ147" i="3" s="1"/>
  <c r="G148" i="3"/>
  <c r="BA150" i="3"/>
  <c r="AZ150" i="3"/>
  <c r="BL151" i="3"/>
  <c r="AZ151" i="3"/>
  <c r="BA153" i="3"/>
  <c r="BL154" i="3"/>
  <c r="G155" i="3"/>
  <c r="BA157" i="3"/>
  <c r="AZ157" i="3"/>
  <c r="BL158" i="3"/>
  <c r="G159" i="3"/>
  <c r="BA161" i="3"/>
  <c r="AZ161" i="3"/>
  <c r="BL162" i="3"/>
  <c r="AZ162" i="3" s="1"/>
  <c r="G163" i="3"/>
  <c r="BA165" i="3"/>
  <c r="AZ165" i="3"/>
  <c r="BL166" i="3"/>
  <c r="G167" i="3"/>
  <c r="BA169" i="3"/>
  <c r="BL170" i="3"/>
  <c r="AZ170" i="3" s="1"/>
  <c r="G171" i="3"/>
  <c r="BA173" i="3"/>
  <c r="AZ173" i="3"/>
  <c r="BL174" i="3"/>
  <c r="G175" i="3"/>
  <c r="BA178" i="3"/>
  <c r="AZ178" i="3"/>
  <c r="BL179" i="3"/>
  <c r="G180" i="3"/>
  <c r="AZ39" i="3"/>
  <c r="AZ43" i="3"/>
  <c r="AZ47" i="3"/>
  <c r="AZ51" i="3"/>
  <c r="AZ55" i="3"/>
  <c r="AZ59" i="3"/>
  <c r="G537" i="3"/>
  <c r="BL181" i="3"/>
  <c r="AZ181" i="3" s="1"/>
  <c r="G182" i="3"/>
  <c r="BA184" i="3"/>
  <c r="BL185" i="3"/>
  <c r="G186" i="3"/>
  <c r="BA188" i="3"/>
  <c r="BL189" i="3"/>
  <c r="AZ189" i="3" s="1"/>
  <c r="G190" i="3"/>
  <c r="BA192" i="3"/>
  <c r="AZ192" i="3" s="1"/>
  <c r="BL193" i="3"/>
  <c r="AZ193" i="3" s="1"/>
  <c r="G194" i="3"/>
  <c r="BA196" i="3"/>
  <c r="AZ196" i="3" s="1"/>
  <c r="BL197" i="3"/>
  <c r="AZ197" i="3" s="1"/>
  <c r="G198" i="3"/>
  <c r="BA200" i="3"/>
  <c r="BL201" i="3"/>
  <c r="AZ70" i="3"/>
  <c r="AZ78" i="3"/>
  <c r="AZ82" i="3"/>
  <c r="AZ185" i="3"/>
  <c r="AZ86" i="3"/>
  <c r="AZ90" i="3"/>
  <c r="AZ94" i="3"/>
  <c r="AZ98" i="3"/>
  <c r="AZ102" i="3"/>
  <c r="AZ110" i="3"/>
  <c r="G491" i="3"/>
  <c r="BA298" i="3"/>
  <c r="AZ298" i="3"/>
  <c r="BA299" i="3"/>
  <c r="AZ299" i="3" s="1"/>
  <c r="BL299" i="3"/>
  <c r="G300" i="3"/>
  <c r="G303" i="3"/>
  <c r="BL304" i="3"/>
  <c r="BA306" i="3"/>
  <c r="AZ306" i="3"/>
  <c r="BA307" i="3"/>
  <c r="AZ307" i="3" s="1"/>
  <c r="BL307" i="3"/>
  <c r="G308" i="3"/>
  <c r="G319" i="3"/>
  <c r="BL320" i="3"/>
  <c r="BA322" i="3"/>
  <c r="AZ322" i="3" s="1"/>
  <c r="BA323" i="3"/>
  <c r="BL323" i="3"/>
  <c r="AZ323" i="3" s="1"/>
  <c r="G324" i="3"/>
  <c r="G327" i="3"/>
  <c r="BL328" i="3"/>
  <c r="BA330" i="3"/>
  <c r="AZ330" i="3"/>
  <c r="BA331" i="3"/>
  <c r="BL331" i="3"/>
  <c r="G332" i="3"/>
  <c r="G335" i="3"/>
  <c r="BL336" i="3"/>
  <c r="BA338" i="3"/>
  <c r="BA339" i="3"/>
  <c r="AZ339" i="3" s="1"/>
  <c r="BL339" i="3"/>
  <c r="G340" i="3"/>
  <c r="G343" i="3"/>
  <c r="BL344" i="3"/>
  <c r="BA346" i="3"/>
  <c r="AZ346" i="3" s="1"/>
  <c r="BA347" i="3"/>
  <c r="BL347" i="3"/>
  <c r="G348" i="3"/>
  <c r="G351" i="3"/>
  <c r="BL352" i="3"/>
  <c r="BA354" i="3"/>
  <c r="BA355" i="3"/>
  <c r="AZ355" i="3" s="1"/>
  <c r="BL355" i="3"/>
  <c r="G356" i="3"/>
  <c r="AZ127" i="3"/>
  <c r="AZ143" i="3"/>
  <c r="BA358" i="3"/>
  <c r="BA359" i="3"/>
  <c r="BL359" i="3"/>
  <c r="AZ359" i="3" s="1"/>
  <c r="G360" i="3"/>
  <c r="G361" i="3"/>
  <c r="BL362" i="3"/>
  <c r="BA364" i="3"/>
  <c r="AZ364" i="3"/>
  <c r="BA365" i="3"/>
  <c r="AZ365" i="3"/>
  <c r="BL365" i="3"/>
  <c r="G366" i="3"/>
  <c r="G369" i="3"/>
  <c r="BL370" i="3"/>
  <c r="AZ370" i="3" s="1"/>
  <c r="BA372" i="3"/>
  <c r="AZ372" i="3" s="1"/>
  <c r="BA373" i="3"/>
  <c r="BL373" i="3"/>
  <c r="AZ373" i="3"/>
  <c r="G374" i="3"/>
  <c r="G377" i="3"/>
  <c r="BL378" i="3"/>
  <c r="AZ378" i="3" s="1"/>
  <c r="BA380" i="3"/>
  <c r="AZ380" i="3" s="1"/>
  <c r="BA381" i="3"/>
  <c r="AZ381" i="3" s="1"/>
  <c r="BL381" i="3"/>
  <c r="G382" i="3"/>
  <c r="G385" i="3"/>
  <c r="AZ154" i="3"/>
  <c r="AZ158" i="3"/>
  <c r="AZ166" i="3"/>
  <c r="AZ179" i="3"/>
  <c r="AZ187" i="3"/>
  <c r="G523" i="3"/>
  <c r="BL297" i="3"/>
  <c r="AZ297" i="3" s="1"/>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c r="BL321" i="3"/>
  <c r="AZ321" i="3" s="1"/>
  <c r="G322" i="3"/>
  <c r="BA324" i="3"/>
  <c r="BL325" i="3"/>
  <c r="AZ325" i="3" s="1"/>
  <c r="G326" i="3"/>
  <c r="BA328" i="3"/>
  <c r="AZ328" i="3"/>
  <c r="BL329" i="3"/>
  <c r="AZ329" i="3" s="1"/>
  <c r="G330" i="3"/>
  <c r="BA332" i="3"/>
  <c r="AZ332" i="3" s="1"/>
  <c r="BL333" i="3"/>
  <c r="AZ333" i="3" s="1"/>
  <c r="G334" i="3"/>
  <c r="BA336" i="3"/>
  <c r="AZ336" i="3" s="1"/>
  <c r="BL337" i="3"/>
  <c r="AZ337" i="3" s="1"/>
  <c r="G338" i="3"/>
  <c r="BA340" i="3"/>
  <c r="BL341" i="3"/>
  <c r="G342" i="3"/>
  <c r="BA344" i="3"/>
  <c r="AZ344" i="3"/>
  <c r="BL345" i="3"/>
  <c r="AZ345" i="3" s="1"/>
  <c r="G346" i="3"/>
  <c r="BA348" i="3"/>
  <c r="AZ348" i="3" s="1"/>
  <c r="BL349" i="3"/>
  <c r="AZ349" i="3" s="1"/>
  <c r="G350" i="3"/>
  <c r="BA352" i="3"/>
  <c r="AZ352" i="3" s="1"/>
  <c r="BL353" i="3"/>
  <c r="AZ353" i="3" s="1"/>
  <c r="G354" i="3"/>
  <c r="BA356" i="3"/>
  <c r="BL357" i="3"/>
  <c r="G358" i="3"/>
  <c r="BA362" i="3"/>
  <c r="AZ362" i="3" s="1"/>
  <c r="BL363" i="3"/>
  <c r="G364" i="3"/>
  <c r="BA366" i="3"/>
  <c r="AZ366" i="3" s="1"/>
  <c r="BL367" i="3"/>
  <c r="AZ367" i="3" s="1"/>
  <c r="AZ205" i="3"/>
  <c r="AZ209" i="3"/>
  <c r="AZ213" i="3"/>
  <c r="AZ217" i="3"/>
  <c r="AZ221" i="3"/>
  <c r="AZ225" i="3"/>
  <c r="AZ233" i="3"/>
  <c r="AZ241" i="3"/>
  <c r="AZ245" i="3"/>
  <c r="AZ309" i="3"/>
  <c r="AZ341" i="3"/>
  <c r="AZ357" i="3"/>
  <c r="AZ363" i="3"/>
  <c r="G368" i="3"/>
  <c r="BA370" i="3"/>
  <c r="BL371" i="3"/>
  <c r="AZ371" i="3"/>
  <c r="G372" i="3"/>
  <c r="BA374" i="3"/>
  <c r="AZ374" i="3"/>
  <c r="BL375" i="3"/>
  <c r="G376" i="3"/>
  <c r="BA378" i="3"/>
  <c r="BL379" i="3"/>
  <c r="AZ379" i="3" s="1"/>
  <c r="G380" i="3"/>
  <c r="BA382" i="3"/>
  <c r="AZ382" i="3" s="1"/>
  <c r="BL383" i="3"/>
  <c r="G384" i="3"/>
  <c r="AZ257" i="3"/>
  <c r="AZ375" i="3"/>
  <c r="AZ383" i="3"/>
  <c r="AZ270" i="3"/>
  <c r="AZ274" i="3"/>
  <c r="AZ278" i="3"/>
  <c r="AZ282" i="3"/>
  <c r="AZ286" i="3"/>
  <c r="AZ290" i="3"/>
  <c r="AZ295" i="3"/>
  <c r="AZ303" i="3"/>
  <c r="AZ313" i="3"/>
  <c r="AZ319" i="3"/>
  <c r="AZ331" i="3"/>
  <c r="AZ335" i="3"/>
  <c r="AZ347" i="3"/>
  <c r="AZ351" i="3"/>
  <c r="AZ361" i="3"/>
  <c r="AZ369" i="3"/>
  <c r="AZ385" i="3"/>
  <c r="AZ398" i="3"/>
  <c r="AZ410" i="3"/>
  <c r="AZ422"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AZ354" i="3"/>
  <c r="AA36" i="35"/>
  <c r="H11" i="37"/>
  <c r="AB11" i="37" s="1"/>
  <c r="W37" i="37"/>
  <c r="AA30" i="33"/>
  <c r="U32" i="33"/>
  <c r="AB17" i="37"/>
  <c r="AZ516" i="3"/>
  <c r="AZ532" i="3"/>
  <c r="AC29" i="33"/>
  <c r="AA45" i="33"/>
  <c r="AC10" i="36"/>
  <c r="AB45" i="34"/>
  <c r="AC14" i="37"/>
  <c r="AB35" i="35"/>
  <c r="W44" i="33"/>
  <c r="W30" i="33"/>
  <c r="AC29" i="37"/>
  <c r="W32" i="36"/>
  <c r="AC32" i="36"/>
  <c r="U28" i="33"/>
  <c r="J33" i="34"/>
  <c r="AC33" i="34" s="1"/>
  <c r="AB36" i="34"/>
  <c r="J40" i="34"/>
  <c r="W40" i="34" s="1"/>
  <c r="F16" i="35"/>
  <c r="AA16" i="35" s="1"/>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c r="AB26" i="21"/>
  <c r="U26" i="21"/>
  <c r="AA33" i="21"/>
  <c r="S33" i="21"/>
  <c r="U39" i="21"/>
  <c r="W9" i="21"/>
  <c r="J32" i="21"/>
  <c r="AC32" i="21" s="1"/>
  <c r="F17" i="21"/>
  <c r="H17" i="21"/>
  <c r="AB17" i="21"/>
  <c r="J17" i="21"/>
  <c r="AC17" i="21" s="1"/>
  <c r="H37" i="21"/>
  <c r="U37" i="21" s="1"/>
  <c r="F40" i="21"/>
  <c r="H40" i="21"/>
  <c r="AB40" i="21"/>
  <c r="E119" i="21"/>
  <c r="F119" i="21" s="1"/>
  <c r="G119" i="21" s="1"/>
  <c r="H119" i="21" s="1"/>
  <c r="I119" i="21" s="1"/>
  <c r="J119" i="21" s="1"/>
  <c r="K119" i="21" s="1"/>
  <c r="L119" i="21" s="1"/>
  <c r="M119" i="21" s="1"/>
  <c r="AA8" i="33"/>
  <c r="S8" i="33"/>
  <c r="AC8" i="33"/>
  <c r="H66" i="33"/>
  <c r="F10" i="33"/>
  <c r="AA10" i="33" s="1"/>
  <c r="F11" i="33"/>
  <c r="S11" i="33" s="1"/>
  <c r="J15" i="33"/>
  <c r="H19" i="33"/>
  <c r="AB19" i="33" s="1"/>
  <c r="F32" i="33"/>
  <c r="AA32" i="33" s="1"/>
  <c r="J32" i="33"/>
  <c r="AC32" i="33" s="1"/>
  <c r="F35" i="33"/>
  <c r="AA35" i="33"/>
  <c r="AB39" i="34"/>
  <c r="F11" i="34"/>
  <c r="S11" i="34" s="1"/>
  <c r="E80" i="34"/>
  <c r="F80" i="34"/>
  <c r="H17" i="34"/>
  <c r="AB17" i="34" s="1"/>
  <c r="AC27" i="34"/>
  <c r="W27" i="34"/>
  <c r="S12" i="35"/>
  <c r="AB28" i="35"/>
  <c r="U28" i="35"/>
  <c r="J13" i="33"/>
  <c r="H13" i="33"/>
  <c r="U13" i="33"/>
  <c r="H29" i="33"/>
  <c r="AB29" i="33" s="1"/>
  <c r="F29" i="33"/>
  <c r="AA29" i="33" s="1"/>
  <c r="J12" i="34"/>
  <c r="AC12" i="34"/>
  <c r="H12" i="34"/>
  <c r="AB12" i="34" s="1"/>
  <c r="F12" i="34"/>
  <c r="S12" i="34" s="1"/>
  <c r="J14" i="34"/>
  <c r="W14" i="34" s="1"/>
  <c r="F14" i="34"/>
  <c r="S14" i="34"/>
  <c r="H14" i="34"/>
  <c r="H30" i="34"/>
  <c r="AB30" i="34"/>
  <c r="F30" i="34"/>
  <c r="S30" i="34" s="1"/>
  <c r="J30" i="34"/>
  <c r="W30" i="34" s="1"/>
  <c r="H32" i="34"/>
  <c r="AB32" i="34"/>
  <c r="F32" i="34"/>
  <c r="AA32" i="34" s="1"/>
  <c r="J32" i="34"/>
  <c r="H46" i="34"/>
  <c r="AB46" i="34" s="1"/>
  <c r="F46" i="34"/>
  <c r="AA46" i="34"/>
  <c r="J46" i="34"/>
  <c r="AC46" i="34" s="1"/>
  <c r="H11" i="35"/>
  <c r="J11" i="35"/>
  <c r="AC11" i="35" s="1"/>
  <c r="F96" i="37"/>
  <c r="H32" i="37"/>
  <c r="AB32" i="37"/>
  <c r="F19" i="39"/>
  <c r="H19" i="39"/>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AB10" i="35"/>
  <c r="AA32" i="21"/>
  <c r="S32" i="21"/>
  <c r="U38" i="21"/>
  <c r="AB34" i="21"/>
  <c r="BL571" i="3"/>
  <c r="F42" i="21"/>
  <c r="AA42" i="21" s="1"/>
  <c r="AB40" i="33"/>
  <c r="U40" i="33"/>
  <c r="AA35" i="34"/>
  <c r="S35" i="34"/>
  <c r="E90" i="34"/>
  <c r="H27" i="34"/>
  <c r="U8" i="35"/>
  <c r="S9" i="35"/>
  <c r="J14" i="35"/>
  <c r="AC14" i="35" s="1"/>
  <c r="F14" i="35"/>
  <c r="H14" i="35"/>
  <c r="E80" i="35"/>
  <c r="E94" i="35"/>
  <c r="F94" i="35" s="1"/>
  <c r="G94" i="35" s="1"/>
  <c r="H94" i="35" s="1"/>
  <c r="I94" i="35" s="1"/>
  <c r="J94" i="35"/>
  <c r="K94" i="35" s="1"/>
  <c r="L94" i="35" s="1"/>
  <c r="M94" i="35" s="1"/>
  <c r="J32" i="35"/>
  <c r="AC32" i="35" s="1"/>
  <c r="H11" i="36"/>
  <c r="AB11" i="36"/>
  <c r="F11" i="36"/>
  <c r="W16" i="36"/>
  <c r="AC16" i="36"/>
  <c r="E78" i="36"/>
  <c r="F78" i="36" s="1"/>
  <c r="G78" i="36" s="1"/>
  <c r="H78" i="36" s="1"/>
  <c r="I78" i="36" s="1"/>
  <c r="J78" i="36" s="1"/>
  <c r="K78" i="36" s="1"/>
  <c r="L78" i="36" s="1"/>
  <c r="M78" i="36" s="1"/>
  <c r="F26" i="36"/>
  <c r="S26" i="36" s="1"/>
  <c r="H33" i="36"/>
  <c r="U33" i="36" s="1"/>
  <c r="F33" i="36"/>
  <c r="AA33" i="36" s="1"/>
  <c r="H27" i="36"/>
  <c r="AB27" i="36" s="1"/>
  <c r="AA31" i="36"/>
  <c r="AC25" i="37"/>
  <c r="AC26" i="37"/>
  <c r="W26" i="37"/>
  <c r="AB29" i="37"/>
  <c r="AC30" i="37"/>
  <c r="AC31" i="37"/>
  <c r="W31" i="37"/>
  <c r="AB14" i="37"/>
  <c r="F17" i="39"/>
  <c r="AA17" i="39" s="1"/>
  <c r="H17" i="39"/>
  <c r="U17" i="39" s="1"/>
  <c r="J17" i="39"/>
  <c r="W17" i="39" s="1"/>
  <c r="F21" i="39"/>
  <c r="S21" i="39" s="1"/>
  <c r="H21" i="39"/>
  <c r="J21" i="39"/>
  <c r="W21" i="39" s="1"/>
  <c r="F33" i="39"/>
  <c r="S33" i="39" s="1"/>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c r="J46" i="39"/>
  <c r="W46" i="39" s="1"/>
  <c r="F29" i="39"/>
  <c r="AA29" i="39" s="1"/>
  <c r="E103" i="39"/>
  <c r="F103" i="39" s="1"/>
  <c r="G103" i="39" s="1"/>
  <c r="H29" i="39"/>
  <c r="F34" i="39"/>
  <c r="AA34" i="39" s="1"/>
  <c r="H34" i="39"/>
  <c r="AB34" i="39" s="1"/>
  <c r="J34" i="39"/>
  <c r="AC34" i="39" s="1"/>
  <c r="F39" i="39"/>
  <c r="S39" i="39" s="1"/>
  <c r="H39" i="39"/>
  <c r="AB39" i="39" s="1"/>
  <c r="J39" i="39"/>
  <c r="J29" i="35"/>
  <c r="AC29" i="35"/>
  <c r="F29" i="35"/>
  <c r="S29" i="35" s="1"/>
  <c r="W30" i="36"/>
  <c r="AC30" i="36"/>
  <c r="F37" i="39"/>
  <c r="S37" i="39" s="1"/>
  <c r="H37" i="39"/>
  <c r="U37" i="39"/>
  <c r="J37" i="39"/>
  <c r="W37" i="39" s="1"/>
  <c r="BL568" i="3"/>
  <c r="BA568" i="3"/>
  <c r="AZ568" i="3" s="1"/>
  <c r="BL567" i="3"/>
  <c r="BA567" i="3"/>
  <c r="AZ567" i="3"/>
  <c r="BL566" i="3"/>
  <c r="BL565" i="3"/>
  <c r="AZ565" i="3" s="1"/>
  <c r="BA564" i="3"/>
  <c r="AZ564" i="3" s="1"/>
  <c r="AZ563" i="3"/>
  <c r="BA553" i="3"/>
  <c r="AZ553" i="3" s="1"/>
  <c r="BA552" i="3"/>
  <c r="AZ552" i="3" s="1"/>
  <c r="BA549" i="3"/>
  <c r="AZ549" i="3" s="1"/>
  <c r="BL547" i="3"/>
  <c r="AZ547" i="3" s="1"/>
  <c r="BA547" i="3"/>
  <c r="BL539" i="3"/>
  <c r="BA539" i="3"/>
  <c r="AZ539" i="3" s="1"/>
  <c r="BA538" i="3"/>
  <c r="AZ538" i="3" s="1"/>
  <c r="BL537" i="3"/>
  <c r="BA537" i="3"/>
  <c r="AZ537" i="3" s="1"/>
  <c r="BL536" i="3"/>
  <c r="AZ536" i="3" s="1"/>
  <c r="BA535" i="3"/>
  <c r="AZ535" i="3" s="1"/>
  <c r="BA534" i="3"/>
  <c r="AZ534" i="3" s="1"/>
  <c r="BA533" i="3"/>
  <c r="AZ533" i="3"/>
  <c r="BL531" i="3"/>
  <c r="AZ531" i="3" s="1"/>
  <c r="BL530" i="3"/>
  <c r="BA530" i="3"/>
  <c r="BL529" i="3"/>
  <c r="AZ529" i="3" s="1"/>
  <c r="BA529" i="3"/>
  <c r="BL528" i="3"/>
  <c r="AZ528" i="3"/>
  <c r="BA527" i="3"/>
  <c r="AZ527" i="3" s="1"/>
  <c r="BA526" i="3"/>
  <c r="AZ526" i="3" s="1"/>
  <c r="BA525" i="3"/>
  <c r="AZ525" i="3" s="1"/>
  <c r="BL523" i="3"/>
  <c r="BA523" i="3"/>
  <c r="AZ523" i="3" s="1"/>
  <c r="BL522" i="3"/>
  <c r="BA522" i="3"/>
  <c r="AZ522" i="3" s="1"/>
  <c r="BL521" i="3"/>
  <c r="AZ521" i="3" s="1"/>
  <c r="BA519" i="3"/>
  <c r="AZ519" i="3"/>
  <c r="BA518" i="3"/>
  <c r="AZ518" i="3" s="1"/>
  <c r="BL517" i="3"/>
  <c r="BA517" i="3"/>
  <c r="AZ517" i="3" s="1"/>
  <c r="BL515" i="3"/>
  <c r="BA515" i="3"/>
  <c r="AZ515" i="3" s="1"/>
  <c r="BA514" i="3"/>
  <c r="AZ514" i="3" s="1"/>
  <c r="BL513" i="3"/>
  <c r="BA513" i="3"/>
  <c r="AZ513" i="3"/>
  <c r="BL512" i="3"/>
  <c r="AZ512" i="3" s="1"/>
  <c r="BA511" i="3"/>
  <c r="AZ511" i="3" s="1"/>
  <c r="BA510" i="3"/>
  <c r="BL509" i="3"/>
  <c r="BL507" i="3"/>
  <c r="BA507" i="3"/>
  <c r="AZ507" i="3"/>
  <c r="BL506" i="3"/>
  <c r="BA506" i="3"/>
  <c r="AZ506" i="3" s="1"/>
  <c r="BL505" i="3"/>
  <c r="AZ505" i="3"/>
  <c r="BA503" i="3"/>
  <c r="AZ503" i="3" s="1"/>
  <c r="BA500" i="3"/>
  <c r="AZ500" i="3" s="1"/>
  <c r="BA499" i="3"/>
  <c r="AZ499" i="3" s="1"/>
  <c r="BL497" i="3"/>
  <c r="BA497" i="3"/>
  <c r="BL496" i="3"/>
  <c r="BA496" i="3"/>
  <c r="AZ496" i="3"/>
  <c r="BA495" i="3"/>
  <c r="AZ495" i="3" s="1"/>
  <c r="BL494" i="3"/>
  <c r="BA494" i="3"/>
  <c r="AZ494" i="3" s="1"/>
  <c r="G494" i="3"/>
  <c r="BA491" i="3"/>
  <c r="AZ491" i="3"/>
  <c r="BL490" i="3"/>
  <c r="BA490" i="3"/>
  <c r="AZ490" i="3"/>
  <c r="BL489" i="3"/>
  <c r="BA489" i="3"/>
  <c r="AZ489" i="3" s="1"/>
  <c r="BL487" i="3"/>
  <c r="AZ487" i="3"/>
  <c r="BA485" i="3"/>
  <c r="AZ485" i="3" s="1"/>
  <c r="BA483" i="3"/>
  <c r="AZ483" i="3" s="1"/>
  <c r="AZ482" i="3"/>
  <c r="BA481" i="3"/>
  <c r="AZ481" i="3" s="1"/>
  <c r="BL19" i="3"/>
  <c r="BA18" i="3"/>
  <c r="F114" i="34"/>
  <c r="G114" i="34"/>
  <c r="H114" i="34" s="1"/>
  <c r="I114" i="34" s="1"/>
  <c r="J114" i="34" s="1"/>
  <c r="K114" i="34" s="1"/>
  <c r="L114" i="34"/>
  <c r="M114" i="34" s="1"/>
  <c r="H38" i="34"/>
  <c r="U38" i="34"/>
  <c r="H30" i="40"/>
  <c r="AB30" i="40" s="1"/>
  <c r="G100" i="40"/>
  <c r="J30" i="40"/>
  <c r="AC30" i="40"/>
  <c r="F38" i="40"/>
  <c r="AA38" i="40" s="1"/>
  <c r="AA36" i="34"/>
  <c r="AC12" i="21"/>
  <c r="W12" i="21"/>
  <c r="S35" i="21"/>
  <c r="AB10" i="21"/>
  <c r="U8" i="21"/>
  <c r="AB8" i="21"/>
  <c r="S34" i="21"/>
  <c r="AC36" i="21"/>
  <c r="AB8" i="33"/>
  <c r="U8" i="33"/>
  <c r="E106" i="33"/>
  <c r="H34" i="33"/>
  <c r="F34" i="33"/>
  <c r="S34" i="33"/>
  <c r="E121" i="33"/>
  <c r="F121" i="33" s="1"/>
  <c r="F41" i="33"/>
  <c r="S41" i="33" s="1"/>
  <c r="AC34" i="34"/>
  <c r="W34" i="34"/>
  <c r="AA39" i="34"/>
  <c r="S39" i="34"/>
  <c r="S43" i="34"/>
  <c r="E78" i="34"/>
  <c r="F15" i="34"/>
  <c r="AC28" i="35"/>
  <c r="W28" i="35"/>
  <c r="J20" i="35"/>
  <c r="E72" i="35"/>
  <c r="F72" i="35"/>
  <c r="G72" i="35" s="1"/>
  <c r="H22" i="35"/>
  <c r="AB22" i="35" s="1"/>
  <c r="H23" i="35"/>
  <c r="F23" i="35"/>
  <c r="AB36" i="35"/>
  <c r="U36" i="35"/>
  <c r="W12" i="36"/>
  <c r="AC12" i="36"/>
  <c r="U31" i="36"/>
  <c r="S8" i="37"/>
  <c r="AA8" i="37"/>
  <c r="F14" i="39"/>
  <c r="S14" i="39" s="1"/>
  <c r="H14" i="39"/>
  <c r="J14" i="39"/>
  <c r="AC14" i="39" s="1"/>
  <c r="F16" i="39"/>
  <c r="AA16" i="39"/>
  <c r="H16" i="39"/>
  <c r="U16" i="39"/>
  <c r="J16" i="39"/>
  <c r="AC16" i="39" s="1"/>
  <c r="F27" i="39"/>
  <c r="AA27" i="39" s="1"/>
  <c r="H27" i="39"/>
  <c r="AB27" i="39" s="1"/>
  <c r="J27" i="39"/>
  <c r="W27" i="39" s="1"/>
  <c r="F15" i="40"/>
  <c r="AA15" i="40" s="1"/>
  <c r="J15" i="40"/>
  <c r="W15" i="40" s="1"/>
  <c r="H15" i="40"/>
  <c r="AB15" i="40"/>
  <c r="E92" i="40"/>
  <c r="F92" i="40" s="1"/>
  <c r="H23" i="40"/>
  <c r="U23" i="40" s="1"/>
  <c r="H41" i="40"/>
  <c r="AB41" i="40"/>
  <c r="F41" i="40"/>
  <c r="AA41" i="40"/>
  <c r="J41" i="40"/>
  <c r="H36" i="33"/>
  <c r="AB36" i="33"/>
  <c r="H37" i="34"/>
  <c r="AB37" i="34" s="1"/>
  <c r="F15" i="39"/>
  <c r="AA15" i="39"/>
  <c r="H15" i="39"/>
  <c r="U15" i="39"/>
  <c r="J15" i="39"/>
  <c r="H25" i="39"/>
  <c r="U25" i="39" s="1"/>
  <c r="J25" i="39"/>
  <c r="AC25" i="39" s="1"/>
  <c r="F25" i="39"/>
  <c r="AA25" i="39" s="1"/>
  <c r="F45" i="39"/>
  <c r="AA45" i="39" s="1"/>
  <c r="H45" i="39"/>
  <c r="U45" i="39" s="1"/>
  <c r="J45" i="39"/>
  <c r="AC45" i="39"/>
  <c r="F47" i="39"/>
  <c r="AA47" i="39" s="1"/>
  <c r="H47" i="39"/>
  <c r="AB47" i="39" s="1"/>
  <c r="J47" i="39"/>
  <c r="W47" i="39" s="1"/>
  <c r="F41" i="39"/>
  <c r="S41" i="39" s="1"/>
  <c r="H41" i="39"/>
  <c r="AB41" i="39" s="1"/>
  <c r="J41" i="39"/>
  <c r="AC41" i="39" s="1"/>
  <c r="E94" i="40"/>
  <c r="F94" i="40" s="1"/>
  <c r="G94" i="40" s="1"/>
  <c r="J25" i="40"/>
  <c r="AC25" i="40" s="1"/>
  <c r="J32" i="40"/>
  <c r="AC32" i="40" s="1"/>
  <c r="H32" i="40"/>
  <c r="U32" i="40"/>
  <c r="H33" i="40"/>
  <c r="AB33" i="40"/>
  <c r="F33" i="40"/>
  <c r="AA33" i="40" s="1"/>
  <c r="J33" i="40"/>
  <c r="H35" i="40"/>
  <c r="AB35" i="40"/>
  <c r="F35" i="40"/>
  <c r="AA35" i="40"/>
  <c r="J35" i="40"/>
  <c r="AC35" i="40" s="1"/>
  <c r="J38" i="39"/>
  <c r="W38" i="39" s="1"/>
  <c r="H38" i="39"/>
  <c r="U38" i="39"/>
  <c r="J16" i="40"/>
  <c r="AC16" i="40" s="1"/>
  <c r="W16" i="40"/>
  <c r="J14" i="40"/>
  <c r="W14" i="40" s="1"/>
  <c r="H42" i="40"/>
  <c r="U42" i="40" s="1"/>
  <c r="H40" i="40"/>
  <c r="U40" i="40"/>
  <c r="H34" i="40"/>
  <c r="AZ431" i="3"/>
  <c r="AZ439" i="3"/>
  <c r="AZ454" i="3"/>
  <c r="B41" i="1"/>
  <c r="J42" i="40"/>
  <c r="AC42" i="40"/>
  <c r="J40" i="40"/>
  <c r="AC40" i="40"/>
  <c r="H16" i="40"/>
  <c r="AB16" i="40" s="1"/>
  <c r="H14" i="40"/>
  <c r="U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20" i="3"/>
  <c r="AZ223" i="3"/>
  <c r="AZ228" i="3"/>
  <c r="AZ236" i="3"/>
  <c r="AZ252" i="3"/>
  <c r="AZ255" i="3"/>
  <c r="AZ260" i="3"/>
  <c r="AZ268" i="3"/>
  <c r="AZ273" i="3"/>
  <c r="AZ276" i="3"/>
  <c r="AZ281" i="3"/>
  <c r="AZ284" i="3"/>
  <c r="AZ289" i="3"/>
  <c r="AZ292" i="3"/>
  <c r="AZ121" i="3"/>
  <c r="AZ124" i="3"/>
  <c r="AZ137" i="3"/>
  <c r="AZ140" i="3"/>
  <c r="AZ152" i="3"/>
  <c r="M7" i="46"/>
  <c r="M11" i="46"/>
  <c r="N3" i="46"/>
  <c r="N6" i="46"/>
  <c r="N10" i="46"/>
  <c r="F69" i="46"/>
  <c r="H71" i="46" s="1"/>
  <c r="AZ167" i="3"/>
  <c r="AZ177" i="3"/>
  <c r="AZ180" i="3"/>
  <c r="AZ40" i="3"/>
  <c r="AZ48" i="3"/>
  <c r="AZ56" i="3"/>
  <c r="AZ79" i="3"/>
  <c r="AZ91" i="3"/>
  <c r="AZ99" i="3"/>
  <c r="AZ107" i="3"/>
  <c r="J13" i="40"/>
  <c r="AB14" i="40"/>
  <c r="W40" i="40"/>
  <c r="F34" i="44"/>
  <c r="F27" i="43"/>
  <c r="F66" i="9"/>
  <c r="P72" i="9" s="1"/>
  <c r="F71" i="9"/>
  <c r="F72" i="9"/>
  <c r="W35" i="40"/>
  <c r="S33" i="40"/>
  <c r="AB32" i="40"/>
  <c r="AC47" i="39"/>
  <c r="S47" i="39"/>
  <c r="U37" i="34"/>
  <c r="U41" i="40"/>
  <c r="J23" i="40"/>
  <c r="AC23" i="40" s="1"/>
  <c r="G92" i="40"/>
  <c r="F23" i="40"/>
  <c r="S23" i="40" s="1"/>
  <c r="AC15" i="40"/>
  <c r="AB16" i="39"/>
  <c r="U23" i="35"/>
  <c r="AB23" i="35"/>
  <c r="H20" i="35"/>
  <c r="U20" i="35" s="1"/>
  <c r="F20" i="35"/>
  <c r="S20" i="35" s="1"/>
  <c r="H15" i="34"/>
  <c r="AB15" i="34" s="1"/>
  <c r="F78" i="34"/>
  <c r="G78" i="34" s="1"/>
  <c r="J15" i="34"/>
  <c r="H41" i="33"/>
  <c r="U41" i="33" s="1"/>
  <c r="G121" i="33"/>
  <c r="H121" i="33" s="1"/>
  <c r="I121" i="33" s="1"/>
  <c r="J121" i="33" s="1"/>
  <c r="K121" i="33" s="1"/>
  <c r="L121" i="33" s="1"/>
  <c r="M121" i="33" s="1"/>
  <c r="F30" i="40"/>
  <c r="AA30" i="40"/>
  <c r="H100" i="40"/>
  <c r="I100" i="40"/>
  <c r="J100" i="40" s="1"/>
  <c r="K100" i="40" s="1"/>
  <c r="L100" i="40"/>
  <c r="M100" i="40" s="1"/>
  <c r="AB38" i="34"/>
  <c r="AZ497" i="3"/>
  <c r="AZ504" i="3"/>
  <c r="AZ530" i="3"/>
  <c r="AZ548" i="3"/>
  <c r="AB37" i="39"/>
  <c r="AA29" i="35"/>
  <c r="J29" i="39"/>
  <c r="AB21" i="39"/>
  <c r="U21" i="39"/>
  <c r="AB33" i="36"/>
  <c r="AA14" i="35"/>
  <c r="S14" i="35"/>
  <c r="G99" i="37"/>
  <c r="F33" i="37"/>
  <c r="AB19" i="39"/>
  <c r="U19" i="39"/>
  <c r="U46" i="34"/>
  <c r="AC30" i="34"/>
  <c r="AA14" i="34"/>
  <c r="W12" i="34"/>
  <c r="U29" i="33"/>
  <c r="U17" i="34"/>
  <c r="AA11" i="34"/>
  <c r="W32" i="33"/>
  <c r="H15" i="33"/>
  <c r="U15" i="33" s="1"/>
  <c r="AA11" i="33"/>
  <c r="U17" i="21"/>
  <c r="U16" i="40"/>
  <c r="W32" i="40"/>
  <c r="H25" i="40"/>
  <c r="AB25" i="40"/>
  <c r="U47" i="39"/>
  <c r="J37" i="34"/>
  <c r="AC37" i="34"/>
  <c r="J36" i="33"/>
  <c r="AC36" i="33" s="1"/>
  <c r="W36" i="33"/>
  <c r="S41" i="40"/>
  <c r="H23" i="39"/>
  <c r="AB23" i="39" s="1"/>
  <c r="J23" i="39"/>
  <c r="AC23" i="39" s="1"/>
  <c r="S16" i="39"/>
  <c r="S15" i="34"/>
  <c r="AA15" i="34"/>
  <c r="AA41" i="33"/>
  <c r="AA34" i="33"/>
  <c r="F106" i="33"/>
  <c r="G106" i="33"/>
  <c r="H106" i="33" s="1"/>
  <c r="I106" i="33" s="1"/>
  <c r="J106" i="33" s="1"/>
  <c r="K106" i="33" s="1"/>
  <c r="L106" i="33" s="1"/>
  <c r="M106" i="33" s="1"/>
  <c r="J34" i="33"/>
  <c r="AC34" i="33"/>
  <c r="U30" i="40"/>
  <c r="W29" i="35"/>
  <c r="AC39" i="39"/>
  <c r="W39" i="39"/>
  <c r="AB46" i="39"/>
  <c r="U11" i="36"/>
  <c r="F80" i="35"/>
  <c r="G80" i="35"/>
  <c r="H80" i="35" s="1"/>
  <c r="I80" i="35" s="1"/>
  <c r="J80" i="35"/>
  <c r="K80" i="35" s="1"/>
  <c r="L80" i="35" s="1"/>
  <c r="M80" i="35" s="1"/>
  <c r="W14" i="35"/>
  <c r="F90" i="34"/>
  <c r="G90" i="34" s="1"/>
  <c r="H90" i="34" s="1"/>
  <c r="I90" i="34"/>
  <c r="J90" i="34" s="1"/>
  <c r="K90" i="34"/>
  <c r="L90" i="34" s="1"/>
  <c r="M90" i="34" s="1"/>
  <c r="F27" i="34"/>
  <c r="S27" i="34" s="1"/>
  <c r="G96" i="37"/>
  <c r="H96" i="37"/>
  <c r="I96" i="37" s="1"/>
  <c r="J96" i="37" s="1"/>
  <c r="K96" i="37"/>
  <c r="L96" i="37"/>
  <c r="M96" i="37" s="1"/>
  <c r="F32" i="37"/>
  <c r="S32" i="37" s="1"/>
  <c r="U11" i="35"/>
  <c r="AB11" i="35"/>
  <c r="S46" i="34"/>
  <c r="U32" i="34"/>
  <c r="AC14" i="34"/>
  <c r="U12" i="34"/>
  <c r="AB13" i="33"/>
  <c r="G80" i="34"/>
  <c r="F17" i="34"/>
  <c r="AA17" i="34" s="1"/>
  <c r="J17" i="34"/>
  <c r="AC17" i="34" s="1"/>
  <c r="H11" i="34"/>
  <c r="AB11" i="34" s="1"/>
  <c r="J35" i="33"/>
  <c r="W35" i="33"/>
  <c r="S32" i="33"/>
  <c r="H11" i="33"/>
  <c r="H10" i="33"/>
  <c r="U10" i="33" s="1"/>
  <c r="I66" i="33"/>
  <c r="J10" i="33"/>
  <c r="AC10" i="33" s="1"/>
  <c r="U40" i="21"/>
  <c r="U11" i="37"/>
  <c r="AC16" i="35"/>
  <c r="J11" i="34"/>
  <c r="W11" i="34"/>
  <c r="S17" i="34"/>
  <c r="F25" i="40"/>
  <c r="AA25" i="40" s="1"/>
  <c r="J11" i="33"/>
  <c r="W11" i="33" s="1"/>
  <c r="H33" i="37"/>
  <c r="AB33" i="37"/>
  <c r="W15" i="34"/>
  <c r="AC15" i="34"/>
  <c r="AB20" i="35"/>
  <c r="W23" i="40"/>
  <c r="D73" i="9"/>
  <c r="N73" i="9" s="1"/>
  <c r="B11" i="1"/>
  <c r="E11" i="1" s="1"/>
  <c r="K11" i="1"/>
  <c r="M11" i="1" s="1"/>
  <c r="B9" i="1"/>
  <c r="E9" i="1" s="1"/>
  <c r="K9" i="1"/>
  <c r="M9" i="1" s="1"/>
  <c r="O9" i="1" s="1"/>
  <c r="P9" i="1" s="1"/>
  <c r="B7" i="1"/>
  <c r="E7" i="1" s="1"/>
  <c r="K7" i="1"/>
  <c r="M7" i="1" s="1"/>
  <c r="O7" i="1" s="1"/>
  <c r="C20" i="43"/>
  <c r="F6" i="1"/>
  <c r="AP6" i="1" s="1"/>
  <c r="F32" i="15"/>
  <c r="F59" i="15"/>
  <c r="F29" i="12"/>
  <c r="F70" i="9"/>
  <c r="D86" i="9"/>
  <c r="M20" i="44"/>
  <c r="F31" i="43"/>
  <c r="F30" i="44"/>
  <c r="AC25" i="36"/>
  <c r="S23" i="36"/>
  <c r="S8" i="36"/>
  <c r="AA26" i="36"/>
  <c r="AA28" i="36"/>
  <c r="U25" i="36"/>
  <c r="H20" i="36"/>
  <c r="U20" i="36" s="1"/>
  <c r="F68" i="36"/>
  <c r="G68" i="36"/>
  <c r="J20" i="36"/>
  <c r="W20" i="36" s="1"/>
  <c r="AC20" i="36"/>
  <c r="F20" i="36"/>
  <c r="S20" i="36" s="1"/>
  <c r="F62" i="36"/>
  <c r="G62" i="36" s="1"/>
  <c r="J14" i="36"/>
  <c r="H14" i="36"/>
  <c r="F14" i="36"/>
  <c r="AA14" i="36" s="1"/>
  <c r="U27" i="36"/>
  <c r="U32" i="36"/>
  <c r="AB12" i="36"/>
  <c r="U9" i="36"/>
  <c r="S33" i="36"/>
  <c r="AA27" i="36"/>
  <c r="S16" i="36"/>
  <c r="S29" i="36"/>
  <c r="AC33" i="35"/>
  <c r="U22" i="35"/>
  <c r="AA13" i="35"/>
  <c r="AC9" i="35"/>
  <c r="S8" i="35"/>
  <c r="U33" i="35"/>
  <c r="AA20" i="35"/>
  <c r="S16" i="35"/>
  <c r="AC10" i="35"/>
  <c r="U9" i="35"/>
  <c r="AC18" i="35"/>
  <c r="W18" i="35"/>
  <c r="U18" i="35"/>
  <c r="AB18" i="35"/>
  <c r="S30" i="35"/>
  <c r="AB30" i="35"/>
  <c r="S27" i="35"/>
  <c r="S28" i="35"/>
  <c r="J26" i="35"/>
  <c r="F26" i="35"/>
  <c r="H26" i="35"/>
  <c r="AB9" i="37"/>
  <c r="W12" i="37"/>
  <c r="AA9" i="37"/>
  <c r="S17" i="37"/>
  <c r="W28" i="37"/>
  <c r="AB37" i="37"/>
  <c r="AA31" i="37"/>
  <c r="S33" i="37"/>
  <c r="AA33" i="37"/>
  <c r="U32" i="37"/>
  <c r="AA32" i="37"/>
  <c r="J33" i="37"/>
  <c r="W33" i="37"/>
  <c r="H99" i="37"/>
  <c r="I99" i="37" s="1"/>
  <c r="J99" i="37"/>
  <c r="K99" i="37" s="1"/>
  <c r="L99" i="37" s="1"/>
  <c r="M99" i="37" s="1"/>
  <c r="S29" i="37"/>
  <c r="J19" i="37"/>
  <c r="AC19" i="37" s="1"/>
  <c r="G75" i="37"/>
  <c r="F19" i="37"/>
  <c r="H19" i="37"/>
  <c r="J17" i="37"/>
  <c r="AC17" i="37" s="1"/>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AB21" i="34"/>
  <c r="U21" i="34"/>
  <c r="U19" i="34"/>
  <c r="AB41" i="34"/>
  <c r="S13" i="34"/>
  <c r="AA41" i="34"/>
  <c r="S9" i="34"/>
  <c r="S10" i="34"/>
  <c r="U39" i="33"/>
  <c r="U37" i="33"/>
  <c r="S35" i="33"/>
  <c r="W34" i="33"/>
  <c r="AC12" i="33"/>
  <c r="AB41" i="33"/>
  <c r="U36" i="33"/>
  <c r="AC35" i="33"/>
  <c r="S29" i="33"/>
  <c r="W31" i="33"/>
  <c r="W43" i="33"/>
  <c r="U46" i="33"/>
  <c r="W39" i="33"/>
  <c r="U35" i="33"/>
  <c r="W26" i="33"/>
  <c r="AB26" i="33"/>
  <c r="H25" i="33"/>
  <c r="J25" i="33"/>
  <c r="W25" i="33" s="1"/>
  <c r="F87" i="33"/>
  <c r="G87" i="33" s="1"/>
  <c r="H87" i="33"/>
  <c r="I87" i="33" s="1"/>
  <c r="J87" i="33" s="1"/>
  <c r="K87" i="33" s="1"/>
  <c r="L87" i="33"/>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AC23" i="21" s="1"/>
  <c r="F23" i="21"/>
  <c r="H23" i="21"/>
  <c r="W17" i="21"/>
  <c r="F15" i="21"/>
  <c r="S15" i="21"/>
  <c r="F77" i="21"/>
  <c r="G77" i="21"/>
  <c r="J15" i="21"/>
  <c r="H15" i="21"/>
  <c r="AC11" i="21"/>
  <c r="AB11" i="21"/>
  <c r="W13" i="21"/>
  <c r="AA11" i="21"/>
  <c r="AC21" i="21"/>
  <c r="W21" i="21"/>
  <c r="W44" i="21"/>
  <c r="AC19" i="21"/>
  <c r="W10" i="21"/>
  <c r="AC38" i="21"/>
  <c r="AB21" i="21"/>
  <c r="U21" i="21"/>
  <c r="AB29" i="21"/>
  <c r="AA31" i="21"/>
  <c r="U33" i="40"/>
  <c r="S35" i="40"/>
  <c r="U15" i="40"/>
  <c r="S14" i="40"/>
  <c r="S15" i="40"/>
  <c r="AB13" i="40"/>
  <c r="S16" i="40"/>
  <c r="W11" i="40"/>
  <c r="AA21" i="40"/>
  <c r="U21" i="40"/>
  <c r="W25" i="40"/>
  <c r="U25" i="40"/>
  <c r="W42" i="40"/>
  <c r="U35" i="40"/>
  <c r="F37" i="40"/>
  <c r="J37" i="40"/>
  <c r="AC37" i="40"/>
  <c r="H37" i="40"/>
  <c r="U37" i="40" s="1"/>
  <c r="G113" i="40"/>
  <c r="H113" i="40"/>
  <c r="I113" i="40" s="1"/>
  <c r="J113" i="40" s="1"/>
  <c r="K113" i="40" s="1"/>
  <c r="L113" i="40" s="1"/>
  <c r="M113" i="40" s="1"/>
  <c r="F39" i="40"/>
  <c r="S38" i="40"/>
  <c r="H39" i="40"/>
  <c r="J39" i="40"/>
  <c r="W38" i="40"/>
  <c r="F29" i="40"/>
  <c r="AA29" i="40" s="1"/>
  <c r="H29" i="40"/>
  <c r="J29" i="40"/>
  <c r="AC29" i="40" s="1"/>
  <c r="F98" i="40"/>
  <c r="G98" i="40"/>
  <c r="H98" i="40" s="1"/>
  <c r="I98" i="40" s="1"/>
  <c r="J98" i="40" s="1"/>
  <c r="K98" i="40" s="1"/>
  <c r="L98" i="40" s="1"/>
  <c r="M98" i="40" s="1"/>
  <c r="S30" i="40"/>
  <c r="AA23" i="40"/>
  <c r="F88" i="40"/>
  <c r="G88" i="40"/>
  <c r="F19" i="40"/>
  <c r="H19" i="40"/>
  <c r="J19" i="40"/>
  <c r="W17" i="40"/>
  <c r="AC17" i="40"/>
  <c r="F17" i="40"/>
  <c r="H17" i="40"/>
  <c r="U17" i="40" s="1"/>
  <c r="W21" i="40"/>
  <c r="AB40" i="40"/>
  <c r="U10" i="40"/>
  <c r="U27" i="40"/>
  <c r="AB27" i="40"/>
  <c r="AB45" i="39"/>
  <c r="AA21" i="39"/>
  <c r="AC19" i="39"/>
  <c r="AC38" i="39"/>
  <c r="AC21" i="39"/>
  <c r="AB15" i="39"/>
  <c r="U11" i="39"/>
  <c r="U23" i="39"/>
  <c r="AB38" i="39"/>
  <c r="U31" i="39"/>
  <c r="AB31" i="39"/>
  <c r="S38" i="39"/>
  <c r="D96" i="9"/>
  <c r="F28" i="15"/>
  <c r="M18" i="15"/>
  <c r="A18" i="64"/>
  <c r="B74" i="63" s="1"/>
  <c r="C53" i="10"/>
  <c r="A25" i="64" s="1"/>
  <c r="A18" i="51"/>
  <c r="B14" i="63" s="1"/>
  <c r="BA17" i="3"/>
  <c r="AZ17" i="3" s="1"/>
  <c r="G3" i="46"/>
  <c r="J22" i="46" s="1"/>
  <c r="BL18" i="3"/>
  <c r="AZ18" i="3"/>
  <c r="BD5" i="3"/>
  <c r="BR5" i="3"/>
  <c r="BL16"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A9" i="64" s="1"/>
  <c r="I100" i="46"/>
  <c r="C24" i="46"/>
  <c r="N100" i="46"/>
  <c r="H100" i="46"/>
  <c r="F108" i="46"/>
  <c r="H80" i="46"/>
  <c r="E100" i="46"/>
  <c r="G100" i="46"/>
  <c r="H84" i="46"/>
  <c r="C100" i="46"/>
  <c r="J100" i="46"/>
  <c r="M100" i="46"/>
  <c r="AA12" i="36"/>
  <c r="U12" i="35"/>
  <c r="AB12" i="35"/>
  <c r="W11" i="35"/>
  <c r="AA11" i="35"/>
  <c r="S14" i="37"/>
  <c r="U13" i="37"/>
  <c r="S13" i="21"/>
  <c r="C24" i="9"/>
  <c r="C25" i="9"/>
  <c r="G9" i="1"/>
  <c r="I20" i="46"/>
  <c r="C20" i="46" s="1"/>
  <c r="L5" i="54"/>
  <c r="B39" i="63" s="1"/>
  <c r="K5" i="54"/>
  <c r="B38" i="63" s="1"/>
  <c r="T41" i="4"/>
  <c r="B46" i="50"/>
  <c r="B4" i="63" s="1"/>
  <c r="C48" i="35"/>
  <c r="D48" i="35" s="1"/>
  <c r="C52" i="37"/>
  <c r="D52" i="37" s="1"/>
  <c r="E52" i="37" s="1"/>
  <c r="F52" i="37" s="1"/>
  <c r="G52" i="37" s="1"/>
  <c r="H52" i="37" s="1"/>
  <c r="O19" i="46"/>
  <c r="H86" i="46"/>
  <c r="H82" i="46"/>
  <c r="H10" i="48"/>
  <c r="H87" i="46"/>
  <c r="H85" i="46"/>
  <c r="H83" i="46"/>
  <c r="K10" i="1"/>
  <c r="M10" i="1" s="1"/>
  <c r="O10" i="1" s="1"/>
  <c r="S11" i="1"/>
  <c r="R11" i="1"/>
  <c r="S13" i="1"/>
  <c r="R13" i="1"/>
  <c r="B6" i="1"/>
  <c r="E6" i="1" s="1"/>
  <c r="B10" i="1"/>
  <c r="E10" i="1" s="1"/>
  <c r="S10" i="1"/>
  <c r="B12" i="1"/>
  <c r="E12" i="1" s="1"/>
  <c r="S12" i="1"/>
  <c r="F66" i="36"/>
  <c r="G66" i="36" s="1"/>
  <c r="H18" i="36"/>
  <c r="U16" i="36"/>
  <c r="S25"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AC27" i="40" s="1"/>
  <c r="W37" i="40"/>
  <c r="W30" i="40"/>
  <c r="U38" i="40"/>
  <c r="S40" i="40"/>
  <c r="S42" i="40"/>
  <c r="G105" i="39"/>
  <c r="J31" i="39"/>
  <c r="W31" i="39" s="1"/>
  <c r="S45" i="39"/>
  <c r="AC46" i="39"/>
  <c r="W42" i="39"/>
  <c r="W36" i="39"/>
  <c r="AC37" i="39"/>
  <c r="W16" i="39"/>
  <c r="S15" i="39"/>
  <c r="W45" i="39"/>
  <c r="AA46" i="39"/>
  <c r="W10"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W19" i="37"/>
  <c r="AB19" i="37"/>
  <c r="U19"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AB37" i="40"/>
  <c r="AA37" i="40"/>
  <c r="S37" i="40"/>
  <c r="U29" i="40"/>
  <c r="AB29" i="40"/>
  <c r="W29" i="40"/>
  <c r="S29" i="40"/>
  <c r="W19" i="40"/>
  <c r="AC19" i="40"/>
  <c r="AA19" i="40"/>
  <c r="S19" i="40"/>
  <c r="AB19" i="40"/>
  <c r="U19" i="40"/>
  <c r="AT6" i="3"/>
  <c r="A9" i="51"/>
  <c r="B9" i="63" s="1"/>
  <c r="A3" i="55"/>
  <c r="B56" i="63" s="1"/>
  <c r="E4" i="4"/>
  <c r="B21" i="55" s="1"/>
  <c r="B72" i="63" s="1"/>
  <c r="C4" i="4"/>
  <c r="B20" i="55" s="1"/>
  <c r="B70" i="63" s="1"/>
  <c r="J18" i="36"/>
  <c r="AE8" i="1"/>
  <c r="AE7" i="1"/>
  <c r="AE6" i="1"/>
  <c r="W18" i="36"/>
  <c r="AC18" i="36"/>
  <c r="AG6" i="1"/>
  <c r="L20" i="6"/>
  <c r="N76" i="9"/>
  <c r="C46" i="9"/>
  <c r="K33" i="9" s="1"/>
  <c r="D58" i="21"/>
  <c r="D70" i="39"/>
  <c r="D72" i="39" s="1"/>
  <c r="C72" i="39"/>
  <c r="D58" i="33"/>
  <c r="C67" i="40"/>
  <c r="D65" i="40"/>
  <c r="D67" i="40" s="1"/>
  <c r="H58" i="46"/>
  <c r="J17" i="46"/>
  <c r="C17" i="46"/>
  <c r="F34" i="46"/>
  <c r="F38" i="46"/>
  <c r="F37" i="46"/>
  <c r="H113" i="46"/>
  <c r="H49" i="46"/>
  <c r="H53" i="46"/>
  <c r="D12" i="59"/>
  <c r="C11" i="59"/>
  <c r="D11" i="59" s="1"/>
  <c r="Y11" i="59"/>
  <c r="Z11" i="59"/>
  <c r="AA11" i="59"/>
  <c r="AB11" i="59"/>
  <c r="Y10" i="59"/>
  <c r="Z10" i="59"/>
  <c r="Y9" i="59"/>
  <c r="Z9" i="59"/>
  <c r="Y8" i="59"/>
  <c r="Z8" i="59" s="1"/>
  <c r="AB10" i="59"/>
  <c r="AB9" i="59"/>
  <c r="AB8" i="59"/>
  <c r="AA13" i="59"/>
  <c r="X11" i="59"/>
  <c r="X9" i="59"/>
  <c r="X8" i="59"/>
  <c r="AA9" i="59"/>
  <c r="AA8" i="59"/>
  <c r="C30" i="44"/>
  <c r="C25" i="12"/>
  <c r="C27" i="43"/>
  <c r="C31" i="43"/>
  <c r="C28" i="15"/>
  <c r="H51" i="46"/>
  <c r="X7" i="46"/>
  <c r="E17" i="46"/>
  <c r="N17" i="46"/>
  <c r="O17" i="46"/>
  <c r="M17" i="46"/>
  <c r="L17" i="46"/>
  <c r="O13" i="1"/>
  <c r="P13" i="1" s="1"/>
  <c r="AP7" i="1"/>
  <c r="G13" i="1"/>
  <c r="H70" i="46"/>
  <c r="H73" i="46"/>
  <c r="H50" i="46"/>
  <c r="H48" i="46"/>
  <c r="F35" i="46"/>
  <c r="I17" i="46"/>
  <c r="G17" i="46" s="1"/>
  <c r="C16" i="46" s="1"/>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10" i="59"/>
  <c r="C9" i="59" s="1"/>
  <c r="C8" i="59" s="1"/>
  <c r="C7" i="59" s="1"/>
  <c r="C6" i="59" s="1"/>
  <c r="T9" i="59"/>
  <c r="P21" i="46"/>
  <c r="P22" i="46"/>
  <c r="P23" i="46"/>
  <c r="P25" i="46"/>
  <c r="B73" i="39" s="1"/>
  <c r="P24" i="46"/>
  <c r="B68" i="40"/>
  <c r="E70" i="39"/>
  <c r="F70" i="39" s="1"/>
  <c r="D9" i="59"/>
  <c r="C7" i="46"/>
  <c r="E72" i="39"/>
  <c r="D7" i="59"/>
  <c r="G20" i="46"/>
  <c r="E41" i="46" s="1"/>
  <c r="C41" i="46" s="1"/>
  <c r="F31" i="15"/>
  <c r="F33" i="44"/>
  <c r="B13" i="67"/>
  <c r="N5" i="65"/>
  <c r="N7" i="65"/>
  <c r="E14" i="67"/>
  <c r="F12" i="67"/>
  <c r="E8" i="67"/>
  <c r="E12" i="67"/>
  <c r="B12" i="67"/>
  <c r="B9" i="67"/>
  <c r="B14" i="67"/>
  <c r="N3" i="65"/>
  <c r="B11" i="67"/>
  <c r="F8" i="67"/>
  <c r="F10" i="67"/>
  <c r="F9" i="67"/>
  <c r="B10" i="67"/>
  <c r="F13" i="67"/>
  <c r="N4" i="65"/>
  <c r="E10" i="67"/>
  <c r="E9" i="67"/>
  <c r="B8" i="67"/>
  <c r="E11" i="67"/>
  <c r="N6" i="65"/>
  <c r="F14" i="67"/>
  <c r="F11" i="67"/>
  <c r="E13" i="67"/>
  <c r="BK5" i="3" l="1"/>
  <c r="K8" i="1"/>
  <c r="M8" i="1" s="1"/>
  <c r="G1" i="15"/>
  <c r="G1" i="44"/>
  <c r="K1" i="12"/>
  <c r="F3" i="35"/>
  <c r="B8" i="1"/>
  <c r="E8" i="1" s="1"/>
  <c r="BA16" i="3"/>
  <c r="K101" i="46"/>
  <c r="K103" i="46" s="1"/>
  <c r="J101" i="46"/>
  <c r="J107" i="46" s="1"/>
  <c r="S5" i="46"/>
  <c r="H101" i="46"/>
  <c r="H102" i="46" s="1"/>
  <c r="F101" i="46"/>
  <c r="F103" i="46" s="1"/>
  <c r="G22" i="46"/>
  <c r="G29" i="6"/>
  <c r="BC5" i="3"/>
  <c r="BB5" i="3"/>
  <c r="E5" i="6" s="1"/>
  <c r="D21" i="12" s="1"/>
  <c r="C21" i="12" s="1"/>
  <c r="E22" i="46"/>
  <c r="N104" i="45"/>
  <c r="D18" i="9"/>
  <c r="M44" i="9" s="1"/>
  <c r="M43" i="9"/>
  <c r="AC44" i="39"/>
  <c r="AB44" i="39"/>
  <c r="S42" i="39"/>
  <c r="AA44" i="39"/>
  <c r="W43" i="39"/>
  <c r="AB43" i="39"/>
  <c r="S43" i="39"/>
  <c r="AA41" i="39"/>
  <c r="U41" i="39"/>
  <c r="W41" i="39"/>
  <c r="U40" i="39"/>
  <c r="AA33" i="39"/>
  <c r="AB33" i="39"/>
  <c r="S29" i="39"/>
  <c r="AC31" i="39"/>
  <c r="W25" i="39"/>
  <c r="AB25" i="39"/>
  <c r="S25" i="39"/>
  <c r="U27" i="39"/>
  <c r="AC27" i="39"/>
  <c r="S27" i="39"/>
  <c r="AA23" i="39"/>
  <c r="S23" i="39"/>
  <c r="W23" i="39"/>
  <c r="E97" i="39"/>
  <c r="F97" i="39" s="1"/>
  <c r="G97" i="39" s="1"/>
  <c r="S17" i="39"/>
  <c r="AB17" i="39"/>
  <c r="AC17" i="39"/>
  <c r="G83" i="39"/>
  <c r="H83" i="39" s="1"/>
  <c r="I83" i="39" s="1"/>
  <c r="J83" i="39" s="1"/>
  <c r="K83" i="39" s="1"/>
  <c r="L83" i="39" s="1"/>
  <c r="M83" i="39" s="1"/>
  <c r="W11" i="39"/>
  <c r="E13" i="52"/>
  <c r="E6" i="52"/>
  <c r="B11" i="52"/>
  <c r="B74" i="46"/>
  <c r="B65" i="46"/>
  <c r="M22" i="44"/>
  <c r="F36" i="44"/>
  <c r="F34" i="15"/>
  <c r="F61" i="15" s="1"/>
  <c r="E21" i="52"/>
  <c r="G101" i="46"/>
  <c r="G103" i="46" s="1"/>
  <c r="N101" i="46"/>
  <c r="N109" i="46" s="1"/>
  <c r="S7" i="46"/>
  <c r="I101" i="46"/>
  <c r="I109" i="46" s="1"/>
  <c r="S2" i="46"/>
  <c r="AF11" i="46"/>
  <c r="AF13" i="46" s="1"/>
  <c r="BA13" i="3"/>
  <c r="E32" i="6"/>
  <c r="L19" i="6" s="1"/>
  <c r="L27" i="6" s="1"/>
  <c r="AA11" i="46"/>
  <c r="AA13" i="46" s="1"/>
  <c r="E101" i="46"/>
  <c r="E102" i="46" s="1"/>
  <c r="AJ11" i="46"/>
  <c r="AJ13" i="46" s="1"/>
  <c r="H22" i="46"/>
  <c r="AB11" i="46"/>
  <c r="AB13" i="46" s="1"/>
  <c r="AI11" i="46"/>
  <c r="AI13" i="46" s="1"/>
  <c r="Z7" i="46"/>
  <c r="C101" i="46"/>
  <c r="C105" i="46" s="1"/>
  <c r="Y11" i="46"/>
  <c r="Y13" i="46" s="1"/>
  <c r="S4" i="46"/>
  <c r="AH11" i="46"/>
  <c r="AH13" i="46" s="1"/>
  <c r="F22" i="46"/>
  <c r="D22" i="46" s="1"/>
  <c r="AD11" i="46"/>
  <c r="AD13" i="46" s="1"/>
  <c r="S6" i="46"/>
  <c r="C23" i="46"/>
  <c r="C21" i="46" s="1"/>
  <c r="Z11" i="46"/>
  <c r="Z13" i="46" s="1"/>
  <c r="L101" i="46"/>
  <c r="L102" i="46" s="1"/>
  <c r="AC11" i="46"/>
  <c r="AC13" i="46" s="1"/>
  <c r="D101" i="46"/>
  <c r="D104" i="46" s="1"/>
  <c r="S3" i="46"/>
  <c r="AE11" i="46"/>
  <c r="AE13" i="46" s="1"/>
  <c r="AG11" i="46"/>
  <c r="AG13" i="46" s="1"/>
  <c r="B113" i="46"/>
  <c r="D118" i="46" s="1"/>
  <c r="E118" i="46" s="1"/>
  <c r="F118" i="46" s="1"/>
  <c r="M101" i="46"/>
  <c r="M106" i="46" s="1"/>
  <c r="P6" i="1"/>
  <c r="H105" i="46"/>
  <c r="K106" i="46"/>
  <c r="O11" i="1"/>
  <c r="P11" i="1" s="1"/>
  <c r="F29" i="6"/>
  <c r="BL13" i="3"/>
  <c r="K107" i="46"/>
  <c r="H109" i="46"/>
  <c r="BJ5" i="3"/>
  <c r="K104" i="46"/>
  <c r="H104" i="46"/>
  <c r="BQ5" i="3"/>
  <c r="F28" i="6" s="1"/>
  <c r="F30" i="6" s="1"/>
  <c r="F102" i="46"/>
  <c r="F106" i="46"/>
  <c r="L16" i="4"/>
  <c r="K17" i="4" s="1"/>
  <c r="A22" i="51" s="1"/>
  <c r="B16" i="63" s="1"/>
  <c r="G11" i="1"/>
  <c r="G8" i="1"/>
  <c r="J57" i="39"/>
  <c r="B8" i="52"/>
  <c r="E11" i="52"/>
  <c r="E4" i="52"/>
  <c r="K40" i="9"/>
  <c r="I14" i="66"/>
  <c r="B8" i="66" s="1"/>
  <c r="O41" i="9"/>
  <c r="R8" i="54" s="1"/>
  <c r="B54" i="63" s="1"/>
  <c r="G70" i="39"/>
  <c r="F72" i="39"/>
  <c r="E65" i="40"/>
  <c r="H1" i="65"/>
  <c r="AP11" i="1"/>
  <c r="G6" i="1"/>
  <c r="A25" i="51"/>
  <c r="B18" i="63" s="1"/>
  <c r="W34" i="39"/>
  <c r="U34" i="39"/>
  <c r="S34" i="39"/>
  <c r="W14" i="39"/>
  <c r="AA14" i="39"/>
  <c r="S11" i="39"/>
  <c r="E10" i="52"/>
  <c r="E9" i="52"/>
  <c r="E7" i="52"/>
  <c r="B13" i="52"/>
  <c r="B4" i="52"/>
  <c r="B6" i="52"/>
  <c r="B9" i="52"/>
  <c r="B10" i="52"/>
  <c r="E14" i="52"/>
  <c r="E8" i="52"/>
  <c r="B22" i="52"/>
  <c r="B14" i="52"/>
  <c r="E22" i="52"/>
  <c r="C4" i="65"/>
  <c r="B39" i="1" s="1"/>
  <c r="E46" i="36"/>
  <c r="F46" i="36" s="1"/>
  <c r="G46" i="36" s="1"/>
  <c r="H46" i="36" s="1"/>
  <c r="I46" i="36" s="1"/>
  <c r="J46" i="36" s="1"/>
  <c r="K46" i="36" s="1"/>
  <c r="L46" i="36" s="1"/>
  <c r="M46" i="36" s="1"/>
  <c r="N46" i="36" s="1"/>
  <c r="O46" i="36" s="1"/>
  <c r="J7" i="36"/>
  <c r="F7" i="36"/>
  <c r="H59" i="34"/>
  <c r="I59" i="34" s="1"/>
  <c r="J59" i="34" s="1"/>
  <c r="K59" i="34" s="1"/>
  <c r="L59" i="34" s="1"/>
  <c r="M59" i="34" s="1"/>
  <c r="N59" i="34" s="1"/>
  <c r="O59" i="34" s="1"/>
  <c r="H7" i="34"/>
  <c r="F7" i="34"/>
  <c r="J7" i="34"/>
  <c r="I52" i="37"/>
  <c r="D5" i="46"/>
  <c r="C5" i="46"/>
  <c r="U34" i="40"/>
  <c r="AB34" i="40"/>
  <c r="W15" i="39"/>
  <c r="AC15" i="39"/>
  <c r="W41" i="40"/>
  <c r="AC41" i="40"/>
  <c r="AB14" i="39"/>
  <c r="U14" i="39"/>
  <c r="F34" i="40"/>
  <c r="J34" i="40"/>
  <c r="B20" i="31"/>
  <c r="R22" i="31"/>
  <c r="B21" i="31" s="1"/>
  <c r="AA19" i="37"/>
  <c r="S19" i="37"/>
  <c r="AB27" i="34"/>
  <c r="U27" i="34"/>
  <c r="W32" i="34"/>
  <c r="AC32" i="34"/>
  <c r="AB14" i="34"/>
  <c r="U14" i="34"/>
  <c r="D8" i="59"/>
  <c r="D10" i="59"/>
  <c r="F107" i="46"/>
  <c r="E48" i="35"/>
  <c r="S36" i="37"/>
  <c r="AA36" i="37"/>
  <c r="E58" i="21"/>
  <c r="H7" i="36"/>
  <c r="E29" i="6"/>
  <c r="K15" i="1" s="1"/>
  <c r="AB11" i="33"/>
  <c r="U11" i="33"/>
  <c r="AC29" i="39"/>
  <c r="W29" i="39"/>
  <c r="C5" i="59"/>
  <c r="D5" i="59" s="1"/>
  <c r="D6" i="59"/>
  <c r="AZ16" i="3"/>
  <c r="AB25" i="33"/>
  <c r="U25" i="33"/>
  <c r="W27" i="40"/>
  <c r="A17" i="64"/>
  <c r="A17" i="51"/>
  <c r="B13" i="63" s="1"/>
  <c r="K31" i="9"/>
  <c r="K32" i="9" s="1"/>
  <c r="R7" i="54"/>
  <c r="B52" i="63" s="1"/>
  <c r="P7" i="1"/>
  <c r="U29" i="39"/>
  <c r="AB29" i="39"/>
  <c r="AA17" i="40"/>
  <c r="S17" i="40"/>
  <c r="W13" i="35"/>
  <c r="W13" i="40"/>
  <c r="AC13" i="40"/>
  <c r="S40" i="21"/>
  <c r="AA40" i="21"/>
  <c r="U33" i="21"/>
  <c r="AB33" i="21"/>
  <c r="S25" i="40"/>
  <c r="S35" i="35"/>
  <c r="AA35" i="35"/>
  <c r="AB46" i="21"/>
  <c r="U46" i="21"/>
  <c r="E58" i="33"/>
  <c r="H14" i="66"/>
  <c r="B7" i="66" s="1"/>
  <c r="P10" i="1"/>
  <c r="U15" i="34"/>
  <c r="AA39" i="39"/>
  <c r="AA23" i="35"/>
  <c r="S23" i="35"/>
  <c r="W23" i="21"/>
  <c r="AZ510" i="3"/>
  <c r="S11" i="36"/>
  <c r="AA11" i="36"/>
  <c r="U14" i="35"/>
  <c r="AB14" i="35"/>
  <c r="W13" i="33"/>
  <c r="AC13" i="33"/>
  <c r="AC15" i="33"/>
  <c r="W15" i="33"/>
  <c r="S38" i="37"/>
  <c r="AA38" i="37"/>
  <c r="AA30" i="37"/>
  <c r="S30" i="37"/>
  <c r="AB17" i="40"/>
  <c r="U34" i="33"/>
  <c r="AB34" i="33"/>
  <c r="S17" i="21"/>
  <c r="AA17" i="21"/>
  <c r="W27" i="35"/>
  <c r="AC27" i="35"/>
  <c r="AZ559" i="3"/>
  <c r="AZ557" i="3"/>
  <c r="AZ556" i="3"/>
  <c r="AZ554" i="3"/>
  <c r="AZ550" i="3"/>
  <c r="AZ545" i="3"/>
  <c r="BL486" i="3"/>
  <c r="AZ486" i="3" s="1"/>
  <c r="AC33" i="39"/>
  <c r="W33" i="39"/>
  <c r="S19" i="39"/>
  <c r="AA19" i="39"/>
  <c r="AB42" i="40"/>
  <c r="AC33" i="40"/>
  <c r="W33" i="40"/>
  <c r="AC20" i="35"/>
  <c r="W20" i="35"/>
  <c r="S28" i="21"/>
  <c r="AA28" i="21"/>
  <c r="H5" i="3"/>
  <c r="G13" i="3"/>
  <c r="AZ572" i="3"/>
  <c r="BA571" i="3"/>
  <c r="AZ571" i="3" s="1"/>
  <c r="AA37" i="39"/>
  <c r="AB23" i="40"/>
  <c r="U39" i="39"/>
  <c r="AC14" i="40"/>
  <c r="W25" i="35"/>
  <c r="AC13" i="36"/>
  <c r="AC35" i="35"/>
  <c r="U40" i="37"/>
  <c r="AB40" i="37"/>
  <c r="U28" i="36"/>
  <c r="AA45" i="21"/>
  <c r="S45" i="21"/>
  <c r="AB28" i="21"/>
  <c r="U28" i="21"/>
  <c r="AC11" i="36"/>
  <c r="AZ324" i="3"/>
  <c r="S46" i="21"/>
  <c r="AA22" i="35"/>
  <c r="S22" i="35"/>
  <c r="BA570" i="3"/>
  <c r="AZ570" i="3" s="1"/>
  <c r="AA35" i="37"/>
  <c r="AC23" i="37"/>
  <c r="S46" i="33"/>
  <c r="BL572" i="3"/>
  <c r="AZ340" i="3"/>
  <c r="AA25" i="35"/>
  <c r="S25" i="35"/>
  <c r="AC31" i="34"/>
  <c r="W31" i="34"/>
  <c r="S39" i="37"/>
  <c r="AA39" i="37"/>
  <c r="BI5" i="3"/>
  <c r="AC24" i="35"/>
  <c r="AB34" i="37"/>
  <c r="U34" i="37"/>
  <c r="BL540" i="3"/>
  <c r="AZ540" i="3" s="1"/>
  <c r="AZ562" i="3"/>
  <c r="AA38" i="21"/>
  <c r="S38" i="21"/>
  <c r="S28" i="34"/>
  <c r="AA28" i="34"/>
  <c r="W8" i="37"/>
  <c r="AC8" i="37"/>
  <c r="BA555" i="3"/>
  <c r="AZ555" i="3" s="1"/>
  <c r="BA551" i="3"/>
  <c r="AZ551" i="3" s="1"/>
  <c r="BL550" i="3"/>
  <c r="AZ546" i="3"/>
  <c r="BA498" i="3"/>
  <c r="AZ498" i="3" s="1"/>
  <c r="BG5" i="3"/>
  <c r="BT5" i="3"/>
  <c r="G28" i="6" s="1"/>
  <c r="BA20" i="3"/>
  <c r="AZ20" i="3" s="1"/>
  <c r="AZ356" i="3"/>
  <c r="U31" i="37"/>
  <c r="S10" i="35"/>
  <c r="AA10" i="35"/>
  <c r="BL558" i="3"/>
  <c r="AZ558" i="3" s="1"/>
  <c r="AZ492" i="3"/>
  <c r="AA8" i="21"/>
  <c r="S8" i="21"/>
  <c r="AC39" i="34"/>
  <c r="W39" i="34"/>
  <c r="AB26" i="36"/>
  <c r="U26" i="36"/>
  <c r="S41" i="21"/>
  <c r="AA41" i="21"/>
  <c r="BA566" i="3"/>
  <c r="AZ566" i="3" s="1"/>
  <c r="BL510" i="3"/>
  <c r="BA509" i="3"/>
  <c r="AZ509" i="3" s="1"/>
  <c r="BL508" i="3"/>
  <c r="AZ508" i="3" s="1"/>
  <c r="G505" i="3"/>
  <c r="AZ358" i="3"/>
  <c r="W41" i="34"/>
  <c r="AC41" i="34"/>
  <c r="AA42" i="33"/>
  <c r="S42" i="33"/>
  <c r="BL560" i="3"/>
  <c r="AZ560" i="3" s="1"/>
  <c r="BF5" i="3"/>
  <c r="AA10" i="21"/>
  <c r="S10" i="21"/>
  <c r="J30" i="21"/>
  <c r="H30" i="21"/>
  <c r="F30" i="21"/>
  <c r="J9" i="33"/>
  <c r="H9" i="33"/>
  <c r="H34" i="36"/>
  <c r="J34" i="36"/>
  <c r="F34" i="36"/>
  <c r="S24" i="36"/>
  <c r="J28" i="34"/>
  <c r="G19" i="3"/>
  <c r="G487" i="3"/>
  <c r="AZ417" i="3"/>
  <c r="G569" i="3"/>
  <c r="G552" i="3"/>
  <c r="AZ392" i="3"/>
  <c r="AZ393" i="3"/>
  <c r="AZ408" i="3"/>
  <c r="H23" i="36"/>
  <c r="J23" i="36"/>
  <c r="C92" i="9"/>
  <c r="AZ413" i="3"/>
  <c r="BA391" i="3"/>
  <c r="AZ391" i="3" s="1"/>
  <c r="BA400" i="3"/>
  <c r="AZ400" i="3" s="1"/>
  <c r="BL408" i="3"/>
  <c r="G409" i="3"/>
  <c r="BA421" i="3"/>
  <c r="AZ421" i="3" s="1"/>
  <c r="BA424" i="3"/>
  <c r="AZ424" i="3" s="1"/>
  <c r="AZ468" i="3"/>
  <c r="BA406" i="3"/>
  <c r="AZ406" i="3" s="1"/>
  <c r="BA412" i="3"/>
  <c r="AZ412" i="3" s="1"/>
  <c r="BL413" i="3"/>
  <c r="BL417" i="3"/>
  <c r="G419" i="3"/>
  <c r="BA427" i="3"/>
  <c r="AZ427" i="3" s="1"/>
  <c r="AZ429" i="3"/>
  <c r="AZ451" i="3"/>
  <c r="AZ480" i="3"/>
  <c r="AZ210" i="3"/>
  <c r="BL399" i="3"/>
  <c r="AZ399" i="3" s="1"/>
  <c r="BA426" i="3"/>
  <c r="A30" i="64"/>
  <c r="A30" i="51"/>
  <c r="B22" i="63" s="1"/>
  <c r="AZ416" i="3"/>
  <c r="BL420" i="3"/>
  <c r="AZ420" i="3" s="1"/>
  <c r="BL423" i="3"/>
  <c r="AZ423" i="3" s="1"/>
  <c r="G424" i="3"/>
  <c r="G425" i="3"/>
  <c r="AZ465" i="3"/>
  <c r="A11" i="55"/>
  <c r="B62" i="63" s="1"/>
  <c r="AZ397" i="3"/>
  <c r="BL405" i="3"/>
  <c r="AZ405" i="3" s="1"/>
  <c r="G406" i="3"/>
  <c r="BL426" i="3"/>
  <c r="G427" i="3"/>
  <c r="AZ334" i="3"/>
  <c r="BA403" i="3"/>
  <c r="AZ403" i="3" s="1"/>
  <c r="BA409" i="3"/>
  <c r="AZ409" i="3" s="1"/>
  <c r="AZ440" i="3"/>
  <c r="AZ206" i="3"/>
  <c r="BA394" i="3"/>
  <c r="AZ394" i="3" s="1"/>
  <c r="BL414" i="3"/>
  <c r="AZ414" i="3" s="1"/>
  <c r="BA418" i="3"/>
  <c r="AZ418" i="3" s="1"/>
  <c r="AZ443" i="3"/>
  <c r="BL402" i="3"/>
  <c r="AZ402" i="3" s="1"/>
  <c r="AZ432" i="3"/>
  <c r="AZ476" i="3"/>
  <c r="BL218" i="3"/>
  <c r="AZ218" i="3" s="1"/>
  <c r="BA232" i="3"/>
  <c r="AZ232" i="3" s="1"/>
  <c r="BA237" i="3"/>
  <c r="AZ237" i="3" s="1"/>
  <c r="G246" i="3"/>
  <c r="BA249" i="3"/>
  <c r="BL249" i="3"/>
  <c r="BL250" i="3"/>
  <c r="BA261" i="3"/>
  <c r="BA262" i="3"/>
  <c r="AZ262" i="3" s="1"/>
  <c r="BL265" i="3"/>
  <c r="AZ265" i="3" s="1"/>
  <c r="AZ272" i="3"/>
  <c r="AZ277" i="3"/>
  <c r="AZ285" i="3"/>
  <c r="AZ117" i="3"/>
  <c r="BA216" i="3"/>
  <c r="AZ216" i="3" s="1"/>
  <c r="BL231" i="3"/>
  <c r="AZ231" i="3" s="1"/>
  <c r="BL244" i="3"/>
  <c r="AZ244" i="3" s="1"/>
  <c r="BL247" i="3"/>
  <c r="AZ247" i="3" s="1"/>
  <c r="G249" i="3"/>
  <c r="BL251" i="3"/>
  <c r="AZ251" i="3" s="1"/>
  <c r="BA259" i="3"/>
  <c r="AZ259" i="3" s="1"/>
  <c r="BL263" i="3"/>
  <c r="AZ263" i="3" s="1"/>
  <c r="AZ271" i="3"/>
  <c r="AZ283" i="3"/>
  <c r="AZ116" i="3"/>
  <c r="BL215" i="3"/>
  <c r="AZ215" i="3" s="1"/>
  <c r="BA229" i="3"/>
  <c r="AZ229" i="3" s="1"/>
  <c r="BL248" i="3"/>
  <c r="BA258" i="3"/>
  <c r="BL264" i="3"/>
  <c r="AZ269" i="3"/>
  <c r="AZ128" i="3"/>
  <c r="AZ129" i="3"/>
  <c r="AZ182" i="3"/>
  <c r="G228" i="3"/>
  <c r="G238" i="3"/>
  <c r="BA239" i="3"/>
  <c r="AZ239" i="3" s="1"/>
  <c r="BA256" i="3"/>
  <c r="AZ256" i="3" s="1"/>
  <c r="BL261" i="3"/>
  <c r="AZ156" i="3"/>
  <c r="BA240" i="3"/>
  <c r="AZ240" i="3" s="1"/>
  <c r="BA253" i="3"/>
  <c r="AZ253" i="3" s="1"/>
  <c r="AZ254" i="3"/>
  <c r="BL258" i="3"/>
  <c r="G259" i="3"/>
  <c r="AZ267" i="3"/>
  <c r="AZ125" i="3"/>
  <c r="G225" i="3"/>
  <c r="BL239" i="3"/>
  <c r="G222" i="3"/>
  <c r="BA235" i="3"/>
  <c r="AZ235" i="3" s="1"/>
  <c r="BA243" i="3"/>
  <c r="AZ243" i="3" s="1"/>
  <c r="BA246" i="3"/>
  <c r="AZ246" i="3" s="1"/>
  <c r="BA250" i="3"/>
  <c r="AZ250" i="3" s="1"/>
  <c r="G256" i="3"/>
  <c r="BL242" i="3"/>
  <c r="AZ242" i="3" s="1"/>
  <c r="BA248" i="3"/>
  <c r="BA264" i="3"/>
  <c r="AZ293" i="3"/>
  <c r="BA160" i="3"/>
  <c r="AZ160" i="3" s="1"/>
  <c r="BL172" i="3"/>
  <c r="AZ172" i="3" s="1"/>
  <c r="BL184" i="3"/>
  <c r="AZ184" i="3" s="1"/>
  <c r="BA190" i="3"/>
  <c r="AZ190" i="3" s="1"/>
  <c r="BL199" i="3"/>
  <c r="BL203" i="3"/>
  <c r="AZ203" i="3" s="1"/>
  <c r="BA23" i="3"/>
  <c r="AZ23" i="3" s="1"/>
  <c r="AZ50" i="3"/>
  <c r="AZ53" i="3"/>
  <c r="AZ57" i="3"/>
  <c r="AZ77" i="3"/>
  <c r="AZ80" i="3"/>
  <c r="AZ81" i="3"/>
  <c r="BA93" i="3"/>
  <c r="AZ93" i="3" s="1"/>
  <c r="AZ95" i="3"/>
  <c r="BL101" i="3"/>
  <c r="AZ101" i="3" s="1"/>
  <c r="BL111" i="3"/>
  <c r="AZ111" i="3" s="1"/>
  <c r="E12" i="59"/>
  <c r="E11" i="59" s="1"/>
  <c r="E10" i="59" s="1"/>
  <c r="E9" i="59" s="1"/>
  <c r="U13" i="59"/>
  <c r="BL159" i="3"/>
  <c r="AZ159" i="3" s="1"/>
  <c r="G174" i="3"/>
  <c r="G184" i="3"/>
  <c r="BA191" i="3"/>
  <c r="AZ191" i="3" s="1"/>
  <c r="BA195" i="3"/>
  <c r="AZ195" i="3" s="1"/>
  <c r="BA22" i="3"/>
  <c r="AZ22" i="3" s="1"/>
  <c r="BA24" i="3"/>
  <c r="AZ24" i="3" s="1"/>
  <c r="BA26" i="3"/>
  <c r="AZ26" i="3" s="1"/>
  <c r="AZ41" i="3"/>
  <c r="AZ44" i="3"/>
  <c r="BL81" i="3"/>
  <c r="AZ92" i="3"/>
  <c r="P75" i="15"/>
  <c r="P62" i="15"/>
  <c r="BL188" i="3"/>
  <c r="AZ188" i="3" s="1"/>
  <c r="BA194" i="3"/>
  <c r="AZ194" i="3" s="1"/>
  <c r="BA27" i="3"/>
  <c r="BA29" i="3"/>
  <c r="AZ29" i="3" s="1"/>
  <c r="AZ46" i="3"/>
  <c r="AB6" i="59"/>
  <c r="AB3" i="59"/>
  <c r="BL153" i="3"/>
  <c r="AZ153" i="3" s="1"/>
  <c r="BA171" i="3"/>
  <c r="AZ171" i="3" s="1"/>
  <c r="AZ30" i="3"/>
  <c r="E19" i="59"/>
  <c r="E20" i="59" s="1"/>
  <c r="E21" i="59" s="1"/>
  <c r="U21" i="59" s="1"/>
  <c r="AA18" i="59"/>
  <c r="AA17" i="59"/>
  <c r="Y20" i="59"/>
  <c r="Z20" i="59" s="1"/>
  <c r="Y19" i="59"/>
  <c r="Z19" i="59" s="1"/>
  <c r="AA14" i="59"/>
  <c r="AA15" i="59"/>
  <c r="AA16" i="59"/>
  <c r="BA164" i="3"/>
  <c r="AZ164" i="3" s="1"/>
  <c r="BL169" i="3"/>
  <c r="AZ169" i="3" s="1"/>
  <c r="AZ34" i="3"/>
  <c r="AZ62" i="3"/>
  <c r="AZ65" i="3"/>
  <c r="AZ68" i="3"/>
  <c r="BA87" i="3"/>
  <c r="AZ87" i="3" s="1"/>
  <c r="C41" i="59"/>
  <c r="D40" i="59"/>
  <c r="X17" i="59"/>
  <c r="B17" i="59"/>
  <c r="X14" i="59"/>
  <c r="X15" i="59"/>
  <c r="X16" i="59"/>
  <c r="AA7" i="59"/>
  <c r="G169" i="3"/>
  <c r="G178" i="3"/>
  <c r="BL194" i="3"/>
  <c r="BA199" i="3"/>
  <c r="AZ199" i="3" s="1"/>
  <c r="BA201" i="3"/>
  <c r="AZ201" i="3" s="1"/>
  <c r="BL27" i="3"/>
  <c r="BL5" i="3" s="1"/>
  <c r="BA31" i="3"/>
  <c r="AZ31" i="3" s="1"/>
  <c r="BL34" i="3"/>
  <c r="BL35" i="3"/>
  <c r="AZ35" i="3" s="1"/>
  <c r="BA69" i="3"/>
  <c r="AZ69" i="3" s="1"/>
  <c r="BL74" i="3"/>
  <c r="AZ74" i="3" s="1"/>
  <c r="BA84" i="3"/>
  <c r="AZ84" i="3" s="1"/>
  <c r="BA105" i="3"/>
  <c r="AZ105" i="3" s="1"/>
  <c r="BA106" i="3"/>
  <c r="AZ106" i="3" s="1"/>
  <c r="BA109" i="3"/>
  <c r="AZ109" i="3" s="1"/>
  <c r="I21" i="57"/>
  <c r="D1" i="57" s="1"/>
  <c r="E10" i="57" s="1"/>
  <c r="BA174" i="3"/>
  <c r="AZ174" i="3" s="1"/>
  <c r="BA183" i="3"/>
  <c r="AZ183" i="3" s="1"/>
  <c r="BL200" i="3"/>
  <c r="AZ200" i="3" s="1"/>
  <c r="BA204" i="3"/>
  <c r="AZ204" i="3" s="1"/>
  <c r="BL30" i="3"/>
  <c r="BL31" i="3"/>
  <c r="BL32" i="3"/>
  <c r="AZ32" i="3" s="1"/>
  <c r="BA60" i="3"/>
  <c r="AZ60" i="3" s="1"/>
  <c r="BA63" i="3"/>
  <c r="AZ63" i="3" s="1"/>
  <c r="BA66" i="3"/>
  <c r="AZ66" i="3" s="1"/>
  <c r="AZ83" i="3"/>
  <c r="BL89" i="3"/>
  <c r="AZ89" i="3" s="1"/>
  <c r="BA103" i="3"/>
  <c r="AZ103" i="3" s="1"/>
  <c r="C32" i="59"/>
  <c r="D31" i="59"/>
  <c r="C44" i="59"/>
  <c r="D43" i="59"/>
  <c r="X12" i="59"/>
  <c r="X5" i="59"/>
  <c r="G164" i="3"/>
  <c r="BA186" i="3"/>
  <c r="AZ186" i="3" s="1"/>
  <c r="G200" i="3"/>
  <c r="BL202" i="3"/>
  <c r="AZ202" i="3" s="1"/>
  <c r="BL33" i="3"/>
  <c r="AZ33" i="3" s="1"/>
  <c r="BL62" i="3"/>
  <c r="BL65" i="3"/>
  <c r="BL68" i="3"/>
  <c r="BL71" i="3"/>
  <c r="AZ71" i="3" s="1"/>
  <c r="AZ85" i="3"/>
  <c r="BA100" i="3"/>
  <c r="AZ100" i="3" s="1"/>
  <c r="BL108" i="3"/>
  <c r="AZ108" i="3" s="1"/>
  <c r="Y3" i="59"/>
  <c r="Z3" i="59" s="1"/>
  <c r="D22" i="15"/>
  <c r="D23" i="15"/>
  <c r="N56" i="59"/>
  <c r="B55" i="59"/>
  <c r="B64" i="59"/>
  <c r="B63" i="59" s="1"/>
  <c r="D16" i="59"/>
  <c r="C15" i="59"/>
  <c r="D15" i="59" s="1"/>
  <c r="AB20" i="59"/>
  <c r="T17" i="59"/>
  <c r="Y15" i="59"/>
  <c r="Z15" i="59" s="1"/>
  <c r="Y16" i="59"/>
  <c r="Z16" i="59" s="1"/>
  <c r="AB12" i="59"/>
  <c r="F13" i="59"/>
  <c r="AB13" i="59"/>
  <c r="AB5" i="59"/>
  <c r="BA112" i="3"/>
  <c r="AZ112" i="3" s="1"/>
  <c r="P27" i="6"/>
  <c r="C24" i="59"/>
  <c r="C36" i="59"/>
  <c r="D36" i="59" s="1"/>
  <c r="D35" i="59"/>
  <c r="F40" i="59"/>
  <c r="F41" i="59" s="1"/>
  <c r="V41" i="59" s="1"/>
  <c r="V61" i="59"/>
  <c r="AB25" i="59"/>
  <c r="Y7" i="59"/>
  <c r="Z7" i="59" s="1"/>
  <c r="X7" i="59"/>
  <c r="X19" i="59"/>
  <c r="Y22" i="59"/>
  <c r="Z22" i="59" s="1"/>
  <c r="AA25" i="59"/>
  <c r="Y13" i="59"/>
  <c r="Z13" i="59" s="1"/>
  <c r="AA10" i="59"/>
  <c r="L108" i="46"/>
  <c r="L109" i="46" s="1"/>
  <c r="T53" i="59"/>
  <c r="D53" i="59"/>
  <c r="V57" i="59"/>
  <c r="Q57" i="59"/>
  <c r="Y6" i="59"/>
  <c r="Z6" i="59" s="1"/>
  <c r="AA21" i="34"/>
  <c r="S21" i="34"/>
  <c r="C55" i="59"/>
  <c r="O56" i="59"/>
  <c r="D56" i="59"/>
  <c r="D39" i="59"/>
  <c r="X26" i="59"/>
  <c r="B27" i="59"/>
  <c r="B28" i="59" s="1"/>
  <c r="B29" i="59" s="1"/>
  <c r="S29" i="59" s="1"/>
  <c r="X23" i="59"/>
  <c r="U69" i="59"/>
  <c r="X24" i="59"/>
  <c r="AB7" i="59"/>
  <c r="Y5" i="59"/>
  <c r="Z5" i="59" s="1"/>
  <c r="X18" i="59"/>
  <c r="AA22" i="59"/>
  <c r="F16" i="59"/>
  <c r="F15" i="59" s="1"/>
  <c r="X13" i="59"/>
  <c r="B13" i="59"/>
  <c r="Y12" i="59"/>
  <c r="Z12" i="59" s="1"/>
  <c r="X10" i="59"/>
  <c r="AA6" i="59"/>
  <c r="S18" i="36"/>
  <c r="D64" i="59"/>
  <c r="C63" i="59"/>
  <c r="D63" i="59" s="1"/>
  <c r="C29" i="59"/>
  <c r="D28" i="59"/>
  <c r="C19" i="59"/>
  <c r="Y18" i="59"/>
  <c r="Z18" i="59" s="1"/>
  <c r="Y17" i="59"/>
  <c r="Z17" i="59" s="1"/>
  <c r="F55" i="59"/>
  <c r="Q56" i="59"/>
  <c r="AA12" i="59"/>
  <c r="X3" i="59"/>
  <c r="AA3" i="59"/>
  <c r="AA5" i="59"/>
  <c r="X6" i="59"/>
  <c r="S31" i="39"/>
  <c r="D51" i="59"/>
  <c r="F64" i="59"/>
  <c r="F63" i="59" s="1"/>
  <c r="K76" i="9"/>
  <c r="K77" i="9" s="1"/>
  <c r="K79" i="9" s="1"/>
  <c r="K81" i="9" s="1"/>
  <c r="A28" i="51"/>
  <c r="S27" i="40"/>
  <c r="AA18" i="35"/>
  <c r="AB16" i="59"/>
  <c r="X22" i="59"/>
  <c r="L76" i="9"/>
  <c r="AB15" i="59"/>
  <c r="AB14" i="59"/>
  <c r="B19" i="59"/>
  <c r="B20" i="59" s="1"/>
  <c r="B21" i="59" s="1"/>
  <c r="S21" i="59" s="1"/>
  <c r="F23" i="59"/>
  <c r="F24" i="59" s="1"/>
  <c r="F25" i="59" s="1"/>
  <c r="V25" i="59" s="1"/>
  <c r="E56" i="59"/>
  <c r="AB19" i="59"/>
  <c r="AB17" i="59"/>
  <c r="F58" i="15"/>
  <c r="M17" i="15"/>
  <c r="M19" i="44"/>
  <c r="J5" i="65"/>
  <c r="J3" i="65"/>
  <c r="I6" i="65"/>
  <c r="L49" i="44"/>
  <c r="F37" i="44"/>
  <c r="F28" i="44"/>
  <c r="M11" i="44"/>
  <c r="F36" i="15"/>
  <c r="M23" i="15"/>
  <c r="I5" i="65"/>
  <c r="M29" i="15"/>
  <c r="J17" i="44"/>
  <c r="M27" i="15"/>
  <c r="F43" i="15"/>
  <c r="M23" i="44"/>
  <c r="F18" i="44"/>
  <c r="F15" i="44"/>
  <c r="M30" i="44"/>
  <c r="F13" i="15"/>
  <c r="M28" i="15"/>
  <c r="F7" i="15"/>
  <c r="F43" i="44"/>
  <c r="I7" i="65"/>
  <c r="I4" i="65"/>
  <c r="F39" i="44"/>
  <c r="M8" i="44"/>
  <c r="M26" i="15"/>
  <c r="I3" i="65"/>
  <c r="M26" i="44"/>
  <c r="M24" i="44"/>
  <c r="F38" i="15"/>
  <c r="M22" i="15"/>
  <c r="M9" i="15"/>
  <c r="J6" i="65"/>
  <c r="F11" i="44"/>
  <c r="F45" i="44"/>
  <c r="F26" i="15"/>
  <c r="F8" i="15"/>
  <c r="M25" i="44"/>
  <c r="J4" i="65"/>
  <c r="F35" i="15"/>
  <c r="M6" i="15"/>
  <c r="M24" i="15"/>
  <c r="L48" i="15"/>
  <c r="F16" i="15"/>
  <c r="F6" i="15"/>
  <c r="M8" i="15"/>
  <c r="F42" i="15"/>
  <c r="J7" i="65"/>
  <c r="M28" i="44"/>
  <c r="L48" i="44"/>
  <c r="F40" i="15"/>
  <c r="J15" i="15"/>
  <c r="M10" i="44"/>
  <c r="F40" i="44"/>
  <c r="F9" i="15"/>
  <c r="J36" i="15"/>
  <c r="F8" i="44"/>
  <c r="F38" i="44"/>
  <c r="M21" i="15"/>
  <c r="F9" i="44"/>
  <c r="M29" i="44"/>
  <c r="F37" i="15"/>
  <c r="M31" i="44"/>
  <c r="F10" i="44"/>
  <c r="L47" i="15"/>
  <c r="C19" i="44"/>
  <c r="O8" i="1" l="1"/>
  <c r="P8" i="1" s="1"/>
  <c r="C15" i="43"/>
  <c r="C15" i="12"/>
  <c r="I103" i="46"/>
  <c r="I104" i="46"/>
  <c r="J106" i="46"/>
  <c r="J109" i="46"/>
  <c r="I106" i="46"/>
  <c r="J105" i="46"/>
  <c r="K105" i="46"/>
  <c r="J104" i="46"/>
  <c r="H16" i="1"/>
  <c r="K102" i="46"/>
  <c r="F105" i="46"/>
  <c r="F109" i="46"/>
  <c r="J103" i="46"/>
  <c r="N107" i="46"/>
  <c r="J102" i="46"/>
  <c r="H106" i="46"/>
  <c r="I107" i="46"/>
  <c r="I102" i="46"/>
  <c r="K109" i="46"/>
  <c r="H107" i="46"/>
  <c r="M9" i="44"/>
  <c r="J8" i="44" s="1"/>
  <c r="J20" i="44" s="1"/>
  <c r="C29" i="44"/>
  <c r="Q73" i="44"/>
  <c r="J58" i="44"/>
  <c r="J56" i="44" s="1"/>
  <c r="J59" i="44" s="1"/>
  <c r="Q52" i="44" s="1"/>
  <c r="L57" i="44"/>
  <c r="J60" i="44"/>
  <c r="I55" i="44"/>
  <c r="J61" i="44"/>
  <c r="Q50" i="44" s="1"/>
  <c r="J54" i="44"/>
  <c r="F1" i="44" s="1"/>
  <c r="L59" i="44"/>
  <c r="Q62" i="44" s="1"/>
  <c r="L60" i="44"/>
  <c r="Q76" i="44" s="1"/>
  <c r="C8" i="44"/>
  <c r="C34" i="44" s="1"/>
  <c r="L58" i="15"/>
  <c r="Q74" i="15" s="1"/>
  <c r="L59" i="15"/>
  <c r="Q75" i="15" s="1"/>
  <c r="Q72" i="15"/>
  <c r="C6" i="15"/>
  <c r="C32" i="15" s="1"/>
  <c r="J20" i="15"/>
  <c r="F50" i="15"/>
  <c r="F62" i="15"/>
  <c r="C61" i="15" s="1"/>
  <c r="F63" i="15"/>
  <c r="F64" i="15"/>
  <c r="J53" i="15"/>
  <c r="F1" i="15" s="1"/>
  <c r="I54" i="15"/>
  <c r="L56" i="15"/>
  <c r="J57" i="15"/>
  <c r="J55" i="15" s="1"/>
  <c r="J58" i="15" s="1"/>
  <c r="Q51" i="15" s="1"/>
  <c r="C27" i="15"/>
  <c r="F65" i="15"/>
  <c r="F49" i="15"/>
  <c r="M7" i="15"/>
  <c r="J6" i="15" s="1"/>
  <c r="J18" i="15" s="1"/>
  <c r="F70" i="15"/>
  <c r="F67" i="15"/>
  <c r="C36" i="44"/>
  <c r="J22" i="44"/>
  <c r="AP16" i="1"/>
  <c r="F22" i="11" s="1"/>
  <c r="Q16" i="1"/>
  <c r="F33" i="12" s="1"/>
  <c r="C34" i="12" s="1"/>
  <c r="D33" i="12" s="1"/>
  <c r="F104" i="46"/>
  <c r="H103" i="46"/>
  <c r="E8" i="6"/>
  <c r="E53" i="40" s="1"/>
  <c r="N105" i="46"/>
  <c r="I105" i="46"/>
  <c r="G105" i="46"/>
  <c r="L103" i="46"/>
  <c r="L104" i="46"/>
  <c r="G109" i="46"/>
  <c r="AZ13" i="3"/>
  <c r="G102" i="46"/>
  <c r="G106" i="46"/>
  <c r="D12" i="11"/>
  <c r="C12" i="11" s="1"/>
  <c r="N103" i="46"/>
  <c r="E109" i="46"/>
  <c r="N102" i="46"/>
  <c r="N106" i="46"/>
  <c r="N104" i="46"/>
  <c r="C34" i="15"/>
  <c r="L107" i="46"/>
  <c r="G107" i="46"/>
  <c r="G104" i="46"/>
  <c r="L106" i="46"/>
  <c r="B115" i="46"/>
  <c r="C115" i="46" s="1"/>
  <c r="I115" i="46"/>
  <c r="J115" i="46" s="1"/>
  <c r="K115" i="46" s="1"/>
  <c r="L115" i="46" s="1"/>
  <c r="M115" i="46" s="1"/>
  <c r="M105" i="46"/>
  <c r="C109" i="46"/>
  <c r="C104" i="46"/>
  <c r="C102" i="46"/>
  <c r="C103" i="46"/>
  <c r="C107" i="46"/>
  <c r="B118" i="46"/>
  <c r="C118" i="46" s="1"/>
  <c r="I118" i="46"/>
  <c r="J118" i="46" s="1"/>
  <c r="K118" i="46" s="1"/>
  <c r="L118" i="46" s="1"/>
  <c r="M118" i="46" s="1"/>
  <c r="G118" i="46"/>
  <c r="H118" i="46" s="1"/>
  <c r="D116" i="46"/>
  <c r="E116" i="46" s="1"/>
  <c r="F116" i="46" s="1"/>
  <c r="G116" i="46" s="1"/>
  <c r="H116" i="46" s="1"/>
  <c r="I117" i="46"/>
  <c r="J117" i="46" s="1"/>
  <c r="K117" i="46" s="1"/>
  <c r="L117" i="46" s="1"/>
  <c r="M117" i="46" s="1"/>
  <c r="E106" i="46"/>
  <c r="M103" i="46"/>
  <c r="E107" i="46"/>
  <c r="L105" i="46"/>
  <c r="M109" i="46"/>
  <c r="M107" i="46"/>
  <c r="B117" i="46"/>
  <c r="C117" i="46" s="1"/>
  <c r="D117" i="46"/>
  <c r="E117" i="46" s="1"/>
  <c r="F117" i="46" s="1"/>
  <c r="G117" i="46" s="1"/>
  <c r="H117" i="46" s="1"/>
  <c r="D105" i="46"/>
  <c r="D106" i="46"/>
  <c r="D107" i="46"/>
  <c r="D102" i="46"/>
  <c r="D103" i="46"/>
  <c r="D109" i="46"/>
  <c r="M102" i="46"/>
  <c r="I116" i="46"/>
  <c r="J116" i="46" s="1"/>
  <c r="K116" i="46" s="1"/>
  <c r="L116" i="46" s="1"/>
  <c r="M116" i="46" s="1"/>
  <c r="C106" i="46"/>
  <c r="D115" i="46"/>
  <c r="E115" i="46" s="1"/>
  <c r="F115" i="46" s="1"/>
  <c r="G115" i="46" s="1"/>
  <c r="H115" i="46" s="1"/>
  <c r="E103" i="46"/>
  <c r="E105" i="46"/>
  <c r="E104" i="46"/>
  <c r="B116" i="46"/>
  <c r="C116" i="46" s="1"/>
  <c r="M104" i="46"/>
  <c r="G16" i="1"/>
  <c r="F12" i="39" s="1"/>
  <c r="K34" i="9"/>
  <c r="E20" i="46"/>
  <c r="O28" i="46" s="1"/>
  <c r="I1" i="65"/>
  <c r="J1" i="65"/>
  <c r="F65" i="40"/>
  <c r="E67" i="40"/>
  <c r="G72" i="39"/>
  <c r="H70" i="39"/>
  <c r="G30" i="6"/>
  <c r="G31" i="6" s="1"/>
  <c r="E28" i="6"/>
  <c r="W34" i="36"/>
  <c r="AC34" i="36"/>
  <c r="E15" i="6"/>
  <c r="E14" i="6"/>
  <c r="E13" i="6"/>
  <c r="E10" i="6"/>
  <c r="E11" i="6"/>
  <c r="E12" i="6"/>
  <c r="AC7" i="36"/>
  <c r="V36" i="36" s="1"/>
  <c r="I36" i="36" s="1"/>
  <c r="W7" i="36"/>
  <c r="M13" i="44"/>
  <c r="J12" i="44" s="1"/>
  <c r="F13" i="44"/>
  <c r="M11" i="15"/>
  <c r="J10" i="15" s="1"/>
  <c r="F11" i="15"/>
  <c r="AB23" i="36"/>
  <c r="U23" i="36"/>
  <c r="AB9" i="33"/>
  <c r="U9" i="33"/>
  <c r="F58" i="33"/>
  <c r="F58" i="21"/>
  <c r="S34" i="36"/>
  <c r="AA34" i="36"/>
  <c r="F48" i="35"/>
  <c r="G48" i="35" s="1"/>
  <c r="H48" i="35" s="1"/>
  <c r="I48" i="35" s="1"/>
  <c r="J48" i="35" s="1"/>
  <c r="K48" i="35" s="1"/>
  <c r="L48" i="35" s="1"/>
  <c r="M48" i="35" s="1"/>
  <c r="N48" i="35" s="1"/>
  <c r="O48" i="35" s="1"/>
  <c r="Q55" i="59"/>
  <c r="Q54" i="59"/>
  <c r="C25" i="59"/>
  <c r="D24" i="59"/>
  <c r="S17" i="59"/>
  <c r="B16" i="59"/>
  <c r="B15" i="59" s="1"/>
  <c r="U7" i="34"/>
  <c r="AB7" i="34"/>
  <c r="T49" i="34" s="1"/>
  <c r="G49" i="34" s="1"/>
  <c r="C20" i="59"/>
  <c r="D19" i="59"/>
  <c r="C45" i="59"/>
  <c r="D44" i="59"/>
  <c r="AZ258" i="3"/>
  <c r="AC9" i="33"/>
  <c r="W9" i="33"/>
  <c r="W7" i="34"/>
  <c r="AC7" i="34"/>
  <c r="V49" i="34" s="1"/>
  <c r="I49" i="34" s="1"/>
  <c r="AA7" i="34"/>
  <c r="R49" i="34" s="1"/>
  <c r="S7" i="34"/>
  <c r="E55" i="59"/>
  <c r="P56" i="59"/>
  <c r="D55" i="59"/>
  <c r="O54" i="59"/>
  <c r="O55" i="59"/>
  <c r="S13" i="59"/>
  <c r="B12" i="59"/>
  <c r="B11" i="59" s="1"/>
  <c r="B10" i="59" s="1"/>
  <c r="B9" i="59" s="1"/>
  <c r="D41" i="59"/>
  <c r="T41" i="59"/>
  <c r="AZ264" i="3"/>
  <c r="AZ249" i="3"/>
  <c r="AZ426" i="3"/>
  <c r="S30" i="21"/>
  <c r="AA30" i="21"/>
  <c r="AC34" i="40"/>
  <c r="W34" i="40"/>
  <c r="AB7" i="36"/>
  <c r="T36" i="36" s="1"/>
  <c r="G36" i="36" s="1"/>
  <c r="U7" i="36"/>
  <c r="G5" i="3"/>
  <c r="B3" i="3" s="1"/>
  <c r="E487" i="3" s="1"/>
  <c r="J52" i="37"/>
  <c r="B21" i="63"/>
  <c r="N4" i="63"/>
  <c r="C19" i="46"/>
  <c r="T12" i="46" s="1"/>
  <c r="V12" i="46" s="1"/>
  <c r="T29" i="59"/>
  <c r="D29" i="59"/>
  <c r="V13" i="59"/>
  <c r="F12" i="59"/>
  <c r="F11" i="59" s="1"/>
  <c r="F10" i="59" s="1"/>
  <c r="F9" i="59" s="1"/>
  <c r="D32" i="59"/>
  <c r="C33" i="59"/>
  <c r="AZ248" i="3"/>
  <c r="AC28" i="34"/>
  <c r="W28" i="34"/>
  <c r="U30" i="21"/>
  <c r="AB30" i="21"/>
  <c r="BA5" i="3"/>
  <c r="AA34" i="40"/>
  <c r="S34" i="40"/>
  <c r="AZ27" i="3"/>
  <c r="AZ5" i="3" s="1"/>
  <c r="E8" i="59"/>
  <c r="E7" i="59" s="1"/>
  <c r="E6" i="59" s="1"/>
  <c r="E5" i="59" s="1"/>
  <c r="U9" i="59"/>
  <c r="AZ261" i="3"/>
  <c r="AC23" i="36"/>
  <c r="W23" i="36"/>
  <c r="U34" i="36"/>
  <c r="AB34" i="36"/>
  <c r="N54" i="59"/>
  <c r="N55" i="59"/>
  <c r="W30" i="21"/>
  <c r="AC30" i="21"/>
  <c r="AA7" i="36"/>
  <c r="R36" i="36" s="1"/>
  <c r="S7" i="36"/>
  <c r="C16" i="15"/>
  <c r="C18" i="44"/>
  <c r="E2" i="65"/>
  <c r="C17" i="15"/>
  <c r="AE9" i="1"/>
  <c r="E3" i="65"/>
  <c r="F46" i="44"/>
  <c r="F41" i="15"/>
  <c r="F68" i="15" l="1"/>
  <c r="C12" i="44"/>
  <c r="C7" i="44" s="1"/>
  <c r="C40" i="44" s="1"/>
  <c r="Q63" i="44"/>
  <c r="Q62" i="15"/>
  <c r="Q75" i="44"/>
  <c r="Q54" i="44"/>
  <c r="J5" i="15"/>
  <c r="J24" i="15" s="1"/>
  <c r="Q61" i="15"/>
  <c r="Q53" i="15"/>
  <c r="C48" i="15"/>
  <c r="J7" i="44"/>
  <c r="J26" i="44" s="1"/>
  <c r="F18" i="11"/>
  <c r="C18" i="11" s="1"/>
  <c r="F24" i="43"/>
  <c r="C26" i="43" s="1"/>
  <c r="D24" i="43" s="1"/>
  <c r="E58" i="39"/>
  <c r="F27" i="6"/>
  <c r="F31" i="6" s="1"/>
  <c r="E569" i="3"/>
  <c r="D113" i="46"/>
  <c r="H12" i="39"/>
  <c r="J12" i="40"/>
  <c r="W12" i="40" s="1"/>
  <c r="J12" i="39"/>
  <c r="AC12" i="39" s="1"/>
  <c r="H12" i="40"/>
  <c r="AB12" i="40" s="1"/>
  <c r="F12" i="40"/>
  <c r="S12" i="40" s="1"/>
  <c r="N28" i="46"/>
  <c r="M28" i="46"/>
  <c r="P28" i="46"/>
  <c r="F17" i="11"/>
  <c r="C17" i="11" s="1"/>
  <c r="B40" i="1"/>
  <c r="F26" i="44" s="1"/>
  <c r="C26" i="44" s="1"/>
  <c r="F7" i="35"/>
  <c r="S12" i="39"/>
  <c r="AA12" i="39"/>
  <c r="I70" i="39"/>
  <c r="H72" i="39"/>
  <c r="G65" i="40"/>
  <c r="F67" i="40"/>
  <c r="J7" i="35"/>
  <c r="AY6" i="3"/>
  <c r="E3" i="6"/>
  <c r="B8" i="59"/>
  <c r="B7" i="59" s="1"/>
  <c r="B6" i="59" s="1"/>
  <c r="B5" i="59" s="1"/>
  <c r="S9" i="59"/>
  <c r="E427" i="3"/>
  <c r="E246" i="3"/>
  <c r="F8" i="59"/>
  <c r="F7" i="59" s="1"/>
  <c r="F6" i="59" s="1"/>
  <c r="F5" i="59" s="1"/>
  <c r="V9" i="59"/>
  <c r="R50" i="34"/>
  <c r="E49" i="34"/>
  <c r="C33" i="46"/>
  <c r="C21" i="59"/>
  <c r="D20" i="59"/>
  <c r="T5" i="46"/>
  <c r="V5" i="46" s="1"/>
  <c r="T16" i="46"/>
  <c r="V16" i="46" s="1"/>
  <c r="E164" i="3"/>
  <c r="E16" i="6"/>
  <c r="T10" i="46"/>
  <c r="V10" i="46" s="1"/>
  <c r="T4" i="46"/>
  <c r="V4" i="46" s="1"/>
  <c r="G58" i="21"/>
  <c r="H58" i="21" s="1"/>
  <c r="I58" i="21" s="1"/>
  <c r="J58" i="21" s="1"/>
  <c r="K58" i="21" s="1"/>
  <c r="L58" i="21" s="1"/>
  <c r="M58" i="21" s="1"/>
  <c r="N58" i="21" s="1"/>
  <c r="O58" i="21" s="1"/>
  <c r="E259" i="3"/>
  <c r="I40" i="36"/>
  <c r="J40" i="36" s="1"/>
  <c r="E63" i="39"/>
  <c r="E58" i="40"/>
  <c r="E249" i="3"/>
  <c r="E238" i="3"/>
  <c r="E178" i="3"/>
  <c r="I53" i="34"/>
  <c r="J53" i="34" s="1"/>
  <c r="C35" i="46"/>
  <c r="T11" i="46"/>
  <c r="V11" i="46" s="1"/>
  <c r="T7" i="46"/>
  <c r="V7" i="46" s="1"/>
  <c r="E65" i="39"/>
  <c r="E60" i="40"/>
  <c r="E283" i="3"/>
  <c r="E443" i="3"/>
  <c r="E194" i="3"/>
  <c r="E78" i="3"/>
  <c r="E390" i="3"/>
  <c r="E296" i="3"/>
  <c r="E534" i="3"/>
  <c r="E387" i="3"/>
  <c r="R6" i="3"/>
  <c r="E125" i="3"/>
  <c r="AH6" i="3"/>
  <c r="P6" i="3"/>
  <c r="E84" i="3"/>
  <c r="AP6" i="3"/>
  <c r="E431" i="3"/>
  <c r="E70" i="3"/>
  <c r="E38" i="3"/>
  <c r="E151" i="3"/>
  <c r="E313" i="3"/>
  <c r="E53" i="3"/>
  <c r="E405" i="3"/>
  <c r="W6" i="3"/>
  <c r="E190" i="3"/>
  <c r="E420" i="3"/>
  <c r="E233" i="3"/>
  <c r="E203" i="3"/>
  <c r="E402" i="3"/>
  <c r="E172" i="3"/>
  <c r="E255" i="3"/>
  <c r="E417" i="3"/>
  <c r="E145" i="3"/>
  <c r="E279" i="3"/>
  <c r="E347" i="3"/>
  <c r="E400" i="3"/>
  <c r="E58" i="3"/>
  <c r="E197" i="3"/>
  <c r="E285" i="3"/>
  <c r="E61" i="3"/>
  <c r="E433" i="3"/>
  <c r="E529" i="3"/>
  <c r="E300" i="3"/>
  <c r="E379" i="3"/>
  <c r="E530" i="3"/>
  <c r="E538" i="3"/>
  <c r="E403" i="3"/>
  <c r="E217" i="3"/>
  <c r="E177" i="3"/>
  <c r="E307" i="3"/>
  <c r="E90" i="3"/>
  <c r="E210" i="3"/>
  <c r="E106" i="3"/>
  <c r="E226" i="3"/>
  <c r="E163" i="3"/>
  <c r="E351" i="3"/>
  <c r="AL6" i="3"/>
  <c r="E368" i="3"/>
  <c r="E510" i="3"/>
  <c r="E504" i="3"/>
  <c r="E244" i="3"/>
  <c r="E137" i="3"/>
  <c r="E301" i="3"/>
  <c r="E484" i="3"/>
  <c r="E356" i="3"/>
  <c r="E86" i="3"/>
  <c r="E135" i="3"/>
  <c r="E22" i="3"/>
  <c r="E459" i="3"/>
  <c r="E231" i="3"/>
  <c r="E470" i="3"/>
  <c r="E186" i="3"/>
  <c r="E299" i="3"/>
  <c r="Z6" i="3"/>
  <c r="E520" i="3"/>
  <c r="E561" i="3"/>
  <c r="E23" i="3"/>
  <c r="E156" i="3"/>
  <c r="E49" i="3"/>
  <c r="E193" i="3"/>
  <c r="E104" i="3"/>
  <c r="E472" i="3"/>
  <c r="E253" i="3"/>
  <c r="E537" i="3"/>
  <c r="E54" i="3"/>
  <c r="E452" i="3"/>
  <c r="E213" i="3"/>
  <c r="E536" i="3"/>
  <c r="E397" i="3"/>
  <c r="E462" i="3"/>
  <c r="E47" i="3"/>
  <c r="E545" i="3"/>
  <c r="E482" i="3"/>
  <c r="E473" i="3"/>
  <c r="N6" i="3"/>
  <c r="E232" i="3"/>
  <c r="E189" i="3"/>
  <c r="E507" i="3"/>
  <c r="E275" i="3"/>
  <c r="L6" i="3"/>
  <c r="E429" i="3"/>
  <c r="E116" i="3"/>
  <c r="E372" i="3"/>
  <c r="E465" i="3"/>
  <c r="E154" i="3"/>
  <c r="E243" i="3"/>
  <c r="E309" i="3"/>
  <c r="E448" i="3"/>
  <c r="E74" i="3"/>
  <c r="E121" i="3"/>
  <c r="E224" i="3"/>
  <c r="E123" i="3"/>
  <c r="E66" i="3"/>
  <c r="E76" i="3"/>
  <c r="E24" i="3"/>
  <c r="E271" i="3"/>
  <c r="E508" i="3"/>
  <c r="E493" i="3"/>
  <c r="E108" i="3"/>
  <c r="E81" i="3"/>
  <c r="E277" i="3"/>
  <c r="E524" i="3"/>
  <c r="E212" i="3"/>
  <c r="E35" i="3"/>
  <c r="E182" i="3"/>
  <c r="E267" i="3"/>
  <c r="E312" i="3"/>
  <c r="E514" i="3"/>
  <c r="E512" i="3"/>
  <c r="E371" i="3"/>
  <c r="E567" i="3"/>
  <c r="E329" i="3"/>
  <c r="E26" i="3"/>
  <c r="E322" i="3"/>
  <c r="E17" i="3"/>
  <c r="E18" i="3"/>
  <c r="E509" i="3"/>
  <c r="E564" i="3"/>
  <c r="E476" i="3"/>
  <c r="E114" i="3"/>
  <c r="E93" i="3"/>
  <c r="E55" i="3"/>
  <c r="E570" i="3"/>
  <c r="E124" i="3"/>
  <c r="E215" i="3"/>
  <c r="E103" i="3"/>
  <c r="E62" i="3"/>
  <c r="E230" i="3"/>
  <c r="E535" i="3"/>
  <c r="E265" i="3"/>
  <c r="AM6" i="3"/>
  <c r="E337" i="3"/>
  <c r="E158" i="3"/>
  <c r="E376" i="3"/>
  <c r="E294" i="3"/>
  <c r="E21" i="3"/>
  <c r="E64" i="3"/>
  <c r="E140" i="3"/>
  <c r="E343" i="3"/>
  <c r="E142" i="3"/>
  <c r="E410" i="3"/>
  <c r="E468" i="3"/>
  <c r="E109" i="3"/>
  <c r="E185" i="3"/>
  <c r="E148" i="3"/>
  <c r="E27" i="3"/>
  <c r="E412" i="3"/>
  <c r="E469" i="3"/>
  <c r="E293" i="3"/>
  <c r="E560" i="3"/>
  <c r="E111" i="3"/>
  <c r="E261" i="3"/>
  <c r="E39" i="3"/>
  <c r="E107" i="3"/>
  <c r="E288" i="3"/>
  <c r="E393" i="3"/>
  <c r="E88" i="3"/>
  <c r="E480" i="3"/>
  <c r="E220" i="3"/>
  <c r="E517" i="3"/>
  <c r="E453" i="3"/>
  <c r="AQ6" i="3"/>
  <c r="E162" i="3"/>
  <c r="E235" i="3"/>
  <c r="E229" i="3"/>
  <c r="E120" i="3"/>
  <c r="E191" i="3"/>
  <c r="E555" i="3"/>
  <c r="E355" i="3"/>
  <c r="E499" i="3"/>
  <c r="E558" i="3"/>
  <c r="E173" i="3"/>
  <c r="E436" i="3"/>
  <c r="E260" i="3"/>
  <c r="E432" i="3"/>
  <c r="E153" i="3"/>
  <c r="E339" i="3"/>
  <c r="E14" i="3"/>
  <c r="E118" i="3"/>
  <c r="E378" i="3"/>
  <c r="E364" i="3"/>
  <c r="E342" i="3"/>
  <c r="E522" i="3"/>
  <c r="E572" i="3"/>
  <c r="E516" i="3"/>
  <c r="E227" i="3"/>
  <c r="E488" i="3"/>
  <c r="E71" i="3"/>
  <c r="E240" i="3"/>
  <c r="E382" i="3"/>
  <c r="E326" i="3"/>
  <c r="E481" i="3"/>
  <c r="E471" i="3"/>
  <c r="E408" i="3"/>
  <c r="E44" i="3"/>
  <c r="E149" i="3"/>
  <c r="E549" i="3"/>
  <c r="E460" i="3"/>
  <c r="I3" i="6"/>
  <c r="E463" i="3"/>
  <c r="E292" i="3"/>
  <c r="E426" i="3"/>
  <c r="E60" i="3"/>
  <c r="E75" i="3"/>
  <c r="J6" i="3"/>
  <c r="E48" i="3"/>
  <c r="E438" i="3"/>
  <c r="E455" i="3"/>
  <c r="E363" i="3"/>
  <c r="E79" i="3"/>
  <c r="E401" i="3"/>
  <c r="E272"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E381" i="3"/>
  <c r="E278" i="3"/>
  <c r="E94" i="3"/>
  <c r="E187" i="3"/>
  <c r="E199" i="3"/>
  <c r="E423" i="3"/>
  <c r="E435" i="3"/>
  <c r="E490" i="3"/>
  <c r="E218" i="3"/>
  <c r="E442" i="3"/>
  <c r="E110" i="3"/>
  <c r="E63" i="3"/>
  <c r="E129" i="3"/>
  <c r="E98" i="3"/>
  <c r="E422" i="3"/>
  <c r="E398" i="3"/>
  <c r="E533" i="3"/>
  <c r="E37" i="3"/>
  <c r="E303" i="3"/>
  <c r="E467" i="3"/>
  <c r="E67" i="3"/>
  <c r="E214" i="3"/>
  <c r="E486" i="3"/>
  <c r="E543" i="3"/>
  <c r="E264" i="3"/>
  <c r="E369" i="3"/>
  <c r="V6" i="3"/>
  <c r="E105" i="3"/>
  <c r="AG6" i="3"/>
  <c r="E302" i="3"/>
  <c r="E386" i="3"/>
  <c r="E287" i="3"/>
  <c r="E188" i="3"/>
  <c r="E306" i="3"/>
  <c r="E180" i="3"/>
  <c r="E551" i="3"/>
  <c r="E16" i="3"/>
  <c r="E385" i="3"/>
  <c r="E95" i="3"/>
  <c r="E498" i="3"/>
  <c r="E298" i="3"/>
  <c r="E361" i="3"/>
  <c r="E315" i="3"/>
  <c r="E323" i="3"/>
  <c r="E159" i="3"/>
  <c r="E501" i="3"/>
  <c r="E384" i="3"/>
  <c r="E310" i="3"/>
  <c r="AB6" i="3"/>
  <c r="S6" i="3"/>
  <c r="E511" i="3"/>
  <c r="E377" i="3"/>
  <c r="E358" i="3"/>
  <c r="E20" i="3"/>
  <c r="E192" i="3"/>
  <c r="E394" i="3"/>
  <c r="E282" i="3"/>
  <c r="E375" i="3"/>
  <c r="E83" i="3"/>
  <c r="E266" i="3"/>
  <c r="I6" i="3"/>
  <c r="E143" i="3"/>
  <c r="E41" i="3"/>
  <c r="E209" i="3"/>
  <c r="E89" i="3"/>
  <c r="E30" i="3"/>
  <c r="E399" i="3"/>
  <c r="Q6" i="3"/>
  <c r="E34" i="3"/>
  <c r="E247" i="3"/>
  <c r="E257" i="3"/>
  <c r="E451" i="3"/>
  <c r="E449" i="3"/>
  <c r="E336" i="3"/>
  <c r="E51" i="3"/>
  <c r="E133" i="3"/>
  <c r="E362" i="3"/>
  <c r="E324" i="3"/>
  <c r="E45" i="3"/>
  <c r="T6" i="3"/>
  <c r="E485" i="3"/>
  <c r="E167" i="3"/>
  <c r="E273" i="3"/>
  <c r="E155" i="3"/>
  <c r="E380" i="3"/>
  <c r="E69" i="3"/>
  <c r="E437" i="3"/>
  <c r="E528" i="3"/>
  <c r="E127" i="3"/>
  <c r="E99" i="3"/>
  <c r="E297" i="3"/>
  <c r="E280" i="3"/>
  <c r="E414" i="3"/>
  <c r="E428" i="3"/>
  <c r="E274" i="3"/>
  <c r="E415" i="3"/>
  <c r="E357" i="3"/>
  <c r="E97" i="3"/>
  <c r="E136" i="3"/>
  <c r="E245" i="3"/>
  <c r="E556" i="3"/>
  <c r="E73" i="3"/>
  <c r="E308" i="3"/>
  <c r="E513" i="3"/>
  <c r="E290" i="3"/>
  <c r="E29" i="3"/>
  <c r="E502" i="3"/>
  <c r="E396" i="3"/>
  <c r="E15" i="3"/>
  <c r="E181" i="3"/>
  <c r="E506" i="3"/>
  <c r="E340" i="3"/>
  <c r="E542" i="3"/>
  <c r="E268" i="3"/>
  <c r="E557" i="3"/>
  <c r="E413" i="3"/>
  <c r="E147" i="3"/>
  <c r="E91" i="3"/>
  <c r="E195" i="3"/>
  <c r="AD6" i="3"/>
  <c r="E454" i="3"/>
  <c r="E59" i="3"/>
  <c r="E161" i="3"/>
  <c r="E492" i="3"/>
  <c r="E165" i="3"/>
  <c r="E223" i="3"/>
  <c r="E447" i="3"/>
  <c r="E141" i="3"/>
  <c r="E444" i="3"/>
  <c r="E113" i="3"/>
  <c r="E204" i="3"/>
  <c r="E365" i="3"/>
  <c r="Y6" i="3"/>
  <c r="E160" i="3"/>
  <c r="E440" i="3"/>
  <c r="E559" i="3"/>
  <c r="E319" i="3"/>
  <c r="E183" i="3"/>
  <c r="E373" i="3"/>
  <c r="E122" i="3"/>
  <c r="E562" i="3"/>
  <c r="E566" i="3"/>
  <c r="E461" i="3"/>
  <c r="E316" i="3"/>
  <c r="E503" i="3"/>
  <c r="AO6" i="3"/>
  <c r="E206" i="3"/>
  <c r="E46" i="3"/>
  <c r="E31" i="3"/>
  <c r="E430" i="3"/>
  <c r="E434" i="3"/>
  <c r="E418" i="3"/>
  <c r="E450" i="3"/>
  <c r="E36" i="3"/>
  <c r="E201" i="3"/>
  <c r="E441" i="3"/>
  <c r="E478" i="3"/>
  <c r="E119" i="3"/>
  <c r="E407" i="3"/>
  <c r="E568" i="3"/>
  <c r="E139" i="3"/>
  <c r="U6" i="3"/>
  <c r="E196" i="3"/>
  <c r="AR6" i="3"/>
  <c r="E198" i="3"/>
  <c r="E87" i="3"/>
  <c r="E150" i="3"/>
  <c r="E334" i="3"/>
  <c r="AJ6" i="3"/>
  <c r="E284" i="3"/>
  <c r="E144" i="3"/>
  <c r="E483" i="3"/>
  <c r="E515" i="3"/>
  <c r="E563" i="3"/>
  <c r="E346" i="3"/>
  <c r="M6" i="3"/>
  <c r="E446" i="3"/>
  <c r="E117" i="3"/>
  <c r="E391" i="3"/>
  <c r="E311" i="3"/>
  <c r="E82" i="3"/>
  <c r="E262" i="3"/>
  <c r="E411" i="3"/>
  <c r="E270" i="3"/>
  <c r="E202" i="3"/>
  <c r="E131" i="3"/>
  <c r="E100" i="3"/>
  <c r="E32" i="3"/>
  <c r="E80" i="3"/>
  <c r="E179" i="3"/>
  <c r="AE6" i="3"/>
  <c r="E85" i="3"/>
  <c r="E166" i="3"/>
  <c r="E291" i="3"/>
  <c r="E126" i="3"/>
  <c r="E416" i="3"/>
  <c r="E345" i="3"/>
  <c r="AF6" i="3"/>
  <c r="E489" i="3"/>
  <c r="E216" i="3"/>
  <c r="E251" i="3"/>
  <c r="E269" i="3"/>
  <c r="E571" i="3"/>
  <c r="E521" i="3"/>
  <c r="E254" i="3"/>
  <c r="E175" i="3"/>
  <c r="E68" i="3"/>
  <c r="E132" i="3"/>
  <c r="E115" i="3"/>
  <c r="X6" i="3"/>
  <c r="E548" i="3"/>
  <c r="E395" i="3"/>
  <c r="E464" i="3"/>
  <c r="E295" i="3"/>
  <c r="E404" i="3"/>
  <c r="E205" i="3"/>
  <c r="E33" i="3"/>
  <c r="E168" i="3"/>
  <c r="E383" i="3"/>
  <c r="E52" i="3"/>
  <c r="E207" i="3"/>
  <c r="E248" i="3"/>
  <c r="E466" i="3"/>
  <c r="E242" i="3"/>
  <c r="E331" i="3"/>
  <c r="E456" i="3"/>
  <c r="E320" i="3"/>
  <c r="E360" i="3"/>
  <c r="E208" i="3"/>
  <c r="E518" i="3"/>
  <c r="E553" i="3"/>
  <c r="E328" i="3"/>
  <c r="E318" i="3"/>
  <c r="E475" i="3"/>
  <c r="E152" i="3"/>
  <c r="E221" i="3"/>
  <c r="E349" i="3"/>
  <c r="E263" i="3"/>
  <c r="E146" i="3"/>
  <c r="E101" i="3"/>
  <c r="E250" i="3"/>
  <c r="E92" i="3"/>
  <c r="E237" i="3"/>
  <c r="E170" i="3"/>
  <c r="E367" i="3"/>
  <c r="E317" i="3"/>
  <c r="E500" i="3"/>
  <c r="E550" i="3"/>
  <c r="E539" i="3"/>
  <c r="E445" i="3"/>
  <c r="E305" i="3"/>
  <c r="E65" i="3"/>
  <c r="E281" i="3"/>
  <c r="E458" i="3"/>
  <c r="E314" i="3"/>
  <c r="E325" i="3"/>
  <c r="E546" i="3"/>
  <c r="E42" i="3"/>
  <c r="E219" i="3"/>
  <c r="E532" i="3"/>
  <c r="E494" i="3"/>
  <c r="E112" i="3"/>
  <c r="E541" i="3"/>
  <c r="E241" i="3"/>
  <c r="E439" i="3"/>
  <c r="E359" i="3"/>
  <c r="E321" i="3"/>
  <c r="E388" i="3"/>
  <c r="AK6" i="3"/>
  <c r="AN6" i="3"/>
  <c r="E157" i="3"/>
  <c r="E304" i="3"/>
  <c r="E374" i="3"/>
  <c r="E547" i="3"/>
  <c r="E28" i="3"/>
  <c r="AS6" i="3"/>
  <c r="E289" i="3"/>
  <c r="E332" i="3"/>
  <c r="O6" i="3"/>
  <c r="E527" i="3"/>
  <c r="E211" i="3"/>
  <c r="E96" i="3"/>
  <c r="E72" i="3"/>
  <c r="E40" i="3"/>
  <c r="E491" i="3"/>
  <c r="E286" i="3"/>
  <c r="E392" i="3"/>
  <c r="E56" i="3"/>
  <c r="E338" i="3"/>
  <c r="E497" i="3"/>
  <c r="E130" i="3"/>
  <c r="E341" i="3"/>
  <c r="E565" i="3"/>
  <c r="E421" i="3"/>
  <c r="E333" i="3"/>
  <c r="E457" i="3"/>
  <c r="AA6" i="3"/>
  <c r="E327" i="3"/>
  <c r="E77" i="3"/>
  <c r="E57" i="3"/>
  <c r="E389" i="3"/>
  <c r="E348" i="3"/>
  <c r="E174" i="3"/>
  <c r="E505" i="3"/>
  <c r="E222" i="3"/>
  <c r="C38" i="46"/>
  <c r="E409" i="3"/>
  <c r="T25" i="59"/>
  <c r="D25" i="59"/>
  <c r="E225" i="3"/>
  <c r="T9" i="46"/>
  <c r="V9" i="46" s="1"/>
  <c r="T15" i="46"/>
  <c r="V15" i="46" s="1"/>
  <c r="G58" i="33"/>
  <c r="C52" i="15"/>
  <c r="C10" i="15"/>
  <c r="C5" i="15" s="1"/>
  <c r="E61" i="40"/>
  <c r="E66" i="39"/>
  <c r="K52" i="37"/>
  <c r="L52" i="37" s="1"/>
  <c r="M52" i="37" s="1"/>
  <c r="N52" i="37" s="1"/>
  <c r="O52" i="37" s="1"/>
  <c r="H7" i="37"/>
  <c r="E424" i="3"/>
  <c r="E425" i="3"/>
  <c r="E200" i="3"/>
  <c r="E13" i="3"/>
  <c r="E228" i="3"/>
  <c r="E552" i="3"/>
  <c r="E36" i="36"/>
  <c r="R37" i="36"/>
  <c r="E406" i="3"/>
  <c r="C34" i="46"/>
  <c r="E419" i="3"/>
  <c r="G53" i="34"/>
  <c r="H53" i="34" s="1"/>
  <c r="G54" i="34"/>
  <c r="H54" i="34" s="1"/>
  <c r="C29" i="46"/>
  <c r="E67" i="39"/>
  <c r="E62" i="40"/>
  <c r="K14" i="1"/>
  <c r="E30" i="6"/>
  <c r="F7" i="37"/>
  <c r="G41" i="36"/>
  <c r="H41" i="36" s="1"/>
  <c r="G40" i="36"/>
  <c r="H40" i="36" s="1"/>
  <c r="C36" i="46"/>
  <c r="T8" i="46"/>
  <c r="V8" i="46" s="1"/>
  <c r="T2" i="46"/>
  <c r="V2" i="46" s="1"/>
  <c r="AC7" i="35"/>
  <c r="V38" i="35" s="1"/>
  <c r="I38" i="35" s="1"/>
  <c r="W7" i="35"/>
  <c r="E184" i="3"/>
  <c r="T33" i="59"/>
  <c r="D33" i="59"/>
  <c r="J7" i="37"/>
  <c r="C37" i="46"/>
  <c r="H7" i="35"/>
  <c r="T13" i="46"/>
  <c r="V13" i="46" s="1"/>
  <c r="T14" i="46"/>
  <c r="V14" i="46" s="1"/>
  <c r="E19" i="3"/>
  <c r="E169" i="3"/>
  <c r="P55" i="59"/>
  <c r="P54" i="59"/>
  <c r="C39" i="46"/>
  <c r="T45" i="59"/>
  <c r="D45" i="59"/>
  <c r="S7" i="35"/>
  <c r="AA7" i="35"/>
  <c r="R38" i="35" s="1"/>
  <c r="T3" i="46"/>
  <c r="V3" i="46" s="1"/>
  <c r="T6" i="46"/>
  <c r="V6" i="46" s="1"/>
  <c r="F7" i="21"/>
  <c r="E64" i="39"/>
  <c r="E59" i="40"/>
  <c r="E256" i="3"/>
  <c r="L52" i="44"/>
  <c r="J26" i="15" l="1"/>
  <c r="J29" i="15" s="1"/>
  <c r="C47" i="15"/>
  <c r="C65" i="15" s="1"/>
  <c r="J28" i="44"/>
  <c r="J31" i="44" s="1"/>
  <c r="Q58" i="44" s="1"/>
  <c r="C19" i="11"/>
  <c r="C20" i="11" s="1"/>
  <c r="C21" i="11" s="1"/>
  <c r="C22" i="11" s="1"/>
  <c r="C23" i="11" s="1"/>
  <c r="B2" i="11" s="1"/>
  <c r="B3" i="11" s="1"/>
  <c r="E27" i="6"/>
  <c r="AC6" i="3"/>
  <c r="U12" i="40"/>
  <c r="H6" i="3"/>
  <c r="W12" i="39"/>
  <c r="AC12" i="40"/>
  <c r="U12" i="39"/>
  <c r="AB12" i="39"/>
  <c r="AA12" i="40"/>
  <c r="F21" i="43"/>
  <c r="C23" i="43" s="1"/>
  <c r="D21" i="43" s="1"/>
  <c r="F26" i="12"/>
  <c r="C27" i="12" s="1"/>
  <c r="D26" i="12" s="1"/>
  <c r="C32" i="12" s="1"/>
  <c r="D30" i="12" s="1"/>
  <c r="F24" i="15"/>
  <c r="C24" i="15" s="1"/>
  <c r="H65" i="40"/>
  <c r="G67" i="40"/>
  <c r="H7" i="21"/>
  <c r="U7" i="21" s="1"/>
  <c r="I72" i="39"/>
  <c r="J70" i="39"/>
  <c r="Q69" i="44"/>
  <c r="L58" i="44"/>
  <c r="L61" i="44" s="1"/>
  <c r="L47" i="44" s="1"/>
  <c r="E39" i="46"/>
  <c r="G39" i="46"/>
  <c r="I39" i="46" s="1"/>
  <c r="J7" i="21"/>
  <c r="I42" i="35"/>
  <c r="J42" i="35" s="1"/>
  <c r="AA7" i="37"/>
  <c r="R42" i="37" s="1"/>
  <c r="S7" i="37"/>
  <c r="H58" i="33"/>
  <c r="G38" i="46"/>
  <c r="I38" i="46" s="1"/>
  <c r="E38" i="46"/>
  <c r="T21" i="59"/>
  <c r="D21" i="59"/>
  <c r="M20" i="46" s="1"/>
  <c r="C30" i="46"/>
  <c r="E30" i="46" s="1"/>
  <c r="E29" i="46"/>
  <c r="E41" i="36"/>
  <c r="F41" i="36" s="1"/>
  <c r="E40" i="36"/>
  <c r="F40" i="36" s="1"/>
  <c r="AB7" i="37"/>
  <c r="T42" i="37" s="1"/>
  <c r="G42" i="37" s="1"/>
  <c r="U7" i="37"/>
  <c r="E34" i="46"/>
  <c r="G34" i="46"/>
  <c r="I34" i="46" s="1"/>
  <c r="E33" i="46"/>
  <c r="G33" i="46"/>
  <c r="I33" i="46" s="1"/>
  <c r="M14" i="1"/>
  <c r="K16" i="1"/>
  <c r="E35" i="46"/>
  <c r="G35" i="46"/>
  <c r="I35" i="46" s="1"/>
  <c r="I41" i="36"/>
  <c r="J41" i="36" s="1"/>
  <c r="E54" i="34"/>
  <c r="F54" i="34" s="1"/>
  <c r="E53" i="34"/>
  <c r="F53" i="34" s="1"/>
  <c r="C37" i="36"/>
  <c r="B3" i="36" s="1"/>
  <c r="B2" i="36" s="1"/>
  <c r="C36" i="36"/>
  <c r="C38" i="15"/>
  <c r="AA7" i="21"/>
  <c r="R48" i="21" s="1"/>
  <c r="S7" i="21"/>
  <c r="U7" i="35"/>
  <c r="AB7" i="35"/>
  <c r="T38" i="35" s="1"/>
  <c r="G38" i="35" s="1"/>
  <c r="R39" i="35"/>
  <c r="E38" i="35"/>
  <c r="I43" i="35" s="1"/>
  <c r="J43" i="35" s="1"/>
  <c r="G37" i="46"/>
  <c r="I37" i="46" s="1"/>
  <c r="E37" i="46"/>
  <c r="AC7" i="37"/>
  <c r="V42" i="37" s="1"/>
  <c r="I42" i="37" s="1"/>
  <c r="W7" i="37"/>
  <c r="G36" i="46"/>
  <c r="I36" i="46" s="1"/>
  <c r="E36" i="46"/>
  <c r="I54" i="34"/>
  <c r="J54" i="34" s="1"/>
  <c r="C50" i="34"/>
  <c r="B3" i="34" s="1"/>
  <c r="B2" i="34" s="1"/>
  <c r="C49" i="34"/>
  <c r="D16" i="43"/>
  <c r="C16" i="43" s="1"/>
  <c r="L38" i="9"/>
  <c r="B14" i="66" s="1"/>
  <c r="B1" i="66" s="1"/>
  <c r="D16" i="12"/>
  <c r="D46" i="9"/>
  <c r="D10" i="11"/>
  <c r="E6" i="6"/>
  <c r="C21" i="4"/>
  <c r="O5" i="54" s="1"/>
  <c r="B45" i="63" s="1"/>
  <c r="D45" i="9"/>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D3" i="6"/>
  <c r="AY37" i="3"/>
  <c r="AY203" i="3"/>
  <c r="AY95" i="3"/>
  <c r="AY83" i="3"/>
  <c r="AY45" i="3"/>
  <c r="AY277" i="3"/>
  <c r="AY384" i="3"/>
  <c r="AY425" i="3"/>
  <c r="AY202" i="3"/>
  <c r="AY286" i="3"/>
  <c r="AY398" i="3"/>
  <c r="AY169" i="3"/>
  <c r="AY348" i="3"/>
  <c r="AY72" i="3"/>
  <c r="AY241" i="3"/>
  <c r="AY30" i="3"/>
  <c r="AY542" i="3"/>
  <c r="AY382"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505" i="3"/>
  <c r="AY563" i="3"/>
  <c r="AY357" i="3"/>
  <c r="AY84" i="3"/>
  <c r="AY436" i="3"/>
  <c r="AY192" i="3"/>
  <c r="AY410" i="3"/>
  <c r="AY512" i="3"/>
  <c r="AY125" i="3"/>
  <c r="AY362" i="3"/>
  <c r="AY252" i="3"/>
  <c r="AY260" i="3"/>
  <c r="AY228" i="3"/>
  <c r="AY566" i="3"/>
  <c r="AY568" i="3"/>
  <c r="AY54" i="3"/>
  <c r="AY312" i="3"/>
  <c r="AY134" i="3"/>
  <c r="BG6" i="3"/>
  <c r="AY165" i="3"/>
  <c r="AY255" i="3"/>
  <c r="AY354" i="3"/>
  <c r="AY121" i="3"/>
  <c r="AY88" i="3"/>
  <c r="AY87" i="3"/>
  <c r="AY26" i="3"/>
  <c r="AY104" i="3"/>
  <c r="AY144" i="3"/>
  <c r="AY217" i="3"/>
  <c r="AY361" i="3"/>
  <c r="AY49" i="3"/>
  <c r="AY214" i="3"/>
  <c r="AY39" i="3"/>
  <c r="AY294" i="3"/>
  <c r="AY548" i="3"/>
  <c r="AY464" i="3"/>
  <c r="AY302" i="3"/>
  <c r="AY279" i="3"/>
  <c r="AY278" i="3"/>
  <c r="AY543" i="3"/>
  <c r="AY124" i="3"/>
  <c r="AY92" i="3"/>
  <c r="AY556" i="3"/>
  <c r="AY271" i="3"/>
  <c r="AY335" i="3"/>
  <c r="AY424" i="3"/>
  <c r="AY229" i="3"/>
  <c r="AY320" i="3"/>
  <c r="BD6" i="3"/>
  <c r="AY75" i="3"/>
  <c r="AY443" i="3"/>
  <c r="AY365" i="3"/>
  <c r="AY288" i="3"/>
  <c r="AY249" i="3"/>
  <c r="AY380" i="3"/>
  <c r="BT6" i="3"/>
  <c r="AY531" i="3"/>
  <c r="AY500" i="3"/>
  <c r="AY415" i="3"/>
  <c r="AY519" i="3"/>
  <c r="AY480" i="3"/>
  <c r="AY163" i="3"/>
  <c r="AY375" i="3"/>
  <c r="AY63" i="3"/>
  <c r="AY497" i="3"/>
  <c r="AY60" i="3"/>
  <c r="AY276" i="3"/>
  <c r="AY267" i="3"/>
  <c r="AY418" i="3"/>
  <c r="AY490" i="3"/>
  <c r="AY213" i="3"/>
  <c r="AY270" i="3"/>
  <c r="AY469" i="3"/>
  <c r="AY423" i="3"/>
  <c r="AY507" i="3"/>
  <c r="BB6" i="3"/>
  <c r="AY345" i="3"/>
  <c r="AY59" i="3"/>
  <c r="AY419" i="3"/>
  <c r="AY462" i="3"/>
  <c r="AY570" i="3"/>
  <c r="AY180" i="3"/>
  <c r="AY441" i="3"/>
  <c r="AY80" i="3"/>
  <c r="AY198" i="3"/>
  <c r="AY504" i="3"/>
  <c r="AY126" i="3"/>
  <c r="AY262" i="3"/>
  <c r="AY467" i="3"/>
  <c r="AY55" i="3"/>
  <c r="AY379" i="3"/>
  <c r="AY70" i="3"/>
  <c r="AY310" i="3"/>
  <c r="AY62" i="3"/>
  <c r="AY435" i="3"/>
  <c r="AY340" i="3"/>
  <c r="AY307" i="3"/>
  <c r="AY188" i="3"/>
  <c r="AY572" i="3"/>
  <c r="AY449" i="3"/>
  <c r="AY36" i="3"/>
  <c r="AY432" i="3"/>
  <c r="AY304" i="3"/>
  <c r="AY337" i="3"/>
  <c r="AY394" i="3"/>
  <c r="AY14" i="3"/>
  <c r="AY86" i="3"/>
  <c r="AY494" i="3"/>
  <c r="AY145" i="3"/>
  <c r="AY409" i="3"/>
  <c r="AY356" i="3"/>
  <c r="AY206" i="3"/>
  <c r="AY283" i="3"/>
  <c r="AY413" i="3"/>
  <c r="AY151" i="3"/>
  <c r="AY32" i="3"/>
  <c r="AY518" i="3"/>
  <c r="AY527" i="3"/>
  <c r="AY553" i="3"/>
  <c r="AY417" i="3"/>
  <c r="AY153" i="3"/>
  <c r="AY328" i="3"/>
  <c r="AY220" i="3"/>
  <c r="AY108" i="3"/>
  <c r="AY133" i="3"/>
  <c r="AY401" i="3"/>
  <c r="AY557" i="3"/>
  <c r="AY393" i="3"/>
  <c r="AY547" i="3"/>
  <c r="AY334" i="3"/>
  <c r="BI6" i="3"/>
  <c r="BM6" i="3"/>
  <c r="AY499" i="3"/>
  <c r="AY564" i="3"/>
  <c r="AY513" i="3"/>
  <c r="AY237" i="3"/>
  <c r="AY284" i="3"/>
  <c r="AY102" i="3"/>
  <c r="AY196" i="3"/>
  <c r="AY167" i="3"/>
  <c r="AY474" i="3"/>
  <c r="AY535" i="3"/>
  <c r="AY69" i="3"/>
  <c r="AY129" i="3"/>
  <c r="AY537" i="3"/>
  <c r="AY98" i="3"/>
  <c r="AY291" i="3"/>
  <c r="AY448" i="3"/>
  <c r="AY170" i="3"/>
  <c r="AY324" i="3"/>
  <c r="AY178" i="3"/>
  <c r="AY366" i="3"/>
  <c r="AY168" i="3"/>
  <c r="AY389" i="3"/>
  <c r="AY342" i="3"/>
  <c r="AY16" i="3"/>
  <c r="BC6" i="3"/>
  <c r="AY352" i="3"/>
  <c r="AY525" i="3"/>
  <c r="AY274" i="3"/>
  <c r="AY411" i="3"/>
  <c r="AY445" i="3"/>
  <c r="AY558" i="3"/>
  <c r="AY85" i="3"/>
  <c r="AY430" i="3"/>
  <c r="AY27" i="3"/>
  <c r="AY510" i="3"/>
  <c r="AY259" i="3"/>
  <c r="AY392" i="3"/>
  <c r="AY329" i="3"/>
  <c r="AY371" i="3"/>
  <c r="AY367" i="3"/>
  <c r="AY184" i="3"/>
  <c r="AY221" i="3"/>
  <c r="AY388" i="3"/>
  <c r="AY552" i="3"/>
  <c r="BP6" i="3"/>
  <c r="AY546" i="3"/>
  <c r="AY78" i="3"/>
  <c r="AY351" i="3"/>
  <c r="AY15" i="3"/>
  <c r="AY483" i="3"/>
  <c r="AY68" i="3"/>
  <c r="AY235" i="3"/>
  <c r="AY538" i="3"/>
  <c r="AY395" i="3"/>
  <c r="AY339" i="3"/>
  <c r="AY93" i="3"/>
  <c r="AY468" i="3"/>
  <c r="AY205" i="3"/>
  <c r="AY514" i="3"/>
  <c r="AY539" i="3"/>
  <c r="AY300" i="3"/>
  <c r="AY61" i="3"/>
  <c r="AY353" i="3"/>
  <c r="AY533" i="3"/>
  <c r="AY261" i="3"/>
  <c r="AY551" i="3"/>
  <c r="AY466" i="3"/>
  <c r="BJ6" i="3"/>
  <c r="AY452" i="3"/>
  <c r="AY530" i="3"/>
  <c r="AY142" i="3"/>
  <c r="AY182" i="3"/>
  <c r="AY209" i="3"/>
  <c r="AY149" i="3"/>
  <c r="AY476" i="3"/>
  <c r="AY315" i="3"/>
  <c r="AY376" i="3"/>
  <c r="AY132" i="3"/>
  <c r="AY442" i="3"/>
  <c r="AY91" i="3"/>
  <c r="AY293" i="3"/>
  <c r="AY280" i="3"/>
  <c r="AY120" i="3"/>
  <c r="AY465" i="3"/>
  <c r="AY207" i="3"/>
  <c r="AY248" i="3"/>
  <c r="AY219" i="3"/>
  <c r="BA6" i="3"/>
  <c r="AY211" i="3"/>
  <c r="AY245" i="3"/>
  <c r="AY107" i="3"/>
  <c r="AY503" i="3"/>
  <c r="AY299" i="3"/>
  <c r="AY185" i="3"/>
  <c r="AY506" i="3"/>
  <c r="AY475" i="3"/>
  <c r="AY113" i="3"/>
  <c r="AY56" i="3"/>
  <c r="AY421" i="3"/>
  <c r="AY403" i="3"/>
  <c r="AY391" i="3"/>
  <c r="AY215" i="3"/>
  <c r="AY173" i="3"/>
  <c r="AY33" i="3"/>
  <c r="AY301" i="3"/>
  <c r="AY482" i="3"/>
  <c r="AY549" i="3"/>
  <c r="AY179" i="3"/>
  <c r="AY57" i="3"/>
  <c r="AY383" i="3"/>
  <c r="AY146" i="3"/>
  <c r="AY463" i="3"/>
  <c r="BK6" i="3"/>
  <c r="AY400" i="3"/>
  <c r="AY122" i="3"/>
  <c r="AY336" i="3"/>
  <c r="AY99" i="3"/>
  <c r="AY275" i="3"/>
  <c r="AY123" i="3"/>
  <c r="AY224" i="3"/>
  <c r="AY378" i="3"/>
  <c r="AY428" i="3"/>
  <c r="AY290" i="3"/>
  <c r="AY569" i="3"/>
  <c r="AY29" i="3"/>
  <c r="AY319" i="3"/>
  <c r="AY370" i="3"/>
  <c r="AY112" i="3"/>
  <c r="AY20" i="3"/>
  <c r="BF6" i="3"/>
  <c r="AY484" i="3"/>
  <c r="AY71" i="3"/>
  <c r="AY195" i="3"/>
  <c r="AY363" i="3"/>
  <c r="AY433" i="3"/>
  <c r="AY502" i="3"/>
  <c r="AY571" i="3"/>
  <c r="AY532" i="3"/>
  <c r="AY251" i="3"/>
  <c r="AY338" i="3"/>
  <c r="AY243" i="3"/>
  <c r="AY94" i="3"/>
  <c r="AY517" i="3"/>
  <c r="AY82" i="3"/>
  <c r="AY529" i="3"/>
  <c r="AY106" i="3"/>
  <c r="AY349" i="3"/>
  <c r="AY139" i="3"/>
  <c r="AY141" i="3"/>
  <c r="AY550" i="3"/>
  <c r="AY81" i="3"/>
  <c r="AY272" i="3"/>
  <c r="AY201" i="3"/>
  <c r="AY516" i="3"/>
  <c r="AY386" i="3"/>
  <c r="AY38" i="3"/>
  <c r="AY341" i="3"/>
  <c r="AY544" i="3"/>
  <c r="BL6" i="3"/>
  <c r="AY368" i="3"/>
  <c r="AY471" i="3"/>
  <c r="AY147" i="3"/>
  <c r="AY562" i="3"/>
  <c r="AY498" i="3"/>
  <c r="AY244" i="3"/>
  <c r="AY199" i="3"/>
  <c r="AY90" i="3"/>
  <c r="AY344" i="3"/>
  <c r="AY190" i="3"/>
  <c r="AY567" i="3"/>
  <c r="AY478" i="3"/>
  <c r="AY289" i="3"/>
  <c r="AY331" i="3"/>
  <c r="AY509" i="3"/>
  <c r="AY231" i="3"/>
  <c r="AY347" i="3"/>
  <c r="AY119" i="3"/>
  <c r="AY332" i="3"/>
  <c r="AY511" i="3"/>
  <c r="BE6" i="3"/>
  <c r="AY97" i="3"/>
  <c r="AY77" i="3"/>
  <c r="AY175" i="3"/>
  <c r="AY416" i="3"/>
  <c r="AY381" i="3"/>
  <c r="AY116" i="3"/>
  <c r="AY459" i="3"/>
  <c r="AY155" i="3"/>
  <c r="AY420" i="3"/>
  <c r="AY253" i="3"/>
  <c r="AY13" i="3"/>
  <c r="AY333" i="3"/>
  <c r="AY172" i="3"/>
  <c r="AY266" i="3"/>
  <c r="AY314" i="3"/>
  <c r="AY154" i="3"/>
  <c r="AY472" i="3"/>
  <c r="AY131" i="3"/>
  <c r="AY453" i="3"/>
  <c r="BQ6" i="3"/>
  <c r="AY137" i="3"/>
  <c r="AY458" i="3"/>
  <c r="AY242" i="3"/>
  <c r="AY385" i="3"/>
  <c r="AY355" i="3"/>
  <c r="AY285" i="3"/>
  <c r="AY40" i="3"/>
  <c r="AY189" i="3"/>
  <c r="AY210" i="3"/>
  <c r="AY377" i="3"/>
  <c r="AY177" i="3"/>
  <c r="AY18" i="3"/>
  <c r="AY451" i="3"/>
  <c r="AY444" i="3"/>
  <c r="AY473" i="3"/>
  <c r="AY439" i="3"/>
  <c r="AY292" i="3"/>
  <c r="AY41" i="3"/>
  <c r="AY100" i="3"/>
  <c r="AY136" i="3"/>
  <c r="AY427" i="3"/>
  <c r="AY250" i="3"/>
  <c r="AY135" i="3"/>
  <c r="AY115" i="3"/>
  <c r="AY295" i="3"/>
  <c r="AY457" i="3"/>
  <c r="AY157" i="3"/>
  <c r="AY103" i="3"/>
  <c r="AY414" i="3"/>
  <c r="AY200" i="3"/>
  <c r="AY369" i="3"/>
  <c r="AY193" i="3"/>
  <c r="AY42" i="3"/>
  <c r="AY96" i="3"/>
  <c r="AY148" i="3"/>
  <c r="AY446" i="3"/>
  <c r="AY396" i="3"/>
  <c r="AY239" i="3"/>
  <c r="AY152" i="3"/>
  <c r="AY208" i="3"/>
  <c r="AY447" i="3"/>
  <c r="AY559" i="3"/>
  <c r="AY240" i="3"/>
  <c r="AY281" i="3"/>
  <c r="AY387" i="3"/>
  <c r="AY313" i="3"/>
  <c r="AY110" i="3"/>
  <c r="AY454" i="3"/>
  <c r="AY48" i="3"/>
  <c r="AY23" i="3"/>
  <c r="AY522" i="3"/>
  <c r="AY426" i="3"/>
  <c r="AY496" i="3"/>
  <c r="AY491" i="3"/>
  <c r="AY109" i="3"/>
  <c r="AY53" i="3"/>
  <c r="AY118" i="3"/>
  <c r="AY397" i="3"/>
  <c r="AY364" i="3"/>
  <c r="AY258" i="3"/>
  <c r="AY269" i="3"/>
  <c r="AY230" i="3"/>
  <c r="AY405" i="3"/>
  <c r="AY330" i="3"/>
  <c r="AY21" i="3"/>
  <c r="AY187" i="3"/>
  <c r="AY227" i="3"/>
  <c r="AY76" i="3"/>
  <c r="AY24" i="3"/>
  <c r="AY160" i="3"/>
  <c r="AY46" i="3"/>
  <c r="AY138" i="3"/>
  <c r="AY166" i="3"/>
  <c r="AY323" i="3"/>
  <c r="AY456" i="3"/>
  <c r="AY247" i="3"/>
  <c r="AY325" i="3"/>
  <c r="AY390" i="3"/>
  <c r="AY17" i="3"/>
  <c r="AY440" i="3"/>
  <c r="AY495" i="3"/>
  <c r="AY545" i="3"/>
  <c r="AY455" i="3"/>
  <c r="AY298" i="3"/>
  <c r="AY554" i="3"/>
  <c r="AY212" i="3"/>
  <c r="AY296" i="3"/>
  <c r="AY79" i="3"/>
  <c r="AY373" i="3"/>
  <c r="AY536" i="3"/>
  <c r="AY523" i="3"/>
  <c r="AY58" i="3"/>
  <c r="AY73" i="3"/>
  <c r="AY264" i="3"/>
  <c r="AY422" i="3"/>
  <c r="AY326" i="3"/>
  <c r="AY238" i="3"/>
  <c r="AY226" i="3"/>
  <c r="AY450" i="3"/>
  <c r="AY438" i="3"/>
  <c r="AY35" i="3"/>
  <c r="AY191" i="3"/>
  <c r="AY117" i="3"/>
  <c r="BS6" i="3"/>
  <c r="AY156" i="3"/>
  <c r="AY268" i="3"/>
  <c r="AY515" i="3"/>
  <c r="AY171" i="3"/>
  <c r="AY316" i="3"/>
  <c r="AY162" i="3"/>
  <c r="AY303" i="3"/>
  <c r="AY485" i="3"/>
  <c r="AY399" i="3"/>
  <c r="AY174" i="3"/>
  <c r="AY358" i="3"/>
  <c r="AY223" i="3"/>
  <c r="AY404" i="3"/>
  <c r="AY534" i="3"/>
  <c r="AY434" i="3"/>
  <c r="AY130" i="3"/>
  <c r="AY487" i="3"/>
  <c r="AY263" i="3"/>
  <c r="AY19" i="3"/>
  <c r="AY470" i="3"/>
  <c r="AY89" i="3"/>
  <c r="AY51" i="3"/>
  <c r="AY521" i="3"/>
  <c r="AY508" i="3"/>
  <c r="AY560" i="3"/>
  <c r="AY111" i="3"/>
  <c r="AY565" i="3"/>
  <c r="AY297" i="3"/>
  <c r="AY372" i="3"/>
  <c r="AY282" i="3"/>
  <c r="AY489" i="3"/>
  <c r="AY164" i="3"/>
  <c r="AY256" i="3"/>
  <c r="BN6" i="3"/>
  <c r="AY287" i="3"/>
  <c r="AY524" i="3"/>
  <c r="AY194" i="3"/>
  <c r="AY218" i="3"/>
  <c r="AY492" i="3"/>
  <c r="AY488" i="3"/>
  <c r="AY128" i="3"/>
  <c r="AY412" i="3"/>
  <c r="AY233" i="3"/>
  <c r="BR6" i="3"/>
  <c r="AY460" i="3"/>
  <c r="AY114" i="3"/>
  <c r="BO6" i="3"/>
  <c r="AY74" i="3"/>
  <c r="AY528" i="3"/>
  <c r="AY520" i="3"/>
  <c r="AY327" i="3"/>
  <c r="AY306" i="3"/>
  <c r="AY232" i="3"/>
  <c r="AY150" i="3"/>
  <c r="AY225" i="3"/>
  <c r="AY322" i="3"/>
  <c r="AY541" i="3"/>
  <c r="AY479" i="3"/>
  <c r="AY360" i="3"/>
  <c r="AY477" i="3"/>
  <c r="F7" i="67"/>
  <c r="C59" i="15" l="1"/>
  <c r="Q49" i="44"/>
  <c r="Q55" i="44" s="1"/>
  <c r="Q67" i="44"/>
  <c r="K19" i="6"/>
  <c r="K24" i="6"/>
  <c r="M24" i="6" s="1"/>
  <c r="I24" i="6" s="1"/>
  <c r="S24" i="6" s="1"/>
  <c r="K21" i="6"/>
  <c r="K23" i="6"/>
  <c r="M23" i="6" s="1"/>
  <c r="I23" i="6" s="1"/>
  <c r="S23" i="6" s="1"/>
  <c r="K26" i="6"/>
  <c r="M26" i="6" s="1"/>
  <c r="I26" i="6" s="1"/>
  <c r="S26" i="6" s="1"/>
  <c r="K20" i="6"/>
  <c r="K22" i="6"/>
  <c r="K25" i="6"/>
  <c r="M25" i="6" s="1"/>
  <c r="I25" i="6" s="1"/>
  <c r="S25" i="6" s="1"/>
  <c r="E31" i="6"/>
  <c r="E6" i="3"/>
  <c r="J72" i="39"/>
  <c r="K70" i="39"/>
  <c r="AB7" i="21"/>
  <c r="T48" i="21" s="1"/>
  <c r="G48" i="21" s="1"/>
  <c r="G52" i="21" s="1"/>
  <c r="H52" i="21" s="1"/>
  <c r="H67" i="40"/>
  <c r="I65" i="40"/>
  <c r="C27" i="46"/>
  <c r="E4" i="67"/>
  <c r="D25" i="6"/>
  <c r="D28" i="6"/>
  <c r="K38" i="9"/>
  <c r="C14" i="66" s="1"/>
  <c r="B2" i="66" s="1"/>
  <c r="D12" i="6"/>
  <c r="D21" i="6"/>
  <c r="D20" i="6"/>
  <c r="D9" i="6"/>
  <c r="D13" i="6"/>
  <c r="E45" i="9"/>
  <c r="D22" i="6"/>
  <c r="F45" i="9"/>
  <c r="D11" i="6"/>
  <c r="F46" i="9"/>
  <c r="E46" i="9"/>
  <c r="D6" i="6"/>
  <c r="E68" i="39"/>
  <c r="E63" i="40"/>
  <c r="D23" i="6"/>
  <c r="D5" i="6"/>
  <c r="C22" i="4"/>
  <c r="D14" i="6"/>
  <c r="D24" i="6"/>
  <c r="D29" i="6"/>
  <c r="D19" i="6"/>
  <c r="D8" i="6"/>
  <c r="D26" i="6"/>
  <c r="D10" i="6"/>
  <c r="D15" i="6"/>
  <c r="D13" i="11"/>
  <c r="C13" i="11" s="1"/>
  <c r="D22" i="12"/>
  <c r="C22" i="12" s="1"/>
  <c r="C20" i="12" s="1"/>
  <c r="M16" i="1"/>
  <c r="O14" i="1"/>
  <c r="O16" i="1" s="1"/>
  <c r="E43" i="35"/>
  <c r="F43" i="35" s="1"/>
  <c r="E42" i="35"/>
  <c r="F42" i="35" s="1"/>
  <c r="R43" i="37"/>
  <c r="E42" i="37"/>
  <c r="I47" i="37" s="1"/>
  <c r="J47" i="37" s="1"/>
  <c r="C16" i="12"/>
  <c r="D19" i="12"/>
  <c r="C19" i="12" s="1"/>
  <c r="G43" i="35"/>
  <c r="H43" i="35" s="1"/>
  <c r="G42" i="35"/>
  <c r="H42" i="35" s="1"/>
  <c r="C38" i="35"/>
  <c r="C39" i="35"/>
  <c r="B3" i="35" s="1"/>
  <c r="B2" i="35" s="1"/>
  <c r="B5" i="11"/>
  <c r="C8" i="66"/>
  <c r="C7" i="66"/>
  <c r="G46" i="37"/>
  <c r="H46" i="37" s="1"/>
  <c r="G47" i="37"/>
  <c r="H47" i="37" s="1"/>
  <c r="B4" i="11"/>
  <c r="I46" i="37"/>
  <c r="J46" i="37" s="1"/>
  <c r="E48" i="21"/>
  <c r="R49" i="21"/>
  <c r="W7" i="21"/>
  <c r="AC7" i="21"/>
  <c r="V48" i="21" s="1"/>
  <c r="I48" i="21" s="1"/>
  <c r="Q68" i="44"/>
  <c r="Q59" i="44"/>
  <c r="Q64" i="44" s="1"/>
  <c r="C26" i="46"/>
  <c r="I58" i="33"/>
  <c r="E7" i="67"/>
  <c r="Q77" i="44" l="1"/>
  <c r="M22" i="6"/>
  <c r="I22" i="6" s="1"/>
  <c r="S22" i="6" s="1"/>
  <c r="S9" i="1"/>
  <c r="M20" i="6"/>
  <c r="I20" i="6" s="1"/>
  <c r="S20" i="6" s="1"/>
  <c r="S7" i="1"/>
  <c r="M21" i="6"/>
  <c r="I21" i="6" s="1"/>
  <c r="S21" i="6" s="1"/>
  <c r="S8" i="1"/>
  <c r="H26" i="6"/>
  <c r="R26" i="6" s="1"/>
  <c r="H25" i="6"/>
  <c r="R25" i="6" s="1"/>
  <c r="H23" i="6"/>
  <c r="R23" i="6" s="1"/>
  <c r="H24" i="6"/>
  <c r="R24" i="6" s="1"/>
  <c r="S6" i="1"/>
  <c r="M19" i="6"/>
  <c r="K27" i="6"/>
  <c r="D30" i="6"/>
  <c r="D16" i="6"/>
  <c r="I67" i="40"/>
  <c r="J65" i="40"/>
  <c r="L70" i="39"/>
  <c r="K72" i="39"/>
  <c r="E3" i="67"/>
  <c r="C48" i="21"/>
  <c r="C49" i="21"/>
  <c r="B3" i="21" s="1"/>
  <c r="B2" i="21" s="1"/>
  <c r="D8" i="66"/>
  <c r="D7" i="66"/>
  <c r="A6" i="51"/>
  <c r="B7" i="63" s="1"/>
  <c r="A20" i="51"/>
  <c r="B15" i="63" s="1"/>
  <c r="A6" i="64"/>
  <c r="N5" i="54"/>
  <c r="B43" i="63" s="1"/>
  <c r="A20" i="64"/>
  <c r="E53" i="21"/>
  <c r="F53" i="21" s="1"/>
  <c r="E52" i="21"/>
  <c r="F52" i="21" s="1"/>
  <c r="J58" i="33"/>
  <c r="B2" i="46"/>
  <c r="I52" i="21"/>
  <c r="J52" i="21" s="1"/>
  <c r="I53" i="21"/>
  <c r="J53" i="21" s="1"/>
  <c r="G53" i="21"/>
  <c r="H53" i="21" s="1"/>
  <c r="D27" i="6"/>
  <c r="E46" i="37"/>
  <c r="F46" i="37" s="1"/>
  <c r="E47" i="37"/>
  <c r="F47" i="37" s="1"/>
  <c r="C43" i="37"/>
  <c r="B3" i="37" s="1"/>
  <c r="B2" i="37" s="1"/>
  <c r="C42" i="37"/>
  <c r="C13" i="43"/>
  <c r="N16" i="1"/>
  <c r="C29" i="43" s="1"/>
  <c r="L16" i="1"/>
  <c r="P14" i="1"/>
  <c r="P16" i="1" s="1"/>
  <c r="C13" i="12" s="1"/>
  <c r="B7" i="67"/>
  <c r="H21" i="6" l="1"/>
  <c r="R21" i="6" s="1"/>
  <c r="H22" i="6"/>
  <c r="R22" i="6" s="1"/>
  <c r="H20" i="6"/>
  <c r="R20" i="6" s="1"/>
  <c r="I19" i="6"/>
  <c r="M27" i="6"/>
  <c r="S16" i="1"/>
  <c r="T6" i="1" s="1"/>
  <c r="D31" i="6"/>
  <c r="I6" i="6" s="1"/>
  <c r="C13" i="39" s="1"/>
  <c r="L72" i="39"/>
  <c r="M70" i="39"/>
  <c r="K65" i="40"/>
  <c r="J67" i="40"/>
  <c r="B2" i="67"/>
  <c r="K58" i="33"/>
  <c r="B3" i="46"/>
  <c r="B4" i="46"/>
  <c r="D4" i="46"/>
  <c r="C17" i="43"/>
  <c r="C14" i="43"/>
  <c r="C17" i="12"/>
  <c r="C14" i="12"/>
  <c r="T9" i="1" l="1"/>
  <c r="T10" i="1"/>
  <c r="T11" i="1"/>
  <c r="T12" i="1"/>
  <c r="T13" i="1"/>
  <c r="T8" i="1"/>
  <c r="T7" i="1"/>
  <c r="I27" i="6"/>
  <c r="H19" i="6"/>
  <c r="S19" i="6"/>
  <c r="S27" i="6" s="1"/>
  <c r="I5" i="6"/>
  <c r="H13" i="39"/>
  <c r="F13" i="39"/>
  <c r="J13" i="39"/>
  <c r="K67" i="40"/>
  <c r="L65" i="40"/>
  <c r="N70" i="39"/>
  <c r="N72" i="39" s="1"/>
  <c r="F9" i="39" s="1"/>
  <c r="M72" i="39"/>
  <c r="C18" i="43"/>
  <c r="C19" i="43" s="1"/>
  <c r="C18" i="12"/>
  <c r="C23" i="12" s="1"/>
  <c r="L58" i="33"/>
  <c r="M58" i="33" s="1"/>
  <c r="N58" i="33" s="1"/>
  <c r="O58" i="33" s="1"/>
  <c r="H7" i="33"/>
  <c r="B4" i="67"/>
  <c r="B3" i="67"/>
  <c r="C14" i="15"/>
  <c r="C16" i="44"/>
  <c r="C20" i="44" l="1"/>
  <c r="C17" i="44"/>
  <c r="C18" i="15"/>
  <c r="C15" i="15"/>
  <c r="H27" i="6"/>
  <c r="R19" i="6"/>
  <c r="T16" i="1"/>
  <c r="AC13" i="39"/>
  <c r="W13" i="39"/>
  <c r="AA13" i="39"/>
  <c r="S13" i="39"/>
  <c r="AB13" i="39"/>
  <c r="U13" i="39"/>
  <c r="J9" i="39"/>
  <c r="H9" i="39"/>
  <c r="AA9" i="39"/>
  <c r="S9" i="39"/>
  <c r="M65" i="40"/>
  <c r="L67" i="40"/>
  <c r="C25" i="43"/>
  <c r="C24" i="43" s="1"/>
  <c r="C22" i="43"/>
  <c r="C21" i="43" s="1"/>
  <c r="AB7" i="33"/>
  <c r="T48" i="33" s="1"/>
  <c r="G48" i="33" s="1"/>
  <c r="U7" i="33"/>
  <c r="F7" i="33"/>
  <c r="J7" i="33"/>
  <c r="C21" i="44" l="1"/>
  <c r="C22" i="44" s="1"/>
  <c r="C25" i="44" s="1"/>
  <c r="R7" i="1"/>
  <c r="R8" i="1"/>
  <c r="R9" i="1"/>
  <c r="C19" i="15"/>
  <c r="R6" i="1"/>
  <c r="R27" i="6"/>
  <c r="R49" i="39"/>
  <c r="E49" i="39" s="1"/>
  <c r="N65" i="40"/>
  <c r="N67" i="40" s="1"/>
  <c r="F9" i="40" s="1"/>
  <c r="M67" i="40"/>
  <c r="U9" i="39"/>
  <c r="AB9" i="39"/>
  <c r="T49" i="39" s="1"/>
  <c r="G49" i="39" s="1"/>
  <c r="W9" i="39"/>
  <c r="AC9" i="39"/>
  <c r="V49" i="39" s="1"/>
  <c r="I49" i="39" s="1"/>
  <c r="I53" i="39" s="1"/>
  <c r="J53" i="39" s="1"/>
  <c r="C28" i="43"/>
  <c r="C30" i="43" s="1"/>
  <c r="C32" i="43" s="1"/>
  <c r="B2" i="43" s="1"/>
  <c r="B4" i="43" s="1"/>
  <c r="G52" i="33"/>
  <c r="H52" i="33" s="1"/>
  <c r="W7" i="33"/>
  <c r="AC7" i="33"/>
  <c r="V48" i="33" s="1"/>
  <c r="I48" i="33" s="1"/>
  <c r="S7" i="33"/>
  <c r="AA7" i="33"/>
  <c r="R48" i="33" s="1"/>
  <c r="C28" i="44" l="1"/>
  <c r="C31" i="44" s="1"/>
  <c r="C35" i="44" s="1"/>
  <c r="C33" i="44" s="1"/>
  <c r="R16" i="1"/>
  <c r="C20" i="15"/>
  <c r="C26" i="15" s="1"/>
  <c r="R50" i="39"/>
  <c r="C50" i="39" s="1"/>
  <c r="G53" i="39"/>
  <c r="H53" i="39" s="1"/>
  <c r="G54" i="39"/>
  <c r="H54" i="39" s="1"/>
  <c r="I54" i="39"/>
  <c r="J54" i="39" s="1"/>
  <c r="E54" i="39"/>
  <c r="F54" i="39" s="1"/>
  <c r="E53" i="39"/>
  <c r="F53" i="39" s="1"/>
  <c r="J9" i="40"/>
  <c r="H9" i="40"/>
  <c r="S9" i="40"/>
  <c r="AA9" i="40"/>
  <c r="R44" i="40" s="1"/>
  <c r="B3" i="43"/>
  <c r="B5" i="43"/>
  <c r="I52" i="33"/>
  <c r="J52" i="33" s="1"/>
  <c r="G53" i="33"/>
  <c r="H53" i="33" s="1"/>
  <c r="R49" i="33"/>
  <c r="E48" i="33"/>
  <c r="I53" i="33" s="1"/>
  <c r="J53" i="33" s="1"/>
  <c r="C15" i="44" l="1"/>
  <c r="Q72" i="44" s="1"/>
  <c r="J16" i="44"/>
  <c r="J24" i="44" s="1"/>
  <c r="C38" i="44"/>
  <c r="J21" i="44"/>
  <c r="J19" i="44" s="1"/>
  <c r="Q51" i="44"/>
  <c r="C23" i="15"/>
  <c r="C29" i="15" s="1"/>
  <c r="C49" i="39"/>
  <c r="AC9" i="40"/>
  <c r="V44" i="40" s="1"/>
  <c r="I44" i="40" s="1"/>
  <c r="W9" i="40"/>
  <c r="B65" i="39"/>
  <c r="F65" i="39" s="1"/>
  <c r="B66" i="39"/>
  <c r="F66" i="39" s="1"/>
  <c r="B60" i="39"/>
  <c r="F60" i="39" s="1"/>
  <c r="B64" i="39"/>
  <c r="F64" i="39" s="1"/>
  <c r="B58" i="39"/>
  <c r="F58" i="39" s="1"/>
  <c r="B67" i="39"/>
  <c r="F67" i="39" s="1"/>
  <c r="B59" i="39"/>
  <c r="F59" i="39" s="1"/>
  <c r="B63" i="39"/>
  <c r="F63" i="39" s="1"/>
  <c r="B62" i="39"/>
  <c r="F62" i="39" s="1"/>
  <c r="B61" i="39"/>
  <c r="F61" i="39" s="1"/>
  <c r="R45" i="40"/>
  <c r="E44" i="40"/>
  <c r="U9" i="40"/>
  <c r="AB9" i="40"/>
  <c r="T44" i="40" s="1"/>
  <c r="G44" i="40" s="1"/>
  <c r="C49" i="33"/>
  <c r="B3" i="33" s="1"/>
  <c r="B2" i="33" s="1"/>
  <c r="C48" i="33"/>
  <c r="E52" i="33"/>
  <c r="F52" i="33" s="1"/>
  <c r="E53" i="33"/>
  <c r="F53" i="33" s="1"/>
  <c r="J15" i="44" l="1"/>
  <c r="J25" i="44" s="1"/>
  <c r="J18" i="44" s="1"/>
  <c r="J27" i="44" s="1"/>
  <c r="C43" i="44"/>
  <c r="C39" i="44"/>
  <c r="C32" i="44" s="1"/>
  <c r="C42" i="44" s="1"/>
  <c r="Q71" i="44" s="1"/>
  <c r="Q70" i="44" s="1"/>
  <c r="C13" i="15"/>
  <c r="J14" i="15"/>
  <c r="J59" i="15"/>
  <c r="J60" i="15" s="1"/>
  <c r="Q50" i="15"/>
  <c r="J19" i="15"/>
  <c r="J17" i="15" s="1"/>
  <c r="C56" i="15"/>
  <c r="C36" i="15"/>
  <c r="C33" i="15"/>
  <c r="C31" i="15" s="1"/>
  <c r="F68" i="39"/>
  <c r="B2" i="39" s="1"/>
  <c r="B4" i="39" s="1"/>
  <c r="C45" i="40"/>
  <c r="C44" i="40"/>
  <c r="E49" i="40"/>
  <c r="F49" i="40" s="1"/>
  <c r="E48" i="40"/>
  <c r="F48" i="40" s="1"/>
  <c r="G48" i="40"/>
  <c r="H48" i="40" s="1"/>
  <c r="G49" i="40"/>
  <c r="H49" i="40" s="1"/>
  <c r="I48" i="40"/>
  <c r="J48" i="40" s="1"/>
  <c r="I49" i="40"/>
  <c r="J49" i="40" s="1"/>
  <c r="C21" i="9"/>
  <c r="C19" i="9"/>
  <c r="C44" i="44" l="1"/>
  <c r="C45" i="44" s="1"/>
  <c r="B2" i="44" s="1"/>
  <c r="B4" i="44" s="1"/>
  <c r="Q49" i="15"/>
  <c r="J22" i="15"/>
  <c r="J13" i="15"/>
  <c r="J23" i="15" s="1"/>
  <c r="C63" i="15"/>
  <c r="C60" i="15"/>
  <c r="C58" i="15" s="1"/>
  <c r="C55" i="15"/>
  <c r="C64" i="15" s="1"/>
  <c r="C37" i="15"/>
  <c r="C30" i="15" s="1"/>
  <c r="C39" i="15" s="1"/>
  <c r="J35" i="15"/>
  <c r="Q71" i="15"/>
  <c r="L43" i="9"/>
  <c r="B5" i="39"/>
  <c r="B3" i="39"/>
  <c r="B56" i="40"/>
  <c r="F56" i="40" s="1"/>
  <c r="B53" i="40"/>
  <c r="F53" i="40" s="1"/>
  <c r="B58" i="40"/>
  <c r="F58" i="40" s="1"/>
  <c r="B60" i="40"/>
  <c r="F60" i="40" s="1"/>
  <c r="B61" i="40"/>
  <c r="F61" i="40" s="1"/>
  <c r="B57" i="40"/>
  <c r="F57" i="40" s="1"/>
  <c r="B55" i="40"/>
  <c r="F55" i="40" s="1"/>
  <c r="B59" i="40"/>
  <c r="F59" i="40" s="1"/>
  <c r="F63" i="40"/>
  <c r="B2" i="40" s="1"/>
  <c r="B54" i="40"/>
  <c r="F54" i="40" s="1"/>
  <c r="B62" i="40"/>
  <c r="F62" i="40" s="1"/>
  <c r="C20" i="9"/>
  <c r="L51" i="15"/>
  <c r="B5" i="44" l="1"/>
  <c r="B3" i="44"/>
  <c r="J39" i="15"/>
  <c r="J40" i="15" s="1"/>
  <c r="C57" i="15"/>
  <c r="C66" i="15" s="1"/>
  <c r="C67" i="15" s="1"/>
  <c r="C70" i="15" s="1"/>
  <c r="J16" i="15"/>
  <c r="J25" i="15" s="1"/>
  <c r="Q68" i="15"/>
  <c r="L57" i="15"/>
  <c r="L60" i="15" s="1"/>
  <c r="L46" i="15" s="1"/>
  <c r="C40" i="15"/>
  <c r="Q70" i="15"/>
  <c r="Q69" i="15" s="1"/>
  <c r="B3" i="40"/>
  <c r="B4" i="40"/>
  <c r="B5" i="40"/>
  <c r="C46" i="15" l="1"/>
  <c r="J42" i="15"/>
  <c r="J43" i="15" s="1"/>
  <c r="B2" i="15"/>
  <c r="C43" i="15"/>
  <c r="Q57" i="15"/>
  <c r="Q48" i="15"/>
  <c r="Q54" i="15" s="1"/>
  <c r="Q66" i="15"/>
  <c r="Q58" i="15"/>
  <c r="Q67" i="15"/>
  <c r="B3" i="15" l="1"/>
  <c r="F8" i="12" s="1"/>
  <c r="F10" i="12"/>
  <c r="Q63" i="15"/>
  <c r="Q76" i="15"/>
  <c r="C6" i="12" l="1"/>
  <c r="C24" i="12" s="1"/>
  <c r="C28" i="12" s="1"/>
  <c r="C26" i="12" s="1"/>
  <c r="C35" i="12" l="1"/>
  <c r="C33" i="12" s="1"/>
  <c r="C29" i="12"/>
  <c r="C31" i="12" s="1"/>
  <c r="C30" i="12" s="1"/>
  <c r="C36" i="12" l="1"/>
  <c r="B2" i="12" s="1"/>
  <c r="D19" i="9"/>
  <c r="G19" i="9" l="1"/>
  <c r="G22" i="9" s="1"/>
  <c r="L44" i="9"/>
  <c r="D22" i="9"/>
  <c r="B5" i="12"/>
  <c r="B3" i="12"/>
  <c r="B4" i="12"/>
  <c r="D20" i="9"/>
  <c r="D21" i="9"/>
  <c r="G21" i="9" l="1"/>
  <c r="G20" i="9"/>
  <c r="C32" i="9"/>
  <c r="N43" i="9"/>
  <c r="O38" i="9" l="1"/>
  <c r="O43" i="9"/>
  <c r="C42" i="9"/>
  <c r="C35" i="9"/>
  <c r="F42" i="9" s="1"/>
  <c r="C33" i="9"/>
  <c r="C34" i="9"/>
  <c r="E42" i="9" l="1"/>
  <c r="P5" i="54" s="1"/>
  <c r="B46" i="63" s="1"/>
  <c r="M38" i="9"/>
  <c r="K27" i="9" s="1"/>
  <c r="D14" i="66"/>
  <c r="C44" i="9"/>
  <c r="N68" i="9"/>
  <c r="D63" i="9"/>
  <c r="R5" i="54"/>
  <c r="B48" i="63" s="1"/>
  <c r="D42" i="9"/>
  <c r="Q5" i="54" s="1"/>
  <c r="B47" i="63" s="1"/>
  <c r="N38" i="9"/>
  <c r="K28" i="9" s="1"/>
  <c r="K26" i="9"/>
  <c r="K25" i="9"/>
  <c r="C103" i="9" l="1"/>
  <c r="C111" i="9"/>
  <c r="C104" i="9" s="1"/>
  <c r="C90" i="9"/>
  <c r="C96" i="9"/>
  <c r="C91" i="9" s="1"/>
  <c r="D77" i="9"/>
  <c r="N75" i="9" s="1"/>
  <c r="D71" i="9"/>
  <c r="D66" i="9" s="1"/>
  <c r="N72" i="9" s="1"/>
  <c r="C82" i="9"/>
  <c r="C81" i="9" s="1"/>
  <c r="C85" i="9" s="1"/>
  <c r="C86" i="9" s="1"/>
  <c r="D72" i="9" s="1"/>
  <c r="D70" i="9"/>
  <c r="F44" i="9"/>
  <c r="D44" i="9"/>
  <c r="N69" i="9"/>
  <c r="O39" i="9"/>
  <c r="G14" i="66"/>
  <c r="B6" i="66" s="1"/>
  <c r="E44" i="9"/>
  <c r="B5" i="66"/>
  <c r="E14" i="66"/>
  <c r="F14" i="66"/>
  <c r="C97" i="9" l="1"/>
  <c r="C98" i="9" s="1"/>
  <c r="E98" i="9" s="1"/>
  <c r="E99" i="9" s="1"/>
  <c r="D5" i="66"/>
  <c r="C5" i="66"/>
  <c r="C6" i="66"/>
  <c r="D6" i="66"/>
  <c r="R6" i="54"/>
  <c r="B50" i="63" s="1"/>
  <c r="K29" i="9"/>
  <c r="K30" i="9" s="1"/>
  <c r="M84" i="9"/>
  <c r="N84" i="9" s="1"/>
  <c r="M83" i="9"/>
  <c r="N83" i="9" s="1"/>
  <c r="M86" i="9"/>
  <c r="N86" i="9" s="1"/>
  <c r="M85" i="9"/>
  <c r="N85" i="9" s="1"/>
  <c r="M87" i="9"/>
  <c r="N87" i="9" s="1"/>
  <c r="M88" i="9"/>
  <c r="N88" i="9" s="1"/>
  <c r="C113" i="9"/>
  <c r="C114" i="9" s="1"/>
  <c r="E114" i="9" s="1"/>
  <c r="E115" i="9" s="1"/>
  <c r="C99" i="9" l="1"/>
  <c r="C115" i="9"/>
  <c r="D76" i="9" s="1"/>
  <c r="D74" i="9" s="1"/>
  <c r="N74" i="9" s="1"/>
  <c r="O77" i="9" s="1"/>
  <c r="Q77" i="9" s="1"/>
  <c r="N89" i="9"/>
  <c r="O89" i="9" s="1"/>
  <c r="O79" i="9" l="1"/>
  <c r="O81" i="9" s="1"/>
  <c r="O78"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<sst xmlns="http://schemas.openxmlformats.org/spreadsheetml/2006/main" count="7302" uniqueCount="3210">
  <si>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</si>
  <si>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</si>
  <si>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</si>
  <si>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</si>
  <si>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</si>
  <si>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</si>
  <si>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</si>
  <si>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</si>
  <si>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</si>
  <si>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</si>
  <si>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</si>
  <si>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</si>
  <si>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</si>
  <si>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</si>
  <si>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</si>
  <si>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</si>
  <si>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</si>
  <si>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</si>
  <si>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</si>
  <si>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</si>
  <si>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</si>
  <si>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</si>
  <si>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</si>
  <si>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</si>
  <si>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</si>
  <si>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</si>
  <si>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</si>
  <si>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</si>
  <si>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</si>
  <si>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</si>
  <si>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</si>
  <si>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</si>
  <si>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</si>
  <si>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</si>
  <si>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</si>
  <si>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</si>
  <si>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</si>
  <si>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</si>
  <si>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</si>
  <si>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</si>
  <si>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</si>
  <si>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</si>
  <si>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</si>
  <si>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</si>
  <si>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</si>
  <si>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</si>
  <si>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</si>
  <si>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</si>
  <si>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</si>
  <si>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</si>
  <si>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</si>
  <si>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</si>
  <si>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</si>
  <si>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</si>
  <si>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</si>
  <si>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</si>
  <si>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</si>
  <si>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</si>
  <si>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</si>
  <si>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</si>
  <si>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</si>
  <si>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</si>
  <si>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</si>
  <si>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</si>
  <si>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</si>
  <si>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</si>
  <si>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</si>
  <si>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</si>
  <si>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</si>
  <si>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</si>
  <si>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</si>
  <si>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</si>
  <si>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</si>
  <si>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</si>
  <si>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</si>
  <si>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</si>
  <si>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</si>
  <si>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</si>
  <si>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</si>
  <si>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</si>
  <si>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</si>
  <si>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</si>
  <si>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</si>
  <si>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</si>
  <si>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</si>
  <si>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</si>
  <si>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</si>
  <si>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</si>
  <si>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</si>
  <si>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</si>
  <si>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</si>
  <si>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</si>
  <si>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</si>
  <si>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</si>
  <si>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</si>
  <si>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</si>
  <si>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</si>
  <si>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</si>
  <si>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</si>
  <si>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</si>
  <si>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</si>
  <si>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</si>
  <si>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</si>
  <si>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</si>
  <si>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</si>
  <si>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</si>
  <si>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</si>
  <si>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</si>
  <si>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</si>
  <si>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</si>
  <si>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</si>
  <si>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</si>
  <si>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</si>
  <si>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</si>
  <si>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</si>
  <si>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</si>
  <si>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</si>
  <si>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</si>
  <si>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</si>
  <si>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</si>
  <si>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</si>
  <si>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</si>
  <si>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</si>
  <si>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</si>
  <si>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</si>
  <si>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</si>
  <si>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</si>
  <si>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</si>
  <si>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</si>
  <si>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</si>
  <si>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</si>
  <si>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</si>
  <si>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</si>
  <si>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</si>
  <si>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</si>
  <si>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</si>
  <si>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</si>
  <si>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</si>
  <si>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</si>
  <si>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</si>
  <si>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</si>
  <si>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</si>
  <si>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</si>
  <si>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</si>
  <si>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</si>
  <si>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</si>
  <si>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</si>
  <si>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</si>
  <si>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</si>
  <si>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</si>
  <si>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</si>
  <si>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</si>
  <si>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</si>
  <si>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</si>
  <si>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</si>
  <si>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</si>
  <si>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</si>
  <si>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</si>
  <si>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</si>
  <si>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</si>
  <si>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</si>
  <si>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</si>
  <si>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</si>
  <si>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</si>
  <si>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</si>
  <si>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</si>
  <si>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</si>
  <si>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</si>
  <si>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</si>
  <si>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</si>
  <si>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</si>
  <si>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</si>
  <si>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</si>
  <si>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</si>
  <si>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</si>
  <si>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</si>
  <si>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</si>
  <si>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</si>
  <si>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</si>
  <si>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</si>
  <si>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</si>
  <si>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</si>
  <si>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</si>
  <si>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</si>
  <si>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</si>
  <si>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</si>
  <si>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</si>
  <si>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</si>
  <si>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</si>
  <si>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</si>
  <si>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</si>
  <si>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</si>
  <si>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</si>
  <si>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</si>
  <si>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</si>
  <si>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</si>
  <si>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</si>
  <si>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</si>
  <si>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</si>
  <si>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</si>
  <si>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</si>
  <si>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</si>
  <si>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</si>
  <si>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</si>
  <si>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</si>
  <si>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</si>
  <si>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</si>
  <si>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</si>
  <si>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</si>
  <si>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</si>
  <si>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</si>
  <si>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</si>
  <si>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</si>
  <si>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</si>
  <si>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</si>
  <si>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</si>
  <si>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</si>
  <si>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</si>
  <si>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</si>
  <si>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</si>
  <si>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</si>
  <si>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</si>
  <si>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</si>
  <si>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</si>
  <si>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</si>
  <si>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</si>
  <si>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</si>
  <si>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</si>
  <si>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</si>
  <si>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</si>
  <si>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</si>
  <si>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</si>
  <si>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</si>
  <si>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</si>
  <si>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</si>
  <si>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</si>
  <si>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</si>
  <si>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</si>
  <si>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</si>
  <si>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</si>
  <si>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</si>
  <si>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</si>
  <si>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</si>
  <si>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</si>
  <si>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</si>
  <si>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</si>
  <si>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</si>
  <si>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</si>
  <si>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</si>
  <si>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</si>
  <si>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</si>
  <si>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</si>
  <si>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</si>
  <si>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</si>
  <si>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</si>
  <si>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</si>
  <si>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</si>
  <si>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</si>
  <si>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</si>
  <si>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</si>
  <si>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</si>
  <si>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</si>
  <si>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</si>
  <si>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</si>
  <si>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</si>
  <si>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</si>
  <si>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</si>
  <si>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</si>
  <si>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</si>
  <si>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</si>
  <si>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</si>
  <si>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</si>
  <si>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</si>
  <si>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</si>
  <si>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</si>
  <si>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</si>
  <si>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</si>
  <si>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</si>
  <si>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</si>
  <si>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</si>
  <si>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</si>
  <si>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</si>
  <si>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</si>
  <si>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</si>
  <si>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</si>
  <si>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</si>
  <si>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</si>
  <si>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</si>
  <si>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</si>
  <si>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</si>
  <si>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</si>
  <si>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</si>
  <si>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</si>
  <si>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</si>
  <si>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</si>
  <si>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</si>
  <si>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</si>
  <si>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</si>
  <si>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</si>
  <si>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</si>
  <si>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</si>
  <si>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</si>
  <si>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</si>
  <si>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</si>
  <si>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</si>
  <si>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</si>
  <si>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</si>
  <si>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</si>
  <si>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</si>
  <si>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</si>
  <si>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</si>
  <si>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</si>
  <si>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</si>
  <si>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</si>
  <si>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</si>
  <si>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</si>
  <si>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</si>
  <si>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</si>
  <si>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</si>
  <si>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</si>
  <si>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</si>
  <si>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</si>
  <si>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</si>
  <si>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</si>
  <si>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</si>
  <si>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</si>
  <si>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</si>
  <si>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</si>
  <si>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</si>
  <si>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</si>
  <si>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</si>
  <si>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</si>
  <si>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</si>
  <si>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</si>
  <si>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</si>
  <si>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</si>
  <si>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</si>
  <si>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</si>
  <si>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</si>
  <si>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</si>
  <si>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</si>
  <si>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</si>
  <si>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</si>
  <si>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</si>
  <si>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</si>
  <si>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</si>
  <si>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</si>
  <si>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</si>
  <si>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</si>
  <si>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</si>
  <si>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</si>
  <si>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</si>
  <si>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</si>
  <si>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</si>
  <si>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</si>
  <si>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</si>
  <si>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</si>
  <si>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</si>
  <si>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</si>
  <si>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</si>
  <si>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</si>
  <si>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</si>
  <si>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</si>
  <si>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</si>
  <si>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</si>
  <si>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</si>
  <si>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</si>
  <si>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</si>
  <si>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</si>
  <si>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</si>
  <si>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</si>
  <si>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</si>
  <si>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</si>
  <si>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</si>
  <si>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</si>
  <si>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</si>
  <si>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</si>
  <si>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</si>
  <si>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</si>
  <si>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</si>
  <si>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</si>
  <si>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</si>
  <si>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</si>
  <si>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</si>
  <si>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</si>
  <si>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</si>
  <si>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</si>
  <si>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</si>
  <si>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</si>
  <si>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</si>
  <si>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</si>
  <si>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</si>
  <si>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</si>
  <si>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</si>
  <si>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</si>
  <si>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</si>
  <si>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</si>
  <si>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</si>
  <si>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</si>
  <si>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</si>
  <si>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</si>
  <si>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</si>
  <si>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</si>
  <si>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</si>
  <si>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</si>
  <si>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</si>
  <si>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</si>
  <si>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</si>
  <si>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</si>
  <si>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</si>
  <si>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</si>
  <si>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</si>
  <si>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</si>
  <si>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</si>
  <si>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</si>
  <si>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</si>
  <si>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</si>
  <si>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</si>
  <si>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</si>
  <si>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</si>
  <si>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</si>
  <si>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</si>
  <si>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</si>
  <si>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</si>
  <si>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</si>
  <si>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</si>
  <si>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</si>
  <si>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</si>
  <si>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</si>
  <si>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</si>
  <si>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</si>
  <si>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</si>
  <si>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</si>
  <si>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</si>
  <si>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</si>
  <si>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</si>
  <si>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</si>
  <si>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</si>
  <si>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</si>
  <si>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</si>
  <si>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</si>
  <si>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</si>
  <si>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</si>
  <si>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</si>
  <si>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</si>
  <si>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</si>
  <si>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</si>
  <si>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</si>
  <si>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</si>
  <si>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</si>
  <si>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</si>
  <si>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</si>
  <si>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</si>
  <si>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</si>
  <si>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</si>
  <si>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</si>
  <si>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</si>
  <si>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</si>
  <si>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</si>
  <si>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</si>
  <si>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</si>
  <si>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</si>
  <si>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</si>
  <si>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</si>
  <si>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</si>
  <si>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</si>
  <si>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</si>
  <si>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</si>
  <si>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</si>
  <si>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</si>
  <si>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</si>
  <si>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</si>
  <si>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</si>
  <si>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</si>
  <si>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</si>
  <si>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</si>
  <si>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</si>
  <si>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</si>
  <si>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</si>
  <si>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</si>
  <si>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</si>
  <si>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</si>
  <si>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</si>
  <si>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</si>
  <si>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</si>
  <si>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</si>
  <si>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</si>
  <si>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</si>
  <si>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</si>
  <si>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</si>
  <si>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</si>
  <si>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</si>
  <si>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</si>
  <si>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</si>
  <si>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</si>
  <si>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</si>
  <si>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</si>
  <si>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</si>
  <si>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</si>
  <si>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</si>
  <si>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</si>
  <si>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</si>
  <si>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</si>
  <si>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</si>
  <si>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</si>
  <si>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</si>
  <si>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</si>
  <si>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</si>
  <si>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</si>
  <si>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</si>
  <si>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</si>
  <si>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</si>
  <si>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</si>
  <si>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</si>
  <si>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</si>
  <si>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</si>
  <si>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</si>
  <si>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</si>
  <si>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</si>
  <si>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</si>
  <si>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</si>
  <si>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</si>
  <si>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</si>
  <si>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</si>
  <si>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</si>
  <si>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</si>
  <si>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</si>
  <si>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</si>
  <si>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</si>
  <si>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</si>
  <si>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</si>
  <si>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</si>
  <si>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</si>
  <si>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</si>
  <si>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</si>
  <si>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</si>
  <si>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</si>
  <si>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</si>
  <si>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</si>
  <si>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</si>
  <si>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</si>
  <si>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</si>
  <si>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</si>
  <si>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</si>
  <si>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</si>
  <si>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</si>
  <si>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</si>
  <si>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</si>
  <si>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</si>
  <si>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</si>
  <si>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</si>
  <si>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</si>
  <si>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</si>
  <si>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</si>
  <si>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</si>
  <si>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</si>
  <si>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</si>
  <si>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</si>
  <si>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</si>
  <si>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</si>
  <si>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</si>
  <si>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</si>
  <si>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</si>
  <si>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</si>
  <si>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</si>
  <si>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</si>
  <si>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</si>
  <si>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</si>
  <si>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</si>
  <si>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</si>
  <si>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</si>
  <si>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</si>
  <si>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</si>
  <si>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</si>
  <si>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</si>
  <si>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</si>
  <si>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</si>
  <si>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</si>
  <si>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</si>
  <si>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</si>
  <si>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</si>
  <si>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</si>
  <si>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</si>
  <si>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</si>
  <si>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</si>
  <si>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</si>
  <si>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</si>
  <si>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</si>
  <si>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</si>
  <si>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</si>
  <si>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</si>
  <si>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</si>
  <si>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</si>
  <si>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</si>
  <si>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</si>
  <si>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</si>
  <si>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</si>
  <si>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</si>
  <si>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</si>
  <si>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</si>
  <si>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</si>
  <si>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</si>
  <si>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</si>
  <si>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</si>
  <si>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</si>
  <si>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</si>
  <si>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</si>
  <si>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</si>
  <si>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</si>
  <si>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</si>
  <si>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</si>
  <si>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</si>
  <si>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</si>
  <si>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</si>
  <si>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</si>
  <si>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</si>
  <si>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</si>
  <si>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</si>
  <si>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</si>
  <si>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</si>
  <si>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</si>
  <si>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</si>
  <si>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</si>
  <si>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</si>
  <si>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</si>
  <si>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</si>
  <si>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</si>
  <si>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</si>
  <si>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</si>
  <si>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</si>
  <si>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</si>
  <si>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</si>
  <si>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</si>
  <si>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</si>
  <si>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</si>
  <si>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</si>
  <si>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</si>
  <si>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</si>
  <si>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</si>
  <si>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</si>
  <si>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</si>
  <si>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</si>
  <si>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</si>
  <si>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</si>
  <si>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</si>
  <si>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</si>
  <si>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</si>
  <si>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</si>
  <si>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</si>
  <si>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</si>
  <si>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</si>
  <si>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</si>
  <si>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</si>
  <si>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</si>
  <si>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</si>
  <si>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</si>
  <si>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</si>
  <si>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</si>
  <si>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</si>
  <si>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</si>
  <si>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</si>
  <si>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</si>
  <si>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</si>
  <si>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</si>
  <si>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</si>
  <si>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</si>
  <si>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</si>
  <si>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</si>
  <si>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</si>
  <si>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</si>
  <si>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</si>
  <si>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</si>
  <si>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</si>
  <si>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</si>
  <si>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</si>
  <si>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</si>
  <si>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</si>
  <si>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</si>
  <si>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</si>
  <si>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</si>
  <si>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</si>
  <si>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</si>
  <si>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</si>
  <si>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</si>
  <si>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</si>
  <si>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</si>
  <si>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</si>
  <si>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</si>
  <si>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</si>
  <si>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</si>
  <si>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</si>
  <si>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</si>
  <si>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</si>
  <si>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</si>
  <si>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</si>
  <si>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</si>
  <si>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</si>
  <si>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</si>
  <si>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</si>
  <si>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</si>
  <si>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</si>
  <si>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</si>
  <si>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</si>
  <si>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</si>
  <si>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</si>
  <si>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</si>
  <si>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</si>
  <si>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</si>
  <si>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</si>
  <si>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</si>
  <si>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</si>
  <si>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</si>
  <si>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</si>
  <si>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</si>
  <si>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</si>
  <si>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</si>
  <si>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</si>
  <si>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</si>
  <si>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</si>
  <si>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</si>
  <si>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</si>
  <si>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</si>
  <si>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</si>
  <si>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</si>
  <si>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</si>
  <si>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</si>
  <si>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</si>
  <si>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</si>
  <si>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</si>
  <si>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</si>
  <si>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</si>
  <si>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</si>
  <si>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</si>
  <si>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</si>
  <si>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</si>
  <si>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</si>
  <si>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</si>
  <si>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</si>
  <si>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</si>
  <si>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</si>
  <si>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</si>
  <si>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</si>
  <si>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</si>
  <si>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</si>
  <si>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</si>
  <si>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</si>
  <si>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</si>
  <si>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</si>
  <si>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</si>
  <si>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</si>
  <si>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</si>
  <si>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</si>
  <si>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</si>
  <si>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</si>
  <si>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</si>
  <si>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</si>
  <si>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</si>
  <si>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</si>
  <si>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</si>
  <si>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</si>
  <si>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</si>
  <si>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</si>
  <si>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</si>
  <si>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</si>
  <si>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</si>
  <si>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</si>
  <si>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</si>
  <si>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</si>
  <si>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</si>
  <si>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</si>
  <si>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</si>
  <si>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</si>
  <si>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</si>
  <si>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</si>
  <si>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</si>
  <si>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</si>
  <si>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</si>
  <si>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</si>
  <si>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</si>
  <si>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</si>
  <si>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</si>
  <si>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</si>
  <si>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</si>
  <si>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</si>
  <si>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</si>
  <si>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</si>
  <si>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</si>
  <si>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</si>
  <si>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</si>
  <si>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</si>
  <si>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</si>
  <si>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</si>
  <si>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</si>
  <si>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</si>
  <si>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</si>
  <si>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</si>
  <si>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</si>
  <si>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</si>
  <si>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</si>
  <si>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</si>
  <si>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</si>
  <si>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</si>
  <si>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</si>
  <si>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</si>
  <si>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</si>
  <si>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</si>
  <si>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</si>
  <si>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</si>
  <si>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</si>
  <si>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</si>
  <si>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</si>
  <si>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</si>
  <si>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</si>
  <si>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</si>
  <si>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</si>
  <si>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</si>
  <si>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</si>
  <si>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</si>
  <si>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</si>
  <si>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</si>
  <si>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</si>
  <si>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</si>
  <si>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</si>
  <si>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</si>
  <si>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</si>
  <si>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</si>
  <si>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</si>
  <si>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</si>
  <si>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</si>
  <si>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</si>
  <si>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</si>
  <si>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</si>
  <si>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</si>
  <si>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</si>
  <si>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</si>
  <si>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</si>
  <si>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</si>
  <si>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</si>
  <si>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</si>
  <si>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</si>
  <si>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</si>
  <si>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</si>
  <si>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</si>
  <si>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</si>
  <si>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</si>
  <si>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</si>
  <si>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</si>
  <si>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</si>
  <si>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</si>
  <si>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</si>
  <si>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</si>
  <si>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</si>
  <si>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</si>
  <si>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</si>
  <si>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</si>
  <si>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</si>
  <si>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</si>
  <si>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</si>
  <si>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</si>
  <si>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</si>
  <si>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</si>
  <si>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</si>
  <si>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</si>
  <si>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</si>
  <si>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</si>
  <si>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</si>
  <si>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</si>
  <si>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</si>
  <si>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</si>
  <si>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</si>
  <si>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</si>
  <si>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</si>
  <si>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</si>
  <si>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</si>
  <si>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</si>
  <si>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</si>
  <si>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</si>
  <si>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</si>
  <si>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</si>
  <si>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</si>
  <si>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</si>
  <si>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</si>
  <si>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</si>
  <si>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</si>
  <si>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</si>
  <si>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</si>
  <si>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</si>
  <si>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</si>
  <si>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</si>
  <si>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</si>
  <si>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</si>
  <si>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</si>
  <si>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</si>
  <si>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</si>
  <si>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</si>
  <si>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</si>
  <si>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</si>
  <si>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</si>
  <si>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</si>
  <si>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</si>
  <si>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</si>
  <si>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</si>
  <si>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</si>
  <si>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</si>
  <si>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</si>
  <si>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</si>
  <si>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</si>
  <si>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</si>
  <si>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</si>
  <si>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</si>
  <si>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</si>
  <si>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</si>
  <si>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</si>
  <si>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</si>
  <si>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</si>
  <si>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</si>
  <si>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</si>
  <si>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</si>
  <si>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</si>
  <si>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</si>
  <si>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</si>
  <si>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</si>
  <si>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</si>
  <si>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</si>
  <si>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</si>
  <si>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</si>
  <si>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</si>
  <si>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</si>
  <si>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</si>
  <si>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</si>
  <si>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</si>
  <si>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</si>
  <si>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</si>
  <si>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</si>
  <si>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</si>
  <si>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</si>
  <si>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</si>
  <si>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</si>
  <si>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</si>
  <si>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</si>
  <si>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</si>
  <si>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</si>
  <si>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</si>
  <si>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</si>
  <si>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</si>
  <si>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</si>
  <si>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</si>
  <si>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</si>
  <si>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</si>
  <si>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</si>
  <si>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</si>
  <si>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</si>
  <si>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</si>
  <si>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</si>
  <si>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</si>
  <si>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</si>
  <si>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</si>
  <si>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</si>
  <si>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</si>
  <si>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</si>
  <si>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</si>
  <si>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</si>
  <si>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</si>
  <si>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</si>
  <si>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</si>
  <si>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</si>
  <si>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</si>
  <si>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</si>
  <si>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</si>
  <si>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</si>
  <si>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</si>
  <si>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</si>
  <si>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</si>
  <si>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</si>
  <si>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</si>
  <si>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</si>
  <si>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</si>
  <si>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</si>
  <si>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</si>
  <si>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</si>
  <si>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</si>
  <si>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</si>
  <si>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</si>
  <si>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</si>
  <si>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</si>
  <si>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</si>
  <si>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</si>
  <si>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</si>
  <si>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</si>
  <si>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</si>
  <si>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</si>
  <si>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</si>
  <si>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</si>
  <si>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</si>
  <si>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</si>
  <si>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</si>
  <si>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</si>
  <si>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</si>
  <si>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</si>
  <si>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</si>
  <si>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</si>
  <si>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</si>
  <si>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</si>
  <si>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</si>
  <si>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</si>
  <si>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</si>
  <si>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</si>
  <si>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</si>
  <si>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</si>
  <si>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</si>
  <si>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</si>
  <si>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</si>
  <si>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</si>
  <si>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</si>
  <si>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</si>
  <si>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</si>
  <si>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</si>
  <si>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</si>
  <si>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</si>
  <si>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</si>
  <si>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</si>
  <si>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</si>
  <si>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</si>
  <si>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</si>
  <si>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</si>
  <si>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</si>
  <si>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</si>
  <si>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</si>
  <si>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</si>
  <si>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</si>
  <si>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</si>
  <si>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</si>
  <si>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</si>
  <si>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</si>
  <si>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</si>
  <si>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</si>
  <si>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</si>
  <si>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</si>
  <si>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</si>
  <si>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</si>
  <si>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</si>
  <si>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</si>
  <si>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</si>
  <si>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</si>
  <si>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</si>
  <si>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</si>
  <si>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</si>
  <si>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</si>
  <si>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</si>
  <si>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</si>
  <si>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</si>
  <si>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</si>
  <si>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</si>
  <si>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</si>
  <si>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</si>
  <si>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</si>
  <si>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</si>
  <si>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</si>
  <si>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</si>
  <si>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</si>
  <si>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</si>
  <si>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</si>
  <si>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</si>
  <si>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</si>
  <si>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</si>
  <si>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</si>
  <si>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</si>
  <si>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</si>
  <si>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</si>
  <si>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</si>
  <si>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</si>
  <si>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</si>
  <si>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</si>
  <si>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</si>
  <si>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</si>
  <si>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</si>
  <si>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</si>
  <si>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</si>
  <si>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</si>
  <si>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</si>
  <si>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</si>
  <si>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</si>
  <si>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</si>
  <si>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</si>
  <si>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</si>
  <si>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</si>
  <si>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</si>
  <si>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</si>
  <si>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</si>
  <si>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</si>
  <si>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</si>
  <si>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</si>
  <si>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</si>
  <si>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</si>
  <si>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</si>
  <si>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</si>
  <si>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</si>
  <si>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</si>
  <si>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</si>
  <si>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</si>
  <si>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</si>
  <si>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</si>
  <si>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</si>
  <si>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</si>
  <si>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</si>
  <si>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</si>
  <si>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</si>
  <si>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</si>
  <si>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</si>
  <si>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</si>
  <si>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</si>
  <si>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</si>
  <si>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</si>
  <si>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</si>
  <si>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</si>
  <si>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</si>
  <si>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</si>
  <si>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</si>
  <si>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</si>
  <si>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</si>
  <si>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</si>
  <si>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</si>
  <si>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</si>
  <si>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</si>
  <si>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</si>
  <si>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</si>
  <si>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</si>
  <si>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</si>
  <si>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</si>
  <si>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</si>
  <si>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</si>
  <si>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</si>
  <si>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</si>
  <si>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</si>
  <si>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</si>
  <si>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</si>
  <si>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</si>
  <si>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</si>
  <si>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</si>
  <si>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</si>
  <si>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</si>
  <si>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</si>
  <si>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</si>
  <si>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</si>
  <si>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</si>
  <si>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</si>
  <si>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</si>
  <si>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</si>
  <si>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</si>
  <si>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</si>
  <si>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</si>
  <si>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</si>
  <si>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</si>
  <si>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</si>
  <si>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</si>
  <si>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</si>
  <si>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</si>
  <si>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</si>
  <si>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</si>
  <si>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</si>
  <si>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</si>
  <si>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</si>
  <si>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</si>
  <si>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</si>
  <si>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</si>
  <si>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</si>
  <si>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</si>
  <si>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</si>
  <si>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</si>
  <si>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</si>
  <si>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</si>
  <si>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</si>
  <si>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</si>
  <si>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</si>
  <si>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</si>
  <si>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</si>
  <si>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</si>
  <si>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</si>
  <si>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</si>
  <si>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</si>
  <si>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</si>
  <si>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</si>
  <si>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</si>
  <si>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</si>
  <si>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</si>
  <si>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</si>
  <si>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</si>
  <si>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</si>
  <si>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</si>
  <si>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</si>
  <si>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</si>
  <si>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</si>
  <si>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</si>
  <si>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</si>
  <si>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</si>
  <si>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</si>
  <si>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</si>
  <si>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</si>
  <si>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</si>
  <si>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</si>
  <si>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</si>
  <si>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</si>
  <si>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</si>
  <si>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</si>
  <si>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</si>
  <si>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</si>
  <si>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</si>
  <si>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</si>
  <si>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</si>
  <si>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</si>
  <si>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</si>
  <si>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</si>
  <si>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</si>
  <si>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</si>
  <si>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</si>
  <si>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</si>
  <si>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</si>
  <si>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</si>
  <si>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</si>
  <si>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</si>
  <si>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</si>
  <si>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</si>
  <si>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</si>
  <si>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</si>
  <si>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</si>
  <si>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</si>
  <si>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</si>
  <si>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</si>
  <si>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</si>
  <si>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</si>
  <si>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</si>
  <si>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</si>
  <si>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</si>
  <si>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</si>
  <si>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</si>
  <si>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</si>
  <si>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</si>
  <si>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</si>
  <si>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</si>
  <si>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</si>
  <si>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</si>
  <si>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</si>
  <si>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</si>
  <si>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</si>
  <si>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</si>
  <si>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</si>
  <si>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</si>
  <si>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</si>
  <si>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</si>
  <si>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</si>
  <si>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</si>
  <si>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</si>
  <si>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</si>
  <si>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</si>
  <si>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</si>
  <si>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</si>
  <si>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</si>
  <si>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</si>
  <si>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</si>
  <si>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</si>
  <si>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</si>
  <si>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</si>
  <si>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</si>
  <si>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</si>
  <si>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</si>
  <si>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</si>
  <si>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</si>
  <si>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</si>
  <si>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</si>
  <si>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</si>
  <si>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</si>
  <si>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</si>
  <si>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</si>
  <si>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</si>
  <si>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</si>
  <si>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</si>
  <si>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</si>
  <si>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</si>
  <si>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</si>
  <si>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</si>
  <si>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</si>
  <si>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</si>
  <si>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</si>
  <si>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</si>
  <si>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</si>
  <si>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</si>
  <si>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</si>
  <si>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</si>
  <si>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</si>
  <si>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</si>
  <si>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</si>
  <si>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</si>
  <si>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</si>
  <si>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</si>
  <si>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</si>
  <si>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</si>
  <si>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</si>
  <si>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</si>
  <si>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</si>
  <si>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</si>
  <si>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</si>
  <si>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</si>
  <si>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</si>
  <si>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</si>
  <si>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</si>
  <si>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</si>
  <si>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</si>
  <si>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</si>
  <si>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</si>
  <si>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</si>
  <si>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</si>
  <si>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</si>
  <si>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</si>
  <si>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</si>
  <si>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</si>
  <si>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</si>
  <si>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</si>
  <si>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</si>
  <si>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</si>
  <si>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</si>
  <si>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</si>
  <si>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</si>
  <si>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</si>
  <si>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</si>
  <si>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</si>
  <si>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</si>
  <si>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</si>
  <si>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</si>
  <si>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</si>
  <si>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</si>
  <si>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</si>
  <si>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</si>
  <si>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</si>
  <si>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</si>
  <si>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</si>
  <si>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</si>
  <si>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</si>
  <si>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</si>
  <si>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</si>
  <si>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</si>
  <si>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</si>
  <si>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</si>
  <si>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</si>
  <si>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</si>
  <si>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</si>
  <si>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</si>
  <si>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</si>
  <si>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</si>
  <si>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</si>
  <si>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</si>
  <si>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</si>
  <si>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</si>
  <si>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</si>
  <si>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</si>
  <si>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</si>
  <si>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</si>
  <si>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</si>
  <si>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</si>
  <si>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</si>
  <si>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</si>
  <si>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</si>
  <si>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</si>
  <si>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</si>
  <si>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</si>
  <si>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</si>
  <si>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</si>
  <si>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</si>
  <si>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</si>
  <si>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</si>
  <si>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</si>
  <si>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</si>
  <si>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</si>
  <si>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</si>
  <si>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</si>
  <si>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</si>
  <si>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</si>
  <si>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</si>
  <si>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</si>
  <si>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</si>
  <si>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</si>
  <si>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</si>
  <si>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</si>
  <si>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</si>
  <si>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</si>
  <si>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</si>
  <si>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</si>
  <si>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</si>
  <si>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</si>
  <si>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</si>
  <si>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</si>
  <si>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</si>
  <si>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</si>
  <si>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</si>
  <si>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</si>
  <si>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</si>
  <si>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</si>
  <si>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</si>
  <si>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</si>
  <si>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</si>
  <si>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</si>
  <si>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</si>
  <si>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</si>
  <si>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</si>
  <si>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</si>
  <si>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</si>
  <si>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</si>
  <si>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</si>
  <si>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</si>
  <si>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</si>
  <si>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</si>
  <si>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</si>
  <si>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</si>
  <si>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</si>
  <si>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</si>
  <si>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</si>
  <si>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</si>
  <si>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</si>
  <si>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</si>
  <si>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</si>
  <si>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</si>
  <si>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</si>
  <si>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</si>
  <si>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</si>
  <si>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</si>
  <si>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</si>
  <si>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</si>
  <si>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</si>
  <si>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</si>
  <si>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</si>
  <si>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</si>
  <si>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</si>
  <si>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</si>
  <si>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</si>
  <si>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</si>
  <si>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</si>
  <si>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</si>
  <si>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</si>
  <si>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</si>
  <si>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</si>
  <si>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</si>
  <si>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</si>
  <si>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</si>
  <si>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</si>
  <si>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</si>
  <si>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</si>
  <si>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</si>
  <si>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</si>
  <si>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</si>
  <si>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</si>
  <si>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</si>
  <si>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</si>
  <si>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</si>
  <si>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</si>
  <si>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</si>
  <si>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</si>
  <si>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</si>
  <si>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</si>
  <si>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</si>
  <si>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</si>
  <si>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</si>
  <si>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</si>
  <si>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</si>
  <si>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</si>
  <si>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</si>
  <si>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</si>
  <si>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</si>
  <si>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</si>
  <si>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</si>
  <si>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</si>
  <si>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</si>
  <si>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</si>
  <si>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</si>
  <si>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</si>
  <si>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</si>
  <si>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</si>
  <si>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</si>
  <si>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</si>
  <si>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</si>
  <si>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</si>
  <si>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</si>
  <si>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</si>
  <si>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</si>
  <si>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</si>
  <si>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</si>
  <si>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</si>
  <si>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</si>
  <si>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</si>
  <si>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</si>
  <si>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</si>
  <si>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</si>
  <si>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</si>
  <si>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</si>
  <si>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</si>
  <si>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</si>
  <si>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</si>
  <si>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</si>
  <si>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</si>
  <si>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</si>
  <si>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</si>
  <si>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</si>
  <si>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</si>
  <si>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</si>
  <si>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</si>
  <si>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</si>
  <si>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</si>
  <si>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</si>
  <si>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</si>
  <si>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</si>
  <si>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</si>
  <si>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</si>
  <si>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</si>
  <si>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</si>
  <si>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</si>
  <si>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</si>
  <si>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</si>
  <si>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</si>
  <si>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</si>
  <si>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</si>
  <si>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</si>
  <si>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</si>
  <si>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</si>
  <si>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</si>
  <si>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</si>
  <si>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</si>
  <si>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</si>
  <si>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</si>
  <si>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</si>
  <si>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</si>
  <si>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</si>
  <si>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</si>
  <si>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</si>
  <si>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</si>
  <si>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</si>
  <si>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</si>
  <si>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</si>
  <si>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</si>
  <si>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</si>
  <si>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</si>
  <si>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</si>
  <si>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</si>
  <si>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</si>
  <si>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</si>
  <si>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</si>
  <si>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</si>
  <si>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</si>
  <si>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</si>
  <si>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</si>
  <si>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</si>
  <si>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</si>
  <si>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</si>
  <si>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</si>
  <si>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</si>
  <si>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</si>
  <si>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</si>
  <si>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</si>
  <si>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</si>
  <si>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</si>
  <si>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</si>
  <si>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</si>
  <si>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</si>
  <si>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</si>
  <si>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</si>
  <si>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</si>
  <si>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</si>
  <si>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</si>
  <si>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</si>
  <si>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</si>
  <si>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</si>
  <si>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</si>
  <si>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</si>
  <si>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</si>
  <si>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</si>
  <si>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</si>
  <si>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</si>
  <si>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</si>
  <si>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</si>
  <si>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</si>
  <si>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</si>
  <si>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</si>
  <si>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</si>
  <si>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</si>
  <si>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</si>
  <si>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</si>
  <si>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</si>
  <si>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</si>
  <si>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</si>
  <si>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</si>
  <si>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</si>
  <si>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</si>
  <si>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</si>
  <si>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</si>
  <si>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</si>
  <si>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</si>
  <si>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</si>
  <si>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</si>
  <si>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</si>
  <si>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</si>
  <si>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</si>
  <si>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</si>
  <si>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</si>
  <si>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</si>
  <si>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</si>
  <si>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</si>
  <si>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</si>
  <si>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</si>
  <si>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</si>
  <si>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</si>
  <si>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</si>
  <si>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</si>
  <si>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</si>
  <si>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</si>
  <si>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</si>
  <si>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</si>
  <si>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</si>
  <si>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</si>
  <si>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</si>
  <si>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</si>
  <si>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</si>
  <si>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</si>
  <si>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</si>
  <si>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</si>
  <si>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</si>
  <si>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</si>
  <si>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</si>
  <si>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</si>
  <si>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</si>
  <si>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</si>
  <si>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</si>
  <si>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</si>
  <si>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</si>
  <si>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</si>
  <si>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</si>
  <si>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</si>
  <si>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</si>
  <si>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</si>
  <si>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</si>
  <si>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</si>
  <si>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</si>
  <si>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</si>
  <si>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</si>
  <si>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</si>
  <si>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</si>
  <si>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</si>
  <si>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</si>
  <si>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</si>
  <si>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</si>
  <si>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</si>
  <si>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</si>
  <si>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</si>
  <si>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</si>
  <si>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</si>
  <si>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</si>
  <si>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</si>
  <si>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</si>
  <si>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</si>
  <si>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</si>
  <si>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</si>
  <si>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</si>
  <si>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</si>
  <si>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</si>
  <si>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</si>
  <si>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</si>
  <si>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</si>
  <si>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</si>
  <si>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</si>
  <si>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</si>
  <si>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</si>
  <si>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</si>
  <si>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</si>
  <si>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</si>
  <si>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</si>
  <si>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</si>
  <si>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</si>
  <si>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</si>
  <si>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</si>
  <si>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</si>
  <si>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</si>
  <si>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</si>
  <si>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</si>
  <si>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</si>
  <si>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</si>
  <si>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</si>
  <si>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</si>
  <si>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</si>
  <si>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</si>
  <si>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</si>
  <si>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</si>
  <si>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</si>
  <si>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</si>
  <si>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</si>
  <si>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</si>
  <si>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</si>
  <si>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</si>
  <si>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</si>
  <si>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</si>
  <si>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</si>
  <si>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</si>
  <si>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</si>
  <si>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</si>
  <si>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</si>
  <si>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</si>
  <si>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</si>
  <si>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</si>
  <si>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</si>
  <si>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</si>
  <si>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</si>
  <si>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</si>
  <si>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</si>
  <si>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</si>
  <si>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</si>
  <si>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</si>
  <si>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</si>
  <si>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</si>
  <si>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</si>
  <si>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</si>
  <si>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</si>
  <si>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</si>
  <si>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</si>
  <si>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</si>
  <si>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</si>
  <si>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</si>
  <si>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</si>
  <si>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</si>
  <si>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</si>
  <si>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</si>
  <si>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</si>
  <si>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</si>
  <si>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</si>
  <si>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</si>
  <si>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</si>
  <si>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</si>
  <si>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</si>
  <si>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</si>
  <si>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</si>
  <si>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</si>
  <si>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</si>
  <si>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</si>
  <si>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</si>
  <si>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</si>
  <si>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</si>
  <si>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</si>
  <si>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</si>
  <si>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</si>
  <si>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</si>
  <si>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</si>
  <si>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</si>
  <si>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</si>
  <si>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</si>
  <si>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</si>
  <si>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</si>
  <si>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</si>
  <si>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</si>
  <si>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</si>
  <si>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</si>
  <si>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</si>
  <si>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</si>
  <si>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</si>
  <si>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</si>
  <si>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</si>
  <si>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</si>
  <si>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</si>
  <si>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</si>
  <si>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</si>
  <si>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</si>
  <si>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</si>
  <si>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</si>
  <si>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</si>
  <si>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</si>
  <si>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</si>
  <si>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</si>
  <si>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</si>
  <si>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</si>
  <si>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</si>
  <si>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</si>
  <si>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</si>
  <si>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</si>
  <si>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</si>
  <si>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</si>
  <si>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</si>
  <si>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</si>
  <si>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</si>
  <si>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</si>
  <si>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</si>
  <si>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</si>
  <si>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</si>
  <si>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</si>
  <si>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</si>
  <si>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</si>
  <si>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</si>
  <si>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</si>
  <si>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</si>
  <si>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</si>
  <si>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</si>
  <si>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</si>
  <si>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</si>
  <si>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</si>
  <si>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</si>
  <si>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</si>
  <si>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</si>
  <si>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</si>
  <si>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</si>
  <si>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</si>
  <si>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</si>
  <si>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</si>
  <si>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</si>
  <si>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</si>
  <si>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</si>
  <si>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</si>
  <si>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</si>
  <si>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</si>
  <si>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</si>
  <si>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</si>
  <si>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</si>
  <si>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</si>
  <si>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</si>
  <si>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</si>
  <si>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</si>
  <si>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</si>
  <si>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</si>
  <si>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</si>
  <si>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</si>
  <si>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</si>
  <si>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</si>
  <si>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</si>
  <si>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</si>
  <si>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</si>
  <si>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</si>
  <si>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</si>
  <si>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</si>
  <si>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</si>
  <si>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</si>
  <si>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</si>
  <si>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</si>
  <si>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</si>
  <si>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</si>
  <si>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</si>
  <si>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</si>
  <si>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</si>
  <si>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</si>
  <si>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</si>
  <si>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</si>
  <si>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</si>
  <si>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</si>
  <si>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</si>
  <si>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</si>
  <si>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</si>
  <si>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</si>
  <si>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</si>
  <si>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</si>
  <si>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</si>
  <si>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</si>
  <si>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</si>
  <si>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</si>
  <si>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</si>
  <si>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</si>
  <si>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</si>
  <si>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</si>
  <si>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</si>
  <si>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</si>
  <si>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</si>
  <si>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</si>
  <si>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</si>
  <si>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</si>
  <si>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</si>
  <si>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</si>
  <si>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</si>
  <si>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</si>
  <si>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</si>
  <si>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</si>
  <si>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</si>
  <si>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</si>
  <si>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</si>
  <si>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</si>
  <si>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</si>
  <si>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</si>
  <si>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</si>
  <si>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</si>
  <si>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</si>
  <si>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</si>
  <si>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</si>
  <si>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</si>
  <si>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</si>
  <si>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</si>
  <si>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</si>
  <si>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</si>
  <si>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</si>
  <si>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</si>
  <si>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</si>
  <si>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</si>
  <si>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</si>
  <si>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</si>
  <si>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</si>
  <si>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</si>
  <si>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</si>
  <si>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</si>
  <si>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</si>
  <si>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</si>
  <si>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</si>
  <si>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</si>
  <si>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</si>
  <si>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</si>
  <si>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</si>
  <si>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</si>
  <si>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</si>
  <si>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</si>
  <si>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</si>
  <si>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</si>
  <si>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</si>
  <si>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</si>
  <si>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</si>
  <si>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</si>
  <si>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</si>
  <si>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</si>
  <si>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</si>
  <si>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</si>
  <si>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</si>
  <si>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</si>
  <si>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</si>
  <si>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</si>
  <si>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</si>
  <si>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</si>
  <si>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</si>
  <si>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</si>
  <si>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</si>
  <si>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</si>
  <si>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</si>
  <si>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</si>
  <si>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</si>
  <si>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</si>
  <si>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</si>
  <si>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</si>
  <si>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</si>
  <si>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</si>
  <si>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</si>
  <si>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</si>
  <si>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</si>
  <si>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</si>
  <si>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</si>
  <si>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</si>
  <si>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</si>
  <si>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</si>
  <si>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</si>
  <si>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</si>
  <si>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</si>
  <si>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</si>
  <si>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</si>
  <si>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</si>
  <si>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</si>
  <si>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</si>
  <si>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</si>
  <si>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</si>
  <si>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</si>
  <si>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</si>
  <si>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</si>
  <si>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</si>
  <si>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</si>
  <si>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</si>
  <si>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</si>
  <si>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</si>
  <si>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</si>
  <si>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</si>
  <si>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</si>
  <si>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</si>
  <si>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</si>
  <si>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</si>
  <si>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</si>
  <si>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</si>
  <si>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</si>
  <si>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</si>
  <si>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</si>
  <si>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</si>
  <si>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</si>
  <si>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</si>
  <si>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</si>
  <si>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</si>
  <si>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</si>
  <si>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</si>
  <si>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</si>
  <si>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</si>
  <si>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</si>
  <si>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</si>
  <si>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</si>
  <si>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</si>
  <si>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</si>
  <si>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</si>
  <si>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</si>
  <si>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</si>
  <si>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</si>
  <si>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</si>
  <si>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</si>
  <si>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</si>
  <si>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</si>
  <si>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</si>
  <si>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</si>
  <si>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</si>
  <si>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</si>
  <si>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</si>
  <si>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</si>
  <si>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</si>
  <si>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</si>
  <si>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</si>
  <si>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</si>
  <si>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</si>
  <si>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</si>
  <si>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</si>
  <si>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</si>
  <si>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</si>
  <si>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</si>
  <si>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</si>
  <si>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</si>
  <si>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</si>
  <si>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</si>
  <si>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</si>
  <si>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</si>
  <si>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</si>
  <si>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</si>
  <si>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</si>
  <si>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</si>
  <si>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</si>
  <si>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</si>
  <si>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</si>
  <si>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</si>
  <si>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</si>
  <si>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</si>
  <si>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</si>
  <si>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</si>
  <si>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</si>
  <si>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</si>
  <si>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</si>
  <si>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</si>
  <si>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</si>
  <si>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</si>
  <si>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</si>
  <si>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</si>
  <si>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</si>
  <si>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</si>
  <si>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</si>
  <si>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</si>
  <si>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</si>
  <si>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</si>
  <si>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</si>
  <si>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</si>
  <si>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</si>
  <si>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</si>
  <si>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</si>
  <si>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</si>
  <si>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</si>
  <si>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</si>
  <si>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</si>
  <si>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</si>
  <si>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</si>
  <si>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</si>
  <si>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</si>
  <si>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</si>
  <si>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</si>
  <si>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</si>
  <si>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</si>
  <si>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</si>
  <si>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</si>
  <si>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</si>
  <si>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</si>
  <si>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</si>
  <si>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</si>
  <si>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</si>
  <si>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</si>
  <si>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</si>
  <si>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</si>
  <si>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</si>
  <si>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</si>
  <si>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</si>
  <si>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</si>
  <si>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</si>
  <si>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</si>
  <si>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</si>
  <si>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</si>
  <si>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</si>
  <si>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</si>
  <si>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</si>
  <si>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</si>
  <si>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</si>
  <si>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</si>
  <si>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</si>
  <si>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</si>
  <si>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</si>
  <si>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</si>
  <si>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</si>
  <si>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</si>
  <si>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</si>
  <si>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</si>
  <si>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</si>
  <si>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</si>
  <si>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</si>
  <si>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</si>
  <si>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</si>
  <si>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</si>
  <si>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</si>
  <si>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</si>
  <si>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</si>
  <si>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</si>
  <si>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</si>
  <si>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</si>
  <si>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</si>
  <si>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</si>
  <si>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</si>
  <si>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</si>
  <si>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</si>
  <si>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</si>
  <si>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</si>
  <si>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</si>
  <si>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</si>
  <si>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</si>
  <si>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</si>
  <si>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</si>
  <si>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</si>
  <si>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</si>
  <si>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</si>
  <si>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</si>
  <si>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</si>
  <si>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</si>
  <si>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</si>
  <si>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</si>
  <si>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</si>
  <si>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</si>
  <si>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</si>
  <si>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</si>
  <si>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</si>
  <si>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</si>
  <si>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</si>
  <si>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</si>
  <si>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</si>
  <si>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</si>
  <si>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</si>
  <si>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</si>
  <si>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</si>
  <si>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</si>
  <si>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</si>
  <si>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</si>
  <si>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</si>
  <si>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</si>
  <si>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</si>
  <si>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</si>
  <si>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</si>
  <si>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</si>
  <si>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</si>
  <si>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</si>
  <si>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</si>
  <si>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</si>
  <si>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</si>
  <si>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</si>
  <si>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</si>
  <si>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</si>
  <si>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</si>
  <si>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</si>
  <si>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</si>
  <si>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</si>
  <si>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</si>
  <si>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</si>
  <si>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</si>
  <si>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</si>
  <si>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</si>
  <si>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</si>
  <si>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</si>
  <si>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</si>
  <si>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</si>
  <si>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</si>
  <si>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</si>
  <si>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</si>
  <si>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</si>
  <si>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</si>
  <si>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</si>
  <si>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</si>
  <si>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</si>
  <si>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</si>
  <si>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</si>
  <si>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</si>
  <si>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</si>
  <si>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</si>
  <si>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</si>
  <si>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</si>
  <si>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</si>
  <si>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</si>
  <si>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</si>
  <si>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</si>
  <si>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</si>
  <si>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</si>
  <si>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</si>
  <si>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</si>
  <si>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</si>
  <si>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</si>
  <si>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</si>
  <si>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</si>
  <si>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</si>
  <si>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</si>
  <si>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</si>
  <si>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</si>
  <si>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</si>
  <si>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</si>
  <si>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</si>
  <si>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</si>
  <si>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</si>
  <si>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</si>
  <si>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</si>
  <si>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</si>
  <si>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</si>
  <si>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</si>
  <si>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</si>
  <si>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</si>
  <si>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</si>
  <si>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</si>
  <si>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</si>
  <si>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</si>
  <si>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</si>
  <si>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</si>
  <si>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</si>
  <si>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</si>
  <si>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</si>
  <si>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</si>
  <si>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</si>
  <si>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</si>
  <si>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</si>
  <si>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</si>
  <si>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</si>
  <si>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</si>
  <si>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</si>
  <si>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</si>
  <si>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</si>
  <si>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</si>
  <si>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</si>
  <si>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</si>
  <si>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</si>
  <si>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</si>
  <si>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</si>
  <si>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</si>
  <si>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</si>
  <si>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</si>
  <si>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</si>
  <si>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</si>
  <si>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</si>
  <si>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</si>
  <si>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</si>
  <si>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</si>
  <si>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</si>
  <si>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</si>
  <si>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</si>
  <si>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</si>
  <si>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</si>
  <si>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</si>
  <si>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</si>
  <si>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</si>
  <si>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</si>
  <si>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</si>
  <si>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</si>
  <si>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</si>
  <si>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</si>
  <si>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</si>
  <si>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</si>
  <si>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</si>
  <si>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</si>
  <si>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</si>
  <si>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</si>
  <si>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</si>
  <si>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</si>
  <si>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</si>
  <si>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</si>
  <si>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</si>
  <si>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</si>
  <si>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</si>
  <si>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</si>
  <si>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</si>
  <si>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</si>
  <si>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</si>
  <si>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</si>
  <si>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</si>
  <si>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</si>
  <si>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</si>
  <si>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</si>
  <si>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</si>
  <si>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</si>
  <si>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</si>
  <si>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</si>
  <si>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</si>
  <si>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</si>
  <si>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</si>
  <si>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</si>
  <si>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</si>
  <si>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</si>
  <si>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</si>
  <si>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</si>
  <si>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</si>
  <si>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</si>
  <si>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</si>
  <si>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</si>
  <si>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</si>
  <si>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</si>
  <si>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</si>
  <si>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</si>
  <si>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</si>
  <si>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</si>
  <si>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</si>
  <si>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</si>
  <si>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</si>
  <si>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</si>
  <si>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</si>
  <si>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</si>
  <si>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</si>
  <si>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</si>
  <si>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</si>
  <si>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</si>
  <si>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</si>
  <si>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</si>
  <si>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</si>
  <si>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</si>
  <si>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</si>
  <si>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</si>
  <si>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</si>
  <si>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</si>
  <si>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</si>
  <si>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</si>
  <si>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</si>
  <si>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</si>
  <si>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</si>
  <si>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</si>
  <si>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</si>
  <si>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</si>
  <si>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</si>
  <si>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</si>
  <si>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</si>
  <si>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</si>
  <si>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</si>
  <si>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</si>
  <si>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</si>
  <si>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</si>
  <si>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</si>
  <si>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</si>
  <si>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</si>
  <si>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</si>
  <si>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</si>
  <si>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</si>
  <si>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</si>
  <si>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</si>
  <si>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</si>
  <si>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</si>
  <si>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</si>
  <si>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</si>
  <si>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</si>
  <si>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</si>
  <si>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</si>
  <si>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</si>
  <si>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</si>
  <si>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</si>
  <si>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</si>
  <si>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</si>
  <si>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</si>
  <si>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</si>
  <si>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</si>
  <si>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</si>
  <si>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</si>
  <si>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</si>
  <si>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</si>
  <si>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</si>
  <si>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</si>
  <si>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</si>
  <si>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</si>
  <si>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</si>
  <si>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</si>
  <si>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</si>
  <si>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</si>
  <si>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</si>
  <si>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</si>
  <si>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</si>
  <si>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</si>
  <si>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</si>
  <si>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</si>
  <si>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</si>
  <si>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</si>
  <si>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</si>
  <si>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</si>
  <si>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</si>
  <si>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</si>
  <si>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</si>
  <si>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</si>
  <si>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</si>
  <si>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</si>
  <si>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</si>
  <si>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</si>
  <si>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</si>
  <si>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</si>
  <si>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</si>
  <si>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</si>
  <si>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</si>
  <si>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</si>
  <si>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</si>
  <si>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</si>
  <si>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</si>
  <si>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</si>
  <si>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</si>
  <si>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</si>
  <si>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</si>
  <si>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</si>
  <si>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</si>
  <si>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</si>
  <si>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</si>
  <si>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</si>
  <si>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</si>
  <si>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</si>
  <si>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</si>
  <si>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</si>
  <si>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</si>
  <si>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</si>
  <si>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</si>
  <si>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</si>
  <si>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</si>
  <si>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</si>
  <si>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</si>
  <si>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</si>
  <si>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</si>
  <si>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</si>
  <si>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</si>
  <si>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</si>
  <si>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</si>
  <si>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</si>
  <si>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</si>
  <si>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</si>
  <si>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</si>
  <si>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</si>
  <si>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</si>
  <si>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</si>
  <si>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</si>
  <si>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</si>
  <si>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</si>
  <si>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</si>
  <si>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</si>
  <si>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</si>
  <si>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</si>
  <si>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</si>
  <si>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</si>
  <si>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</si>
  <si>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</si>
  <si>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</si>
  <si>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</si>
  <si>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</si>
  <si>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</si>
  <si>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</si>
  <si>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</si>
  <si>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</si>
  <si>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</si>
  <si>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</si>
  <si>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</si>
  <si>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</si>
  <si>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</si>
  <si>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</si>
  <si>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</si>
  <si>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</si>
  <si>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</si>
  <si>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</si>
  <si>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</si>
  <si>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</si>
  <si>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</si>
  <si>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</si>
  <si>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</si>
  <si>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</si>
  <si>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</si>
  <si>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</si>
  <si>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</si>
  <si>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</si>
  <si>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</si>
  <si>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</si>
  <si>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</si>
  <si>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</si>
  <si>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</si>
  <si>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</si>
  <si>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</si>
  <si>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</si>
  <si>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</si>
  <si>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</si>
  <si>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</si>
  <si>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</si>
  <si>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</si>
  <si>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</si>
  <si>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</si>
  <si>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</si>
  <si>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</si>
  <si>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</si>
  <si>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</si>
  <si>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</si>
  <si>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</si>
  <si>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</si>
  <si>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</si>
  <si>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</si>
  <si>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</si>
  <si>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</si>
  <si>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</si>
  <si>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</si>
  <si>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</si>
  <si>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</si>
  <si>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</si>
  <si>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</si>
  <si>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</si>
  <si>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</si>
  <si>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</si>
  <si>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</si>
  <si>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</si>
  <si>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</si>
  <si>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</si>
  <si>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</si>
  <si>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</si>
  <si>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</si>
  <si>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</si>
  <si>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</si>
  <si>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</si>
  <si>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</si>
  <si>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</si>
  <si>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</si>
  <si>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</si>
  <si>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</si>
  <si>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</si>
  <si>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</si>
  <si>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</si>
  <si>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</si>
  <si>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</si>
  <si>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</si>
  <si>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</si>
  <si>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</si>
  <si>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</si>
  <si>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</si>
  <si>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</si>
  <si>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</si>
  <si>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</si>
  <si>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</si>
  <si>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</si>
  <si>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</si>
  <si>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</si>
  <si>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</si>
  <si>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</si>
  <si>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</si>
  <si>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</si>
  <si>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</si>
  <si>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</si>
  <si>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</si>
  <si>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</si>
  <si>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</si>
  <si>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</si>
  <si>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</si>
  <si>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</si>
  <si>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</si>
  <si>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</si>
  <si>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</si>
  <si>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</si>
  <si>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</si>
  <si>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</si>
  <si>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</si>
  <si>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</si>
  <si>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</si>
  <si>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</si>
  <si>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</si>
  <si>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</si>
  <si>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</si>
  <si>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</si>
  <si>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</si>
  <si>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</si>
  <si>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</si>
  <si>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</si>
  <si>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</si>
  <si>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</si>
  <si>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</si>
  <si>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</si>
  <si>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</si>
  <si>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</si>
  <si>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</si>
  <si>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</si>
  <si>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</si>
  <si>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</si>
  <si>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</si>
  <si>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</si>
  <si>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</si>
  <si>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</si>
  <si>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</si>
  <si>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</si>
  <si>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</si>
  <si>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</si>
  <si>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</si>
  <si>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</si>
  <si>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</si>
  <si>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</si>
  <si>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</si>
  <si>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</si>
  <si>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</si>
  <si>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</si>
  <si>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</si>
  <si>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</si>
  <si>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</si>
  <si>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</si>
  <si>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</si>
  <si>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</si>
  <si>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</si>
  <si>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</si>
  <si>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</si>
  <si>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</si>
  <si>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</si>
  <si>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</si>
  <si>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</si>
  <si>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</si>
  <si>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</si>
  <si>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</si>
  <si>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</si>
  <si>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</si>
  <si>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</si>
  <si>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</si>
  <si>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</si>
  <si>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</si>
  <si>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</si>
  <si>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</si>
  <si>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</si>
  <si>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</si>
  <si>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</si>
  <si>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</si>
  <si>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</si>
  <si>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</si>
  <si>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</si>
  <si>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</si>
  <si>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</si>
  <si>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</si>
  <si>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</si>
  <si>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</si>
  <si>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</si>
  <si>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</si>
  <si>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</si>
  <si>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</si>
  <si>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</si>
  <si>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</si>
  <si>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</si>
  <si>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</si>
  <si>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</si>
  <si>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</si>
  <si>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</si>
  <si>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</si>
  <si>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</si>
  <si>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</si>
  <si>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</si>
  <si>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</si>
  <si>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</si>
  <si>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</si>
  <si>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</si>
  <si>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</si>
  <si>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</si>
  <si>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</si>
  <si>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</si>
  <si>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</si>
  <si>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</si>
  <si>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</si>
  <si>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</si>
  <si>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</si>
  <si>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</si>
  <si>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</si>
  <si>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</si>
  <si>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</si>
  <si>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</si>
  <si>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</si>
  <si>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</si>
  <si>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</si>
  <si>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</si>
  <si>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</si>
  <si>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</si>
  <si>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</si>
  <si>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</si>
  <si>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</si>
  <si>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</si>
  <si>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</si>
  <si>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</si>
  <si>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</si>
  <si>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</si>
  <si>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</si>
  <si>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</si>
  <si>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</si>
  <si>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</si>
  <si>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</si>
  <si>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</si>
  <si>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</si>
  <si>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</si>
  <si>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</si>
  <si>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</si>
  <si>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</si>
  <si>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</si>
  <si>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</si>
  <si>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</si>
  <si>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</si>
  <si>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</si>
  <si>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</si>
  <si>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</si>
  <si>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</si>
  <si>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</si>
  <si>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</si>
  <si>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</si>
  <si>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</si>
  <si>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</si>
  <si>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</si>
  <si>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</si>
  <si>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</si>
  <si>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</si>
  <si>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</si>
  <si>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</si>
  <si>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</si>
  <si>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</si>
  <si>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</si>
  <si>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</si>
  <si>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</si>
  <si>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</si>
  <si>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</si>
  <si>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</si>
  <si>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</si>
  <si>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</si>
  <si>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</si>
  <si>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</si>
  <si>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</si>
  <si>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</si>
  <si>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</si>
  <si>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</si>
  <si>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</si>
  <si>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</si>
  <si>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</si>
  <si>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</si>
  <si>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</si>
  <si>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</si>
  <si>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</si>
  <si>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</si>
  <si>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</si>
  <si>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</si>
  <si>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</si>
  <si>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</si>
  <si>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</si>
  <si>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</si>
  <si>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</si>
  <si>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</si>
  <si>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</si>
  <si>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</si>
  <si>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</si>
  <si>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</si>
  <si>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</si>
  <si>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</si>
  <si>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</si>
  <si>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</si>
  <si>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</si>
  <si>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</si>
  <si>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</si>
  <si>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</si>
  <si>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</si>
  <si>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</si>
  <si>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</si>
  <si>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</si>
  <si>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</si>
  <si>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</si>
  <si>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</si>
  <si>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</si>
  <si>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</si>
  <si>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</si>
  <si>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</si>
  <si>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</si>
  <si>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</si>
  <si>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</si>
  <si>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</si>
  <si>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</si>
  <si>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</si>
  <si>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</si>
  <si>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</si>
  <si>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</si>
  <si>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</si>
  <si>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</si>
  <si>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</si>
  <si>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</si>
  <si>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</si>
  <si>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</si>
  <si>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</si>
  <si>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</si>
  <si>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</si>
  <si>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</si>
  <si>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</si>
  <si>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</si>
  <si>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</si>
  <si>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</si>
  <si>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</si>
  <si>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</si>
  <si>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</si>
  <si>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</si>
  <si>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</si>
  <si>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</si>
  <si>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</si>
  <si>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</si>
  <si>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</si>
  <si>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</si>
  <si>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</si>
  <si>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</si>
  <si>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</si>
  <si>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</si>
  <si>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</si>
  <si>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</si>
  <si>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</si>
  <si>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</si>
  <si>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</si>
  <si>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</si>
  <si>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</si>
  <si>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</si>
  <si>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</si>
  <si>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</si>
  <si>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</si>
  <si>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</si>
  <si>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</si>
  <si>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</si>
  <si>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</si>
  <si>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</si>
  <si>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</si>
  <si>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</si>
  <si>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</si>
  <si>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</si>
  <si>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</si>
  <si>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</si>
  <si>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</si>
  <si>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</si>
  <si>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</si>
  <si>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</si>
  <si>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</si>
  <si>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</si>
  <si>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</si>
  <si>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</si>
  <si>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</si>
  <si>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</si>
  <si>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</si>
  <si>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</si>
  <si>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</si>
  <si>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</si>
  <si>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</si>
  <si>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</si>
  <si>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</si>
  <si>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</si>
  <si>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</si>
  <si>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</si>
  <si>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</si>
  <si>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</si>
  <si>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</si>
  <si>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</si>
  <si>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</si>
  <si>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</si>
  <si>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</si>
  <si>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</si>
  <si>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</si>
  <si>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</si>
  <si>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</si>
  <si>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</si>
  <si>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</si>
  <si>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</si>
  <si>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</si>
  <si>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</si>
  <si>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</si>
  <si>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</si>
  <si>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</si>
  <si>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</si>
  <si>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</si>
  <si>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</si>
  <si>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</si>
  <si>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</si>
  <si>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</si>
  <si>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</si>
  <si>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</si>
  <si>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</si>
  <si>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</si>
  <si>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</si>
  <si>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</si>
  <si>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</si>
  <si>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</si>
  <si>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</si>
  <si>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</si>
  <si>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</si>
  <si>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</si>
  <si>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</si>
  <si>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</si>
  <si>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</si>
  <si>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</si>
  <si>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</si>
  <si>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</si>
  <si>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</si>
  <si>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</si>
  <si>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</si>
  <si>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</si>
  <si>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</si>
  <si>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</si>
  <si>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</si>
  <si>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</si>
  <si>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</si>
  <si>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</si>
  <si>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</si>
  <si>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</si>
  <si>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</si>
  <si>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</si>
  <si>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</si>
  <si>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</si>
  <si>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</si>
  <si>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</si>
  <si>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</si>
  <si>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</si>
  <si>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</si>
  <si>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</si>
  <si>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</si>
  <si>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</si>
  <si>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</si>
  <si>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</si>
  <si>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</si>
  <si>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</si>
  <si>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</si>
  <si>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</si>
  <si>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</si>
  <si>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</si>
  <si>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</si>
  <si>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</si>
  <si>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</si>
  <si>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</si>
  <si>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</si>
  <si>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</si>
  <si>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</si>
  <si>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</si>
  <si>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</si>
  <si>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</si>
  <si>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</si>
  <si>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</si>
  <si>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</si>
  <si>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</si>
  <si>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</si>
  <si>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</si>
  <si>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</si>
  <si>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</si>
  <si>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</si>
  <si>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</si>
  <si>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</si>
  <si>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</si>
  <si>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</si>
  <si>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</si>
  <si>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</si>
  <si>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</si>
  <si>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</si>
  <si>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</si>
  <si>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</si>
  <si>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</si>
  <si>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</si>
  <si>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</si>
  <si>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</si>
  <si>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</si>
  <si>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</si>
  <si>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</si>
  <si>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</si>
  <si>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</si>
  <si>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</si>
  <si>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</si>
  <si>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</si>
  <si>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</si>
  <si>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</si>
  <si>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</si>
  <si>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</si>
  <si>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</si>
  <si>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</si>
  <si>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</si>
  <si>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</si>
  <si>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</si>
  <si>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</si>
  <si>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</si>
  <si>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</si>
  <si>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</si>
  <si>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</si>
  <si>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</si>
  <si>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</si>
  <si>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</si>
  <si>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</si>
  <si>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</si>
  <si>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</si>
  <si>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</si>
  <si>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</si>
  <si>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</si>
  <si>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</si>
  <si>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</si>
  <si>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</si>
  <si>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</si>
  <si>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</si>
  <si>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</si>
  <si>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</si>
  <si>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</si>
  <si>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</si>
  <si>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</si>
  <si>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</si>
  <si>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</si>
  <si>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</si>
  <si>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</si>
  <si>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</si>
  <si>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</si>
  <si>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刘俊财</t>
    <phoneticPr fontId="4" type="noConversion"/>
  </si>
  <si>
    <t>2020-1</t>
    <phoneticPr fontId="4" type="noConversion"/>
  </si>
  <si>
    <t>刘俊财</t>
    <phoneticPr fontId="4" type="noConversion"/>
  </si>
  <si>
    <t>土地证</t>
    <phoneticPr fontId="229" type="noConversion"/>
  </si>
  <si>
    <t>证号</t>
    <phoneticPr fontId="229" type="noConversion"/>
  </si>
  <si>
    <t>渝（2017）潼南区不动产权第001268331号</t>
    <phoneticPr fontId="229" type="noConversion"/>
  </si>
  <si>
    <t>权利人</t>
    <phoneticPr fontId="229" type="noConversion"/>
  </si>
  <si>
    <t>重庆盛皇房地产开发有限公司</t>
    <phoneticPr fontId="229" type="noConversion"/>
  </si>
  <si>
    <t>坐落</t>
    <phoneticPr fontId="229" type="noConversion"/>
  </si>
  <si>
    <t>潼南区梓潼街道办凉风垭C2-3-04（1）号地块</t>
    <phoneticPr fontId="229" type="noConversion"/>
  </si>
  <si>
    <t>用途</t>
    <phoneticPr fontId="229" type="noConversion"/>
  </si>
  <si>
    <t>城镇住宅用地</t>
    <phoneticPr fontId="229" type="noConversion"/>
  </si>
  <si>
    <t>面积</t>
    <phoneticPr fontId="229" type="noConversion"/>
  </si>
  <si>
    <t>使用期限</t>
    <phoneticPr fontId="229" type="noConversion"/>
  </si>
  <si>
    <t>土地合同</t>
    <phoneticPr fontId="229" type="noConversion"/>
  </si>
  <si>
    <t>电子监管号</t>
    <phoneticPr fontId="229" type="noConversion"/>
  </si>
  <si>
    <t>5002232013B00907</t>
    <phoneticPr fontId="229" type="noConversion"/>
  </si>
  <si>
    <t>宗地编号</t>
    <phoneticPr fontId="229" type="noConversion"/>
  </si>
  <si>
    <t>TN2013-35</t>
    <phoneticPr fontId="229" type="noConversion"/>
  </si>
  <si>
    <t>宗地面积</t>
    <phoneticPr fontId="229" type="noConversion"/>
  </si>
  <si>
    <t>建筑总面积</t>
    <phoneticPr fontId="229" type="noConversion"/>
  </si>
  <si>
    <t>容积率</t>
    <phoneticPr fontId="229" type="noConversion"/>
  </si>
  <si>
    <t>地价款</t>
    <phoneticPr fontId="229" type="noConversion"/>
  </si>
  <si>
    <t>每平方米地价</t>
    <phoneticPr fontId="229"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</si>
  <si>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</si>
  <si>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</si>
  <si>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</si>
  <si>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</si>
  <si>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</si>
  <si>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</si>
  <si>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</si>
  <si>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</si>
  <si>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</si>
  <si>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</si>
  <si>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</si>
  <si>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</si>
  <si>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</si>
  <si>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潼南工业园区南区C6-01-01/03号地块</t>
  </si>
  <si>
    <t>重庆市</t>
  </si>
  <si>
    <t>住宅用地</t>
  </si>
  <si>
    <t>大于1并且小于或等于1.8</t>
  </si>
  <si>
    <t>挂牌</t>
  </si>
  <si>
    <t>2020-01-16</t>
  </si>
  <si>
    <t>重庆市潼南区潼高商业管理有限公司</t>
  </si>
  <si>
    <t>2星</t>
  </si>
  <si>
    <t>2019-12-19</t>
  </si>
  <si>
    <t>重庆市潼南区城市建设投资(集团)有限公司</t>
  </si>
  <si>
    <t>3星</t>
  </si>
  <si>
    <t>潼南金福新区A23号地块</t>
  </si>
  <si>
    <t>潼南金福新区A6号地块</t>
  </si>
  <si>
    <t>潼南金福新区A10号地块</t>
  </si>
  <si>
    <t>潼南金福新区A12号地块</t>
  </si>
  <si>
    <t>大于1并且小于或等于1.5</t>
  </si>
  <si>
    <t>潼南工业园区南区创意大道(规划地块编号:潼南工业园区(南区)F-69-06号地块</t>
  </si>
  <si>
    <t>大于1并且小于或等于2</t>
  </si>
  <si>
    <t>2019-11-13</t>
  </si>
  <si>
    <t>重庆市潼南区工业投资开发(集团)有限公司</t>
  </si>
  <si>
    <t>潼南区梓潼街道大佛寺片区佛缘路(规划编号:潼南大佛寺片区E-59-01/01号地块)</t>
  </si>
  <si>
    <t>大于1并且小于或等于1.2</t>
  </si>
  <si>
    <t>重庆大弘国邦文化旅游发展有限公司</t>
  </si>
  <si>
    <t>潼南区江北新城金佛大桥右侧涪江与人工运河之间(规划地块编号:潼南江北片区B-100-4号地块)</t>
  </si>
  <si>
    <t>综合用地(含住宅)</t>
  </si>
  <si>
    <t>≤2.05</t>
  </si>
  <si>
    <t>拍卖</t>
  </si>
  <si>
    <t>2019-10-10</t>
  </si>
  <si>
    <t>杨芳俊</t>
  </si>
  <si>
    <t>4星</t>
  </si>
  <si>
    <t>江北新城B-26/02号(原编号A2-1)地块</t>
  </si>
  <si>
    <t>大于1并且小于或等于2.3</t>
  </si>
  <si>
    <t>2019-08-13</t>
  </si>
  <si>
    <t>重庆俊豪实业(集团)有限责任公司</t>
  </si>
  <si>
    <t>江北新城C1-1(规划编号江北片区B-2-04/02)号地块</t>
  </si>
  <si>
    <t>2019-08-01</t>
  </si>
  <si>
    <t>重庆泰吉置业集团有限公司</t>
  </si>
  <si>
    <t>江北新城C3-2(规划编号江北片区B-5-01/02)号地块</t>
  </si>
  <si>
    <t>工业园区南区G9-02/01(规划编号E-53-02)地块</t>
  </si>
  <si>
    <t>＞1并且≤1.5</t>
  </si>
  <si>
    <t>2019-06-25</t>
  </si>
  <si>
    <t>重庆市金潼工业建设投资有限公司</t>
  </si>
  <si>
    <t>工业园区南区G9-06/01(规划编号E-52-02)地块</t>
  </si>
  <si>
    <t>工业园区北区B-97-01/01、B-97-02/01(规划编号B-97-03/01、B-97-02/01)地块</t>
  </si>
  <si>
    <t>农广校片区D-27(规划编号组团江南片区分区F-27号)地块</t>
  </si>
  <si>
    <t>＞1并且≤3</t>
  </si>
  <si>
    <t>重庆市潼南区晨天实业有限公司</t>
  </si>
  <si>
    <t>工业园区南区G11-02/01(规划编号E-47)地块</t>
  </si>
  <si>
    <t>组团江北新城分区D7号地块</t>
  </si>
  <si>
    <t>＞1并且≤2</t>
  </si>
  <si>
    <t>2019-02-20</t>
  </si>
  <si>
    <t>恒大地产集团重庆有限公司</t>
  </si>
  <si>
    <t>组团江北新城分区D6-6号地块</t>
  </si>
  <si>
    <t>＞1并且≤2.5</t>
  </si>
  <si>
    <t>组团江北新城分区D3-6号地块</t>
  </si>
  <si>
    <t>江北新城组团两桥片区分区B-92-03/01地块</t>
  </si>
  <si>
    <t>2018-11-20</t>
  </si>
  <si>
    <t>重庆市潼南区涪源商业管理有限公司</t>
  </si>
  <si>
    <t>江北新城组团金福分区A40-01/02地块</t>
  </si>
  <si>
    <t>组团江北新城片区分区A2-3地块</t>
  </si>
  <si>
    <t>朱志轩</t>
  </si>
  <si>
    <t>江北新城组团金福分区A37-01/02地块</t>
  </si>
  <si>
    <t>上和组团分区B-35-1地块</t>
  </si>
  <si>
    <t>≥1并且≤4.4</t>
  </si>
  <si>
    <t>重庆市潼南区佳盛实业有限公司</t>
  </si>
  <si>
    <t>梓潼街道卫星村1社、双江镇五里村6社</t>
  </si>
  <si>
    <t>江北新城组团两桥片区分区B-92-01/01地块</t>
  </si>
  <si>
    <t>江北新城组团金福分区A36-01/02地块</t>
  </si>
  <si>
    <t>江北新城组团两桥片区分区B-93-02/01地块</t>
  </si>
  <si>
    <t>梓潼组团工业园区南区分区C2-01/02、C2-02/02地块</t>
  </si>
  <si>
    <t>＞1并且≤2.6</t>
  </si>
  <si>
    <t>2018-08-10</t>
  </si>
  <si>
    <t>重庆蕴鸥地产有限公司</t>
  </si>
  <si>
    <t>旧城片区分区B-14-03地块</t>
  </si>
  <si>
    <t>≥1并且≤1.85</t>
  </si>
  <si>
    <t>2018-02-06</t>
  </si>
  <si>
    <t>重庆市潼南区八角房地产开发有限公司</t>
  </si>
  <si>
    <t>江南片区分区E7-11-01地块</t>
  </si>
  <si>
    <t>≥1并且≤2</t>
  </si>
  <si>
    <t>2017-12-26</t>
  </si>
  <si>
    <t>重庆市潼南区凯星商业管理有限公司</t>
  </si>
  <si>
    <t>江南片区分区E7-14-01地块</t>
  </si>
  <si>
    <t>梓潼组团旧城分区方碑坡棚户区改造地块</t>
  </si>
  <si>
    <t>大于1并且≤4.36</t>
  </si>
  <si>
    <t>2017-06-02</t>
  </si>
  <si>
    <t>重庆市潼南双龙房地产开发有限公司</t>
  </si>
  <si>
    <t>拿地时间</t>
    <phoneticPr fontId="229" type="noConversion"/>
  </si>
  <si>
    <t>2013.12.30</t>
    <phoneticPr fontId="229" type="noConversion"/>
  </si>
  <si>
    <t>楼面地价</t>
  </si>
  <si>
    <t>住宅</t>
    <phoneticPr fontId="27" type="noConversion"/>
  </si>
  <si>
    <t>高速</t>
    <phoneticPr fontId="27" type="noConversion"/>
  </si>
  <si>
    <t>快速</t>
    <phoneticPr fontId="27" type="noConversion"/>
  </si>
  <si>
    <t>主干道</t>
    <phoneticPr fontId="27" type="noConversion"/>
  </si>
  <si>
    <t>次干道</t>
  </si>
  <si>
    <t>次干道</t>
    <phoneticPr fontId="27" type="noConversion"/>
  </si>
  <si>
    <t>支路</t>
    <phoneticPr fontId="27" type="noConversion"/>
  </si>
  <si>
    <t>光大信托</t>
    <phoneticPr fontId="7" type="noConversion"/>
  </si>
  <si>
    <t>抵押价格</t>
  </si>
  <si>
    <t>其他：</t>
  </si>
  <si>
    <t>重庆市</t>
    <phoneticPr fontId="7" type="noConversion"/>
  </si>
  <si>
    <t>潼南区梓潼街道办凉风垭C2-3-04（1）号地块</t>
    <phoneticPr fontId="7" type="noConversion"/>
  </si>
  <si>
    <t>企业</t>
  </si>
  <si>
    <t>住宅</t>
    <phoneticPr fontId="7" type="noConversion"/>
  </si>
  <si>
    <t>一致</t>
  </si>
  <si>
    <t>2063年12月03日止</t>
    <phoneticPr fontId="229" type="noConversion"/>
  </si>
  <si>
    <t>商业</t>
  </si>
  <si>
    <t>地上</t>
  </si>
  <si>
    <t>较好</t>
  </si>
  <si>
    <t>较好</t>
    <phoneticPr fontId="4" type="noConversion"/>
  </si>
  <si>
    <t>六通</t>
  </si>
  <si>
    <t>次干道</t>
    <phoneticPr fontId="22" type="noConversion"/>
  </si>
  <si>
    <t>土地</t>
  </si>
  <si>
    <t>比较法-住宅、综合</t>
  </si>
  <si>
    <t>剩余法-待开发</t>
  </si>
  <si>
    <t>正常</t>
  </si>
  <si>
    <t>50</t>
    <phoneticPr fontId="27" type="noConversion"/>
  </si>
  <si>
    <t>潼南大道</t>
    <phoneticPr fontId="27" type="noConversion"/>
  </si>
  <si>
    <t>创意大道</t>
    <phoneticPr fontId="27" type="noConversion"/>
  </si>
  <si>
    <t>较规则</t>
  </si>
  <si>
    <t>较规则</t>
    <phoneticPr fontId="27" type="noConversion"/>
  </si>
  <si>
    <t>较好</t>
    <phoneticPr fontId="27" type="noConversion"/>
  </si>
  <si>
    <t>三通</t>
  </si>
  <si>
    <t>三通</t>
    <phoneticPr fontId="27" type="noConversion"/>
  </si>
  <si>
    <t>较适宜</t>
  </si>
  <si>
    <t>较适宜</t>
    <phoneticPr fontId="27" type="noConversion"/>
  </si>
  <si>
    <r>
      <rPr>
        <sz val="10"/>
        <rFont val="微软雅黑"/>
        <family val="2"/>
        <charset val="134"/>
      </rPr>
      <t>潼南金福新区</t>
    </r>
    <r>
      <rPr>
        <sz val="10"/>
        <rFont val="Arial"/>
        <family val="2"/>
      </rPr>
      <t>A8</t>
    </r>
    <r>
      <rPr>
        <sz val="10"/>
        <rFont val="微软雅黑"/>
        <family val="2"/>
        <charset val="134"/>
      </rPr>
      <t>号地块</t>
    </r>
    <phoneticPr fontId="229" type="noConversion"/>
  </si>
  <si>
    <t>产品</t>
    <phoneticPr fontId="229" type="noConversion"/>
  </si>
  <si>
    <t>超高层</t>
  </si>
  <si>
    <t>超高层</t>
    <phoneticPr fontId="229" type="noConversion"/>
  </si>
  <si>
    <t>高层</t>
  </si>
  <si>
    <t>高层</t>
    <phoneticPr fontId="229" type="noConversion"/>
  </si>
  <si>
    <t>公寓</t>
  </si>
  <si>
    <t>公寓</t>
    <phoneticPr fontId="229" type="noConversion"/>
  </si>
  <si>
    <t>商业</t>
    <phoneticPr fontId="229" type="noConversion"/>
  </si>
  <si>
    <t>层数</t>
    <phoneticPr fontId="229" type="noConversion"/>
  </si>
  <si>
    <t>2/3</t>
    <phoneticPr fontId="229" type="noConversion"/>
  </si>
  <si>
    <t>单元数</t>
    <phoneticPr fontId="229" type="noConversion"/>
  </si>
  <si>
    <t>商业街</t>
    <phoneticPr fontId="229" type="noConversion"/>
  </si>
  <si>
    <t>2栋</t>
    <phoneticPr fontId="229" type="noConversion"/>
  </si>
  <si>
    <t>1栋</t>
    <phoneticPr fontId="229" type="noConversion"/>
  </si>
  <si>
    <t>1个单元</t>
    <phoneticPr fontId="229" type="noConversion"/>
  </si>
  <si>
    <t>梯户数</t>
    <phoneticPr fontId="229" type="noConversion"/>
  </si>
  <si>
    <t>3梯6户</t>
    <phoneticPr fontId="229" type="noConversion"/>
  </si>
  <si>
    <t>1梯4户</t>
    <phoneticPr fontId="229" type="noConversion"/>
  </si>
  <si>
    <t>3梯22户</t>
    <phoneticPr fontId="229" type="noConversion"/>
  </si>
  <si>
    <t>单层面积</t>
    <phoneticPr fontId="229" type="noConversion"/>
  </si>
  <si>
    <t>单层户型</t>
    <phoneticPr fontId="229" type="noConversion"/>
  </si>
  <si>
    <t>110㎡（2套）</t>
    <phoneticPr fontId="229" type="noConversion"/>
  </si>
  <si>
    <t>120㎡（2套）</t>
    <phoneticPr fontId="229" type="noConversion"/>
  </si>
  <si>
    <t>130㎡（2套）</t>
    <phoneticPr fontId="229" type="noConversion"/>
  </si>
  <si>
    <t>185㎡（1套）</t>
    <phoneticPr fontId="229" type="noConversion"/>
  </si>
  <si>
    <t>200㎡（2套）</t>
    <phoneticPr fontId="229" type="noConversion"/>
  </si>
  <si>
    <t>215㎡（1套）</t>
    <phoneticPr fontId="229" type="noConversion"/>
  </si>
  <si>
    <t>30㎡（18套）</t>
    <phoneticPr fontId="229" type="noConversion"/>
  </si>
  <si>
    <t>50㎡（4套）</t>
    <phoneticPr fontId="229" type="noConversion"/>
  </si>
  <si>
    <t>总户数</t>
    <phoneticPr fontId="229" type="noConversion"/>
  </si>
  <si>
    <t>合计</t>
    <phoneticPr fontId="229" type="noConversion"/>
  </si>
  <si>
    <t>高层</t>
    <phoneticPr fontId="4" type="noConversion"/>
  </si>
  <si>
    <t>超高层</t>
    <phoneticPr fontId="4" type="noConversion"/>
  </si>
  <si>
    <t>公寓</t>
    <phoneticPr fontId="4" type="noConversion"/>
  </si>
  <si>
    <t>商业</t>
    <phoneticPr fontId="4" type="noConversion"/>
  </si>
  <si>
    <t>不动产收益法</t>
  </si>
  <si>
    <t>较好</t>
    <phoneticPr fontId="22" type="noConversion"/>
  </si>
  <si>
    <t>押一</t>
  </si>
  <si>
    <t>按租金收入计税</t>
  </si>
  <si>
    <t>钢混</t>
  </si>
  <si>
    <t>潼南恒大绿洲</t>
    <phoneticPr fontId="229" type="noConversion"/>
  </si>
  <si>
    <t>高层均价5000</t>
    <phoneticPr fontId="229" type="noConversion"/>
  </si>
  <si>
    <t>洋房均价6000-7000</t>
    <phoneticPr fontId="229" type="noConversion"/>
  </si>
  <si>
    <t>带装修</t>
    <phoneticPr fontId="229" type="noConversion"/>
  </si>
  <si>
    <t>潼南新鸥鹏教育城</t>
    <phoneticPr fontId="229" type="noConversion"/>
  </si>
  <si>
    <t>高层均价5400</t>
    <phoneticPr fontId="229" type="noConversion"/>
  </si>
  <si>
    <t>洋房均价7000-9000</t>
    <phoneticPr fontId="229" type="noConversion"/>
  </si>
  <si>
    <t>毛坯</t>
    <phoneticPr fontId="229" type="noConversion"/>
  </si>
  <si>
    <t>潼南隆鑫·中央大街</t>
    <phoneticPr fontId="229" type="noConversion"/>
  </si>
  <si>
    <t>1层</t>
    <phoneticPr fontId="229" type="noConversion"/>
  </si>
  <si>
    <t>2层</t>
    <phoneticPr fontId="229" type="noConversion"/>
  </si>
  <si>
    <t>3层</t>
    <phoneticPr fontId="229" type="noConversion"/>
  </si>
  <si>
    <t>楼层</t>
    <phoneticPr fontId="229" type="noConversion"/>
  </si>
  <si>
    <t>系数</t>
    <phoneticPr fontId="229" type="noConversion"/>
  </si>
  <si>
    <t>租金</t>
    <phoneticPr fontId="229" type="noConversion"/>
  </si>
  <si>
    <t>土地（套用方法）</t>
  </si>
  <si>
    <t xml:space="preserve"> </t>
    <phoneticPr fontId="2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</si>
</sst>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name val="宋体"/>
      <family val="2"/>
      <charset val="134"/>
    </font>
    <font>
      <sz val="11"/>
      <color rgb="FF000000"/>
      <name val="宋体"/>
      <family val="2"/>
      <charset val="134"/>
    </font>
    <font>
      <sz val="12"/>
      <color rgb="FF000000"/>
      <name val="Microsoft YaHei UI"/>
      <family val="3"/>
      <charset val="134"/>
    </font>
    <font>
      <sz val="12"/>
      <color theme="9" tint="-0.249977111117893"/>
      <name val="宋体"/>
      <family val="3"/>
      <charset val="134"/>
    </font>
    <font>
      <sz val="11"/>
      <color theme="9" tint="-0.249977111117893"/>
      <name val="宋体"/>
      <family val="3"/>
      <charset val="134"/>
    </font>
    <font>
      <sz val="11"/>
      <color theme="9" tint="-0.249977111117893"/>
      <name val="宋体"/>
      <family val="2"/>
      <charset val="134"/>
    </font>
    <font>
      <sz val="11"/>
      <color rgb="FF000000"/>
      <name val="宋体"/>
      <family val="3"/>
      <charset val="134"/>
    </font>
    <font>
      <sz val="10"/>
      <name val="微软雅黑"/>
      <family val="2"/>
      <charset val="134"/>
    </font>
    <font>
      <sz val="10"/>
      <name val="Arial"/>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xf numFmtId="0" fontId="87" fillId="0" borderId="0"/>
  </cellStyleXfs>
  <cellXfs count="3505">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 fillId="6" borderId="0" xfId="16" applyFill="1"/>
    <xf numFmtId="0" fontId="1" fillId="0" borderId="0" xfId="16"/>
    <xf numFmtId="0" fontId="87" fillId="0" borderId="0" xfId="17"/>
    <xf numFmtId="0" fontId="87" fillId="6" borderId="0" xfId="17" applyFill="1"/>
    <xf numFmtId="0" fontId="275" fillId="0" borderId="6" xfId="0" applyNumberFormat="1" applyFont="1" applyFill="1" applyBorder="1" applyAlignment="1" applyProtection="1">
      <alignment horizontal="center" vertical="center" wrapText="1"/>
      <protection locked="0"/>
    </xf>
    <xf numFmtId="0" fontId="276" fillId="0" borderId="74" xfId="0" applyNumberFormat="1" applyFont="1" applyFill="1" applyBorder="1" applyAlignment="1" applyProtection="1">
      <alignment horizontal="center" vertical="center" wrapText="1"/>
      <protection locked="0"/>
    </xf>
    <xf numFmtId="0" fontId="277" fillId="8" borderId="5" xfId="0" applyFont="1" applyFill="1" applyBorder="1" applyAlignment="1" applyProtection="1">
      <alignment vertical="center"/>
      <protection locked="0"/>
    </xf>
    <xf numFmtId="0" fontId="277" fillId="8" borderId="19" xfId="0" applyFont="1" applyFill="1" applyBorder="1" applyAlignment="1" applyProtection="1">
      <alignment vertical="center" wrapText="1"/>
      <protection locked="0"/>
    </xf>
    <xf numFmtId="0" fontId="79" fillId="8" borderId="8" xfId="0" applyFont="1" applyFill="1" applyBorder="1" applyAlignment="1" applyProtection="1">
      <alignment vertical="center"/>
      <protection locked="0"/>
    </xf>
    <xf numFmtId="0" fontId="260" fillId="0" borderId="2" xfId="0" applyFont="1" applyBorder="1" applyAlignment="1" applyProtection="1">
      <alignment horizontal="center" vertical="center" wrapText="1"/>
      <protection locked="0"/>
    </xf>
    <xf numFmtId="49" fontId="279" fillId="0" borderId="7" xfId="0" applyNumberFormat="1" applyFont="1" applyFill="1" applyBorder="1" applyAlignment="1" applyProtection="1">
      <alignment horizontal="center" vertical="center" wrapText="1"/>
      <protection locked="0"/>
    </xf>
    <xf numFmtId="0" fontId="280" fillId="0" borderId="12" xfId="0" applyFont="1" applyBorder="1" applyAlignment="1" applyProtection="1">
      <alignment horizontal="center" vertical="center" wrapText="1"/>
      <protection locked="0"/>
    </xf>
    <xf numFmtId="0" fontId="280" fillId="0" borderId="46" xfId="0" applyFont="1" applyBorder="1" applyAlignment="1" applyProtection="1">
      <alignment horizontal="center" vertical="center"/>
      <protection locked="0"/>
    </xf>
    <xf numFmtId="49" fontId="275" fillId="0" borderId="18" xfId="0" applyNumberFormat="1" applyFont="1" applyFill="1" applyBorder="1" applyAlignment="1" applyProtection="1">
      <alignment horizontal="center" vertical="center" wrapText="1"/>
      <protection locked="0"/>
    </xf>
    <xf numFmtId="0" fontId="275" fillId="0" borderId="74" xfId="0" applyNumberFormat="1" applyFont="1" applyFill="1" applyBorder="1" applyAlignment="1" applyProtection="1">
      <alignment horizontal="center" vertical="center" wrapText="1"/>
      <protection locked="0"/>
    </xf>
    <xf numFmtId="0" fontId="281" fillId="0" borderId="74" xfId="0" applyNumberFormat="1" applyFont="1" applyFill="1" applyBorder="1" applyAlignment="1" applyProtection="1">
      <alignment horizontal="center" vertical="center" wrapText="1"/>
      <protection locked="0"/>
    </xf>
    <xf numFmtId="0" fontId="87" fillId="0" borderId="0" xfId="17" applyFill="1"/>
    <xf numFmtId="0" fontId="283" fillId="6" borderId="0" xfId="17" applyFont="1" applyFill="1"/>
    <xf numFmtId="0" fontId="1" fillId="0" borderId="2" xfId="16" applyBorder="1" applyAlignment="1">
      <alignment horizontal="center"/>
    </xf>
    <xf numFmtId="49" fontId="1" fillId="0" borderId="2" xfId="16" applyNumberFormat="1" applyBorder="1" applyAlignment="1">
      <alignment horizontal="center"/>
    </xf>
    <xf numFmtId="0" fontId="1" fillId="18" borderId="2" xfId="16" applyFill="1" applyBorder="1" applyAlignment="1">
      <alignment horizontal="center"/>
    </xf>
    <xf numFmtId="0" fontId="1" fillId="19" borderId="0" xfId="16" applyFill="1"/>
    <xf numFmtId="0" fontId="260" fillId="0" borderId="2" xfId="0" applyFont="1" applyBorder="1" applyAlignment="1" applyProtection="1">
      <alignment vertical="center" wrapText="1"/>
      <protection locked="0"/>
    </xf>
    <xf numFmtId="49" fontId="280" fillId="0" borderId="12" xfId="0" applyNumberFormat="1" applyFont="1" applyFill="1" applyBorder="1" applyAlignment="1" applyProtection="1">
      <alignment horizontal="center" vertical="center" wrapText="1"/>
      <protection locked="0"/>
    </xf>
    <xf numFmtId="0" fontId="146" fillId="0" borderId="0" xfId="0" applyFont="1">
      <alignment vertical="center"/>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278"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 fillId="18" borderId="2" xfId="16" applyFill="1" applyBorder="1" applyAlignment="1">
      <alignment horizontal="center"/>
    </xf>
    <xf numFmtId="0" fontId="1" fillId="0" borderId="5" xfId="16" applyBorder="1" applyAlignment="1">
      <alignment horizontal="center"/>
    </xf>
    <xf numFmtId="0" fontId="1" fillId="0" borderId="8" xfId="16" applyBorder="1" applyAlignment="1">
      <alignment horizontal="center"/>
    </xf>
    <xf numFmtId="0" fontId="1" fillId="0" borderId="9" xfId="16" applyBorder="1" applyAlignment="1">
      <alignment horizontal="center"/>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1" fillId="0" borderId="0" xfId="0" applyFont="1" applyAlignment="1" applyProtection="1">
      <alignment horizontal="center" vertical="center" wrapText="1"/>
      <protection locked="0"/>
    </xf>
  </cellXfs>
  <cellStyles count="18">
    <cellStyle name="百分比 2" xfId="11" xr:uid="{00000000-0005-0000-0000-000000000000}"/>
    <cellStyle name="常规" xfId="0" builtinId="0"/>
    <cellStyle name="常规 10" xfId="16" xr:uid="{9CCE3056-4827-4B9F-8302-7129EB846F7F}"/>
    <cellStyle name="常规 11" xfId="17" xr:uid="{56091442-DB6C-4D1F-8E44-C6A35FCD7605}"/>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60961</xdr:colOff>
      <xdr:row>98</xdr:row>
      <xdr:rowOff>22860</xdr:rowOff>
    </xdr:from>
    <xdr:to>
      <xdr:col>8</xdr:col>
      <xdr:colOff>347516</xdr:colOff>
      <xdr:row>130</xdr:row>
      <xdr:rowOff>58380</xdr:rowOff>
    </xdr:to>
    <xdr:pic>
      <xdr:nvPicPr>
        <xdr:cNvPr id="2" name="图片 1">
          <a:extLst>
            <a:ext uri="{FF2B5EF4-FFF2-40B4-BE49-F238E27FC236}">
              <a16:creationId xmlns:a16="http://schemas.microsoft.com/office/drawing/2014/main" id="{EB816504-53EC-43F6-9216-95B69C777F7E}"/>
            </a:ext>
          </a:extLst>
        </xdr:cNvPr>
        <xdr:cNvPicPr>
          <a:picLocks noChangeAspect="1"/>
        </xdr:cNvPicPr>
      </xdr:nvPicPr>
      <xdr:blipFill>
        <a:blip xmlns:r="http://schemas.openxmlformats.org/officeDocument/2006/relationships" r:embed="rId1"/>
        <a:stretch>
          <a:fillRect/>
        </a:stretch>
      </xdr:blipFill>
      <xdr:spPr>
        <a:xfrm>
          <a:off x="60961" y="19133820"/>
          <a:ext cx="9887755" cy="5400000"/>
        </a:xfrm>
        <a:prstGeom prst="rect">
          <a:avLst/>
        </a:prstGeom>
      </xdr:spPr>
    </xdr:pic>
    <xdr:clientData/>
  </xdr:twoCellAnchor>
  <xdr:twoCellAnchor editAs="oneCell">
    <xdr:from>
      <xdr:col>8</xdr:col>
      <xdr:colOff>426720</xdr:colOff>
      <xdr:row>98</xdr:row>
      <xdr:rowOff>15240</xdr:rowOff>
    </xdr:from>
    <xdr:to>
      <xdr:col>17</xdr:col>
      <xdr:colOff>460036</xdr:colOff>
      <xdr:row>123</xdr:row>
      <xdr:rowOff>167097</xdr:rowOff>
    </xdr:to>
    <xdr:pic>
      <xdr:nvPicPr>
        <xdr:cNvPr id="3" name="图片 2">
          <a:extLst>
            <a:ext uri="{FF2B5EF4-FFF2-40B4-BE49-F238E27FC236}">
              <a16:creationId xmlns:a16="http://schemas.microsoft.com/office/drawing/2014/main" id="{E6E451CE-D21E-41BB-AEDD-02638028A2BC}"/>
            </a:ext>
          </a:extLst>
        </xdr:cNvPr>
        <xdr:cNvPicPr>
          <a:picLocks noChangeAspect="1"/>
        </xdr:cNvPicPr>
      </xdr:nvPicPr>
      <xdr:blipFill>
        <a:blip xmlns:r="http://schemas.openxmlformats.org/officeDocument/2006/relationships" r:embed="rId2"/>
        <a:stretch>
          <a:fillRect/>
        </a:stretch>
      </xdr:blipFill>
      <xdr:spPr>
        <a:xfrm>
          <a:off x="10027920" y="16443960"/>
          <a:ext cx="7790476" cy="4342857"/>
        </a:xfrm>
        <a:prstGeom prst="rect">
          <a:avLst/>
        </a:prstGeom>
      </xdr:spPr>
    </xdr:pic>
    <xdr:clientData/>
  </xdr:twoCellAnchor>
  <xdr:twoCellAnchor editAs="oneCell">
    <xdr:from>
      <xdr:col>0</xdr:col>
      <xdr:colOff>0</xdr:colOff>
      <xdr:row>132</xdr:row>
      <xdr:rowOff>0</xdr:rowOff>
    </xdr:from>
    <xdr:to>
      <xdr:col>8</xdr:col>
      <xdr:colOff>607104</xdr:colOff>
      <xdr:row>164</xdr:row>
      <xdr:rowOff>35520</xdr:rowOff>
    </xdr:to>
    <xdr:pic>
      <xdr:nvPicPr>
        <xdr:cNvPr id="4" name="图片 3">
          <a:extLst>
            <a:ext uri="{FF2B5EF4-FFF2-40B4-BE49-F238E27FC236}">
              <a16:creationId xmlns:a16="http://schemas.microsoft.com/office/drawing/2014/main" id="{F87A11E6-6195-49D4-865E-6610FC9A2DF6}"/>
            </a:ext>
          </a:extLst>
        </xdr:cNvPr>
        <xdr:cNvPicPr>
          <a:picLocks noChangeAspect="1"/>
        </xdr:cNvPicPr>
      </xdr:nvPicPr>
      <xdr:blipFill>
        <a:blip xmlns:r="http://schemas.openxmlformats.org/officeDocument/2006/relationships" r:embed="rId3"/>
        <a:stretch>
          <a:fillRect/>
        </a:stretch>
      </xdr:blipFill>
      <xdr:spPr>
        <a:xfrm>
          <a:off x="0" y="24810720"/>
          <a:ext cx="10208304" cy="5400000"/>
        </a:xfrm>
        <a:prstGeom prst="rect">
          <a:avLst/>
        </a:prstGeom>
      </xdr:spPr>
    </xdr:pic>
    <xdr:clientData/>
  </xdr:twoCellAnchor>
  <xdr:twoCellAnchor editAs="oneCell">
    <xdr:from>
      <xdr:col>8</xdr:col>
      <xdr:colOff>586740</xdr:colOff>
      <xdr:row>130</xdr:row>
      <xdr:rowOff>144780</xdr:rowOff>
    </xdr:from>
    <xdr:to>
      <xdr:col>17</xdr:col>
      <xdr:colOff>581961</xdr:colOff>
      <xdr:row>157</xdr:row>
      <xdr:rowOff>113738</xdr:rowOff>
    </xdr:to>
    <xdr:pic>
      <xdr:nvPicPr>
        <xdr:cNvPr id="5" name="图片 4">
          <a:extLst>
            <a:ext uri="{FF2B5EF4-FFF2-40B4-BE49-F238E27FC236}">
              <a16:creationId xmlns:a16="http://schemas.microsoft.com/office/drawing/2014/main" id="{59FBF4A8-A8F2-4B47-B36B-CF2AEA2427B2}"/>
            </a:ext>
          </a:extLst>
        </xdr:cNvPr>
        <xdr:cNvPicPr>
          <a:picLocks noChangeAspect="1"/>
        </xdr:cNvPicPr>
      </xdr:nvPicPr>
      <xdr:blipFill>
        <a:blip xmlns:r="http://schemas.openxmlformats.org/officeDocument/2006/relationships" r:embed="rId4"/>
        <a:stretch>
          <a:fillRect/>
        </a:stretch>
      </xdr:blipFill>
      <xdr:spPr>
        <a:xfrm>
          <a:off x="10187940" y="21937980"/>
          <a:ext cx="7752381" cy="4495238"/>
        </a:xfrm>
        <a:prstGeom prst="rect">
          <a:avLst/>
        </a:prstGeom>
      </xdr:spPr>
    </xdr:pic>
    <xdr:clientData/>
  </xdr:twoCellAnchor>
  <xdr:twoCellAnchor editAs="oneCell">
    <xdr:from>
      <xdr:col>0</xdr:col>
      <xdr:colOff>0</xdr:colOff>
      <xdr:row>166</xdr:row>
      <xdr:rowOff>0</xdr:rowOff>
    </xdr:from>
    <xdr:to>
      <xdr:col>8</xdr:col>
      <xdr:colOff>213664</xdr:colOff>
      <xdr:row>198</xdr:row>
      <xdr:rowOff>35520</xdr:rowOff>
    </xdr:to>
    <xdr:pic>
      <xdr:nvPicPr>
        <xdr:cNvPr id="6" name="图片 5">
          <a:extLst>
            <a:ext uri="{FF2B5EF4-FFF2-40B4-BE49-F238E27FC236}">
              <a16:creationId xmlns:a16="http://schemas.microsoft.com/office/drawing/2014/main" id="{212D839D-1BDF-453B-8442-C219EAF8CC3C}"/>
            </a:ext>
          </a:extLst>
        </xdr:cNvPr>
        <xdr:cNvPicPr>
          <a:picLocks noChangeAspect="1"/>
        </xdr:cNvPicPr>
      </xdr:nvPicPr>
      <xdr:blipFill>
        <a:blip xmlns:r="http://schemas.openxmlformats.org/officeDocument/2006/relationships" r:embed="rId5"/>
        <a:stretch>
          <a:fillRect/>
        </a:stretch>
      </xdr:blipFill>
      <xdr:spPr>
        <a:xfrm>
          <a:off x="0" y="30510480"/>
          <a:ext cx="9814864" cy="5400000"/>
        </a:xfrm>
        <a:prstGeom prst="rect">
          <a:avLst/>
        </a:prstGeom>
      </xdr:spPr>
    </xdr:pic>
    <xdr:clientData/>
  </xdr:twoCellAnchor>
  <xdr:twoCellAnchor editAs="oneCell">
    <xdr:from>
      <xdr:col>8</xdr:col>
      <xdr:colOff>228600</xdr:colOff>
      <xdr:row>165</xdr:row>
      <xdr:rowOff>60960</xdr:rowOff>
    </xdr:from>
    <xdr:to>
      <xdr:col>17</xdr:col>
      <xdr:colOff>319059</xdr:colOff>
      <xdr:row>190</xdr:row>
      <xdr:rowOff>165198</xdr:rowOff>
    </xdr:to>
    <xdr:pic>
      <xdr:nvPicPr>
        <xdr:cNvPr id="7" name="图片 6">
          <a:extLst>
            <a:ext uri="{FF2B5EF4-FFF2-40B4-BE49-F238E27FC236}">
              <a16:creationId xmlns:a16="http://schemas.microsoft.com/office/drawing/2014/main" id="{B8991C24-838E-4DE2-B0F1-D15BA34096E9}"/>
            </a:ext>
          </a:extLst>
        </xdr:cNvPr>
        <xdr:cNvPicPr>
          <a:picLocks noChangeAspect="1"/>
        </xdr:cNvPicPr>
      </xdr:nvPicPr>
      <xdr:blipFill>
        <a:blip xmlns:r="http://schemas.openxmlformats.org/officeDocument/2006/relationships" r:embed="rId6"/>
        <a:stretch>
          <a:fillRect/>
        </a:stretch>
      </xdr:blipFill>
      <xdr:spPr>
        <a:xfrm>
          <a:off x="9829800" y="27721560"/>
          <a:ext cx="7847619" cy="4295238"/>
        </a:xfrm>
        <a:prstGeom prst="rect">
          <a:avLst/>
        </a:prstGeom>
      </xdr:spPr>
    </xdr:pic>
    <xdr:clientData/>
  </xdr:twoCellAnchor>
  <xdr:twoCellAnchor editAs="oneCell">
    <xdr:from>
      <xdr:col>0</xdr:col>
      <xdr:colOff>1</xdr:colOff>
      <xdr:row>200</xdr:row>
      <xdr:rowOff>0</xdr:rowOff>
    </xdr:from>
    <xdr:to>
      <xdr:col>8</xdr:col>
      <xdr:colOff>735944</xdr:colOff>
      <xdr:row>232</xdr:row>
      <xdr:rowOff>35520</xdr:rowOff>
    </xdr:to>
    <xdr:pic>
      <xdr:nvPicPr>
        <xdr:cNvPr id="8" name="图片 7">
          <a:extLst>
            <a:ext uri="{FF2B5EF4-FFF2-40B4-BE49-F238E27FC236}">
              <a16:creationId xmlns:a16="http://schemas.microsoft.com/office/drawing/2014/main" id="{8A5DB2AE-115B-4873-A897-968002E47647}"/>
            </a:ext>
          </a:extLst>
        </xdr:cNvPr>
        <xdr:cNvPicPr>
          <a:picLocks noChangeAspect="1"/>
        </xdr:cNvPicPr>
      </xdr:nvPicPr>
      <xdr:blipFill>
        <a:blip xmlns:r="http://schemas.openxmlformats.org/officeDocument/2006/relationships" r:embed="rId7"/>
        <a:stretch>
          <a:fillRect/>
        </a:stretch>
      </xdr:blipFill>
      <xdr:spPr>
        <a:xfrm>
          <a:off x="1" y="36210240"/>
          <a:ext cx="10337143" cy="5400000"/>
        </a:xfrm>
        <a:prstGeom prst="rect">
          <a:avLst/>
        </a:prstGeom>
      </xdr:spPr>
    </xdr:pic>
    <xdr:clientData/>
  </xdr:twoCellAnchor>
  <xdr:twoCellAnchor editAs="oneCell">
    <xdr:from>
      <xdr:col>8</xdr:col>
      <xdr:colOff>731520</xdr:colOff>
      <xdr:row>200</xdr:row>
      <xdr:rowOff>7620</xdr:rowOff>
    </xdr:from>
    <xdr:to>
      <xdr:col>17</xdr:col>
      <xdr:colOff>336265</xdr:colOff>
      <xdr:row>226</xdr:row>
      <xdr:rowOff>29932</xdr:rowOff>
    </xdr:to>
    <xdr:pic>
      <xdr:nvPicPr>
        <xdr:cNvPr id="9" name="图片 8">
          <a:extLst>
            <a:ext uri="{FF2B5EF4-FFF2-40B4-BE49-F238E27FC236}">
              <a16:creationId xmlns:a16="http://schemas.microsoft.com/office/drawing/2014/main" id="{99D8174F-0CEA-4D17-83A4-58E37B6A480D}"/>
            </a:ext>
          </a:extLst>
        </xdr:cNvPr>
        <xdr:cNvPicPr>
          <a:picLocks noChangeAspect="1"/>
        </xdr:cNvPicPr>
      </xdr:nvPicPr>
      <xdr:blipFill>
        <a:blip xmlns:r="http://schemas.openxmlformats.org/officeDocument/2006/relationships" r:embed="rId8"/>
        <a:stretch>
          <a:fillRect/>
        </a:stretch>
      </xdr:blipFill>
      <xdr:spPr>
        <a:xfrm>
          <a:off x="10332720" y="33535620"/>
          <a:ext cx="7361905" cy="4380952"/>
        </a:xfrm>
        <a:prstGeom prst="rect">
          <a:avLst/>
        </a:prstGeom>
      </xdr:spPr>
    </xdr:pic>
    <xdr:clientData/>
  </xdr:twoCellAnchor>
  <xdr:twoCellAnchor editAs="oneCell">
    <xdr:from>
      <xdr:col>0</xdr:col>
      <xdr:colOff>45720</xdr:colOff>
      <xdr:row>35</xdr:row>
      <xdr:rowOff>114300</xdr:rowOff>
    </xdr:from>
    <xdr:to>
      <xdr:col>8</xdr:col>
      <xdr:colOff>63568</xdr:colOff>
      <xdr:row>77</xdr:row>
      <xdr:rowOff>111515</xdr:rowOff>
    </xdr:to>
    <xdr:pic>
      <xdr:nvPicPr>
        <xdr:cNvPr id="13" name="图片 12">
          <a:extLst>
            <a:ext uri="{FF2B5EF4-FFF2-40B4-BE49-F238E27FC236}">
              <a16:creationId xmlns:a16="http://schemas.microsoft.com/office/drawing/2014/main" id="{B2128AAD-0279-4C11-BB57-DB4CBA2E2005}"/>
            </a:ext>
          </a:extLst>
        </xdr:cNvPr>
        <xdr:cNvPicPr>
          <a:picLocks noChangeAspect="1"/>
        </xdr:cNvPicPr>
      </xdr:nvPicPr>
      <xdr:blipFill>
        <a:blip xmlns:r="http://schemas.openxmlformats.org/officeDocument/2006/relationships" r:embed="rId9"/>
        <a:stretch>
          <a:fillRect/>
        </a:stretch>
      </xdr:blipFill>
      <xdr:spPr>
        <a:xfrm>
          <a:off x="45720" y="6004560"/>
          <a:ext cx="9619048" cy="70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114300</xdr:rowOff>
    </xdr:from>
    <xdr:to>
      <xdr:col>12</xdr:col>
      <xdr:colOff>119360</xdr:colOff>
      <xdr:row>14</xdr:row>
      <xdr:rowOff>79740</xdr:rowOff>
    </xdr:to>
    <xdr:pic>
      <xdr:nvPicPr>
        <xdr:cNvPr id="2" name="图片 1">
          <a:extLst>
            <a:ext uri="{FF2B5EF4-FFF2-40B4-BE49-F238E27FC236}">
              <a16:creationId xmlns:a16="http://schemas.microsoft.com/office/drawing/2014/main" id="{084E52DF-7969-4B83-8429-399F0DCC933C}"/>
            </a:ext>
          </a:extLst>
        </xdr:cNvPr>
        <xdr:cNvPicPr>
          <a:picLocks noChangeAspect="1"/>
        </xdr:cNvPicPr>
      </xdr:nvPicPr>
      <xdr:blipFill>
        <a:blip xmlns:r="http://schemas.openxmlformats.org/officeDocument/2006/relationships" r:embed="rId1"/>
        <a:stretch>
          <a:fillRect/>
        </a:stretch>
      </xdr:blipFill>
      <xdr:spPr>
        <a:xfrm>
          <a:off x="0" y="480060"/>
          <a:ext cx="7434560" cy="2160000"/>
        </a:xfrm>
        <a:prstGeom prst="rect">
          <a:avLst/>
        </a:prstGeom>
      </xdr:spPr>
    </xdr:pic>
    <xdr:clientData/>
  </xdr:twoCellAnchor>
  <xdr:twoCellAnchor editAs="oneCell">
    <xdr:from>
      <xdr:col>0</xdr:col>
      <xdr:colOff>106680</xdr:colOff>
      <xdr:row>14</xdr:row>
      <xdr:rowOff>30480</xdr:rowOff>
    </xdr:from>
    <xdr:to>
      <xdr:col>13</xdr:col>
      <xdr:colOff>157265</xdr:colOff>
      <xdr:row>25</xdr:row>
      <xdr:rowOff>178800</xdr:rowOff>
    </xdr:to>
    <xdr:pic>
      <xdr:nvPicPr>
        <xdr:cNvPr id="3" name="图片 2">
          <a:extLst>
            <a:ext uri="{FF2B5EF4-FFF2-40B4-BE49-F238E27FC236}">
              <a16:creationId xmlns:a16="http://schemas.microsoft.com/office/drawing/2014/main" id="{6E128CFD-CA28-4836-810B-7D4069EF4213}"/>
            </a:ext>
          </a:extLst>
        </xdr:cNvPr>
        <xdr:cNvPicPr>
          <a:picLocks noChangeAspect="1"/>
        </xdr:cNvPicPr>
      </xdr:nvPicPr>
      <xdr:blipFill>
        <a:blip xmlns:r="http://schemas.openxmlformats.org/officeDocument/2006/relationships" r:embed="rId2"/>
        <a:stretch>
          <a:fillRect/>
        </a:stretch>
      </xdr:blipFill>
      <xdr:spPr>
        <a:xfrm>
          <a:off x="106680" y="2590800"/>
          <a:ext cx="7975385" cy="2160000"/>
        </a:xfrm>
        <a:prstGeom prst="rect">
          <a:avLst/>
        </a:prstGeom>
      </xdr:spPr>
    </xdr:pic>
    <xdr:clientData/>
  </xdr:twoCellAnchor>
  <xdr:twoCellAnchor editAs="oneCell">
    <xdr:from>
      <xdr:col>0</xdr:col>
      <xdr:colOff>1</xdr:colOff>
      <xdr:row>26</xdr:row>
      <xdr:rowOff>0</xdr:rowOff>
    </xdr:from>
    <xdr:to>
      <xdr:col>11</xdr:col>
      <xdr:colOff>74402</xdr:colOff>
      <xdr:row>37</xdr:row>
      <xdr:rowOff>148320</xdr:rowOff>
    </xdr:to>
    <xdr:pic>
      <xdr:nvPicPr>
        <xdr:cNvPr id="4" name="图片 3">
          <a:extLst>
            <a:ext uri="{FF2B5EF4-FFF2-40B4-BE49-F238E27FC236}">
              <a16:creationId xmlns:a16="http://schemas.microsoft.com/office/drawing/2014/main" id="{5B33D788-E329-41AC-9823-4CE7CC4C246E}"/>
            </a:ext>
          </a:extLst>
        </xdr:cNvPr>
        <xdr:cNvPicPr>
          <a:picLocks noChangeAspect="1"/>
        </xdr:cNvPicPr>
      </xdr:nvPicPr>
      <xdr:blipFill>
        <a:blip xmlns:r="http://schemas.openxmlformats.org/officeDocument/2006/relationships" r:embed="rId3"/>
        <a:stretch>
          <a:fillRect/>
        </a:stretch>
      </xdr:blipFill>
      <xdr:spPr>
        <a:xfrm>
          <a:off x="1" y="4754880"/>
          <a:ext cx="6780001" cy="2160000"/>
        </a:xfrm>
        <a:prstGeom prst="rect">
          <a:avLst/>
        </a:prstGeom>
      </xdr:spPr>
    </xdr:pic>
    <xdr:clientData/>
  </xdr:twoCellAnchor>
  <xdr:twoCellAnchor editAs="oneCell">
    <xdr:from>
      <xdr:col>0</xdr:col>
      <xdr:colOff>0</xdr:colOff>
      <xdr:row>38</xdr:row>
      <xdr:rowOff>0</xdr:rowOff>
    </xdr:from>
    <xdr:to>
      <xdr:col>13</xdr:col>
      <xdr:colOff>532343</xdr:colOff>
      <xdr:row>45</xdr:row>
      <xdr:rowOff>148411</xdr:rowOff>
    </xdr:to>
    <xdr:pic>
      <xdr:nvPicPr>
        <xdr:cNvPr id="5" name="图片 4">
          <a:extLst>
            <a:ext uri="{FF2B5EF4-FFF2-40B4-BE49-F238E27FC236}">
              <a16:creationId xmlns:a16="http://schemas.microsoft.com/office/drawing/2014/main" id="{868C7DF3-C679-43C5-9C7A-8171AE170C7E}"/>
            </a:ext>
          </a:extLst>
        </xdr:cNvPr>
        <xdr:cNvPicPr>
          <a:picLocks noChangeAspect="1"/>
        </xdr:cNvPicPr>
      </xdr:nvPicPr>
      <xdr:blipFill>
        <a:blip xmlns:r="http://schemas.openxmlformats.org/officeDocument/2006/relationships" r:embed="rId4"/>
        <a:stretch>
          <a:fillRect/>
        </a:stretch>
      </xdr:blipFill>
      <xdr:spPr>
        <a:xfrm>
          <a:off x="0" y="6949440"/>
          <a:ext cx="8457143" cy="14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68580</xdr:rowOff>
    </xdr:from>
    <xdr:to>
      <xdr:col>15</xdr:col>
      <xdr:colOff>598857</xdr:colOff>
      <xdr:row>13</xdr:row>
      <xdr:rowOff>176969</xdr:rowOff>
    </xdr:to>
    <xdr:pic>
      <xdr:nvPicPr>
        <xdr:cNvPr id="2" name="图片 1">
          <a:extLst>
            <a:ext uri="{FF2B5EF4-FFF2-40B4-BE49-F238E27FC236}">
              <a16:creationId xmlns:a16="http://schemas.microsoft.com/office/drawing/2014/main" id="{D55B684E-8025-46E4-8B24-1A066114DBCF}"/>
            </a:ext>
          </a:extLst>
        </xdr:cNvPr>
        <xdr:cNvPicPr>
          <a:picLocks noChangeAspect="1"/>
        </xdr:cNvPicPr>
      </xdr:nvPicPr>
      <xdr:blipFill>
        <a:blip xmlns:r="http://schemas.openxmlformats.org/officeDocument/2006/relationships" r:embed="rId1"/>
        <a:stretch>
          <a:fillRect/>
        </a:stretch>
      </xdr:blipFill>
      <xdr:spPr>
        <a:xfrm>
          <a:off x="0" y="982980"/>
          <a:ext cx="9742857" cy="1571429"/>
        </a:xfrm>
        <a:prstGeom prst="rect">
          <a:avLst/>
        </a:prstGeom>
      </xdr:spPr>
    </xdr:pic>
    <xdr:clientData/>
  </xdr:twoCellAnchor>
  <xdr:twoCellAnchor editAs="oneCell">
    <xdr:from>
      <xdr:col>0</xdr:col>
      <xdr:colOff>0</xdr:colOff>
      <xdr:row>14</xdr:row>
      <xdr:rowOff>0</xdr:rowOff>
    </xdr:from>
    <xdr:to>
      <xdr:col>16</xdr:col>
      <xdr:colOff>113067</xdr:colOff>
      <xdr:row>22</xdr:row>
      <xdr:rowOff>175055</xdr:rowOff>
    </xdr:to>
    <xdr:pic>
      <xdr:nvPicPr>
        <xdr:cNvPr id="3" name="图片 2">
          <a:extLst>
            <a:ext uri="{FF2B5EF4-FFF2-40B4-BE49-F238E27FC236}">
              <a16:creationId xmlns:a16="http://schemas.microsoft.com/office/drawing/2014/main" id="{7302DDF5-14C2-4994-9C86-9C759A9A4E74}"/>
            </a:ext>
          </a:extLst>
        </xdr:cNvPr>
        <xdr:cNvPicPr>
          <a:picLocks noChangeAspect="1"/>
        </xdr:cNvPicPr>
      </xdr:nvPicPr>
      <xdr:blipFill>
        <a:blip xmlns:r="http://schemas.openxmlformats.org/officeDocument/2006/relationships" r:embed="rId2"/>
        <a:stretch>
          <a:fillRect/>
        </a:stretch>
      </xdr:blipFill>
      <xdr:spPr>
        <a:xfrm>
          <a:off x="0" y="2560320"/>
          <a:ext cx="9866667" cy="1638095"/>
        </a:xfrm>
        <a:prstGeom prst="rect">
          <a:avLst/>
        </a:prstGeom>
      </xdr:spPr>
    </xdr:pic>
    <xdr:clientData/>
  </xdr:twoCellAnchor>
  <xdr:twoCellAnchor editAs="oneCell">
    <xdr:from>
      <xdr:col>0</xdr:col>
      <xdr:colOff>0</xdr:colOff>
      <xdr:row>23</xdr:row>
      <xdr:rowOff>0</xdr:rowOff>
    </xdr:from>
    <xdr:to>
      <xdr:col>15</xdr:col>
      <xdr:colOff>313143</xdr:colOff>
      <xdr:row>39</xdr:row>
      <xdr:rowOff>112015</xdr:rowOff>
    </xdr:to>
    <xdr:pic>
      <xdr:nvPicPr>
        <xdr:cNvPr id="4" name="图片 3">
          <a:extLst>
            <a:ext uri="{FF2B5EF4-FFF2-40B4-BE49-F238E27FC236}">
              <a16:creationId xmlns:a16="http://schemas.microsoft.com/office/drawing/2014/main" id="{859001F0-F514-440F-889B-1F5C1FB09F14}"/>
            </a:ext>
          </a:extLst>
        </xdr:cNvPr>
        <xdr:cNvPicPr>
          <a:picLocks noChangeAspect="1"/>
        </xdr:cNvPicPr>
      </xdr:nvPicPr>
      <xdr:blipFill>
        <a:blip xmlns:r="http://schemas.openxmlformats.org/officeDocument/2006/relationships" r:embed="rId3"/>
        <a:stretch>
          <a:fillRect/>
        </a:stretch>
      </xdr:blipFill>
      <xdr:spPr>
        <a:xfrm>
          <a:off x="0" y="4206240"/>
          <a:ext cx="9457143" cy="3038095"/>
        </a:xfrm>
        <a:prstGeom prst="rect">
          <a:avLst/>
        </a:prstGeom>
      </xdr:spPr>
    </xdr:pic>
    <xdr:clientData/>
  </xdr:twoCellAnchor>
  <xdr:twoCellAnchor editAs="oneCell">
    <xdr:from>
      <xdr:col>0</xdr:col>
      <xdr:colOff>0</xdr:colOff>
      <xdr:row>44</xdr:row>
      <xdr:rowOff>45720</xdr:rowOff>
    </xdr:from>
    <xdr:to>
      <xdr:col>15</xdr:col>
      <xdr:colOff>332190</xdr:colOff>
      <xdr:row>52</xdr:row>
      <xdr:rowOff>68394</xdr:rowOff>
    </xdr:to>
    <xdr:pic>
      <xdr:nvPicPr>
        <xdr:cNvPr id="5" name="图片 4">
          <a:extLst>
            <a:ext uri="{FF2B5EF4-FFF2-40B4-BE49-F238E27FC236}">
              <a16:creationId xmlns:a16="http://schemas.microsoft.com/office/drawing/2014/main" id="{9DDEEC2A-382A-471A-B5B0-516EB050E39D}"/>
            </a:ext>
          </a:extLst>
        </xdr:cNvPr>
        <xdr:cNvPicPr>
          <a:picLocks noChangeAspect="1"/>
        </xdr:cNvPicPr>
      </xdr:nvPicPr>
      <xdr:blipFill>
        <a:blip xmlns:r="http://schemas.openxmlformats.org/officeDocument/2006/relationships" r:embed="rId4"/>
        <a:stretch>
          <a:fillRect/>
        </a:stretch>
      </xdr:blipFill>
      <xdr:spPr>
        <a:xfrm>
          <a:off x="0" y="8092440"/>
          <a:ext cx="9476190" cy="1485714"/>
        </a:xfrm>
        <a:prstGeom prst="rect">
          <a:avLst/>
        </a:prstGeom>
      </xdr:spPr>
    </xdr:pic>
    <xdr:clientData/>
  </xdr:twoCellAnchor>
  <xdr:twoCellAnchor editAs="oneCell">
    <xdr:from>
      <xdr:col>16</xdr:col>
      <xdr:colOff>7620</xdr:colOff>
      <xdr:row>5</xdr:row>
      <xdr:rowOff>30480</xdr:rowOff>
    </xdr:from>
    <xdr:to>
      <xdr:col>31</xdr:col>
      <xdr:colOff>330287</xdr:colOff>
      <xdr:row>29</xdr:row>
      <xdr:rowOff>155646</xdr:rowOff>
    </xdr:to>
    <xdr:pic>
      <xdr:nvPicPr>
        <xdr:cNvPr id="6" name="图片 5">
          <a:extLst>
            <a:ext uri="{FF2B5EF4-FFF2-40B4-BE49-F238E27FC236}">
              <a16:creationId xmlns:a16="http://schemas.microsoft.com/office/drawing/2014/main" id="{7589E7F0-4467-44E6-AA15-383D24F30BFF}"/>
            </a:ext>
          </a:extLst>
        </xdr:cNvPr>
        <xdr:cNvPicPr>
          <a:picLocks noChangeAspect="1"/>
        </xdr:cNvPicPr>
      </xdr:nvPicPr>
      <xdr:blipFill>
        <a:blip xmlns:r="http://schemas.openxmlformats.org/officeDocument/2006/relationships" r:embed="rId5"/>
        <a:stretch>
          <a:fillRect/>
        </a:stretch>
      </xdr:blipFill>
      <xdr:spPr>
        <a:xfrm>
          <a:off x="9761220" y="944880"/>
          <a:ext cx="9466667" cy="4514286"/>
        </a:xfrm>
        <a:prstGeom prst="rect">
          <a:avLst/>
        </a:prstGeom>
      </xdr:spPr>
    </xdr:pic>
    <xdr:clientData/>
  </xdr:twoCellAnchor>
  <xdr:twoCellAnchor editAs="oneCell">
    <xdr:from>
      <xdr:col>16</xdr:col>
      <xdr:colOff>0</xdr:colOff>
      <xdr:row>30</xdr:row>
      <xdr:rowOff>0</xdr:rowOff>
    </xdr:from>
    <xdr:to>
      <xdr:col>31</xdr:col>
      <xdr:colOff>522667</xdr:colOff>
      <xdr:row>38</xdr:row>
      <xdr:rowOff>165531</xdr:rowOff>
    </xdr:to>
    <xdr:pic>
      <xdr:nvPicPr>
        <xdr:cNvPr id="7" name="图片 6">
          <a:extLst>
            <a:ext uri="{FF2B5EF4-FFF2-40B4-BE49-F238E27FC236}">
              <a16:creationId xmlns:a16="http://schemas.microsoft.com/office/drawing/2014/main" id="{C88951CE-6F62-4B4F-8AC0-2DE8C60259B0}"/>
            </a:ext>
          </a:extLst>
        </xdr:cNvPr>
        <xdr:cNvPicPr>
          <a:picLocks noChangeAspect="1"/>
        </xdr:cNvPicPr>
      </xdr:nvPicPr>
      <xdr:blipFill>
        <a:blip xmlns:r="http://schemas.openxmlformats.org/officeDocument/2006/relationships" r:embed="rId6"/>
        <a:stretch>
          <a:fillRect/>
        </a:stretch>
      </xdr:blipFill>
      <xdr:spPr>
        <a:xfrm>
          <a:off x="9753600" y="5486400"/>
          <a:ext cx="9666667" cy="1628571"/>
        </a:xfrm>
        <a:prstGeom prst="rect">
          <a:avLst/>
        </a:prstGeom>
      </xdr:spPr>
    </xdr:pic>
    <xdr:clientData/>
  </xdr:twoCellAnchor>
  <xdr:twoCellAnchor editAs="oneCell">
    <xdr:from>
      <xdr:col>16</xdr:col>
      <xdr:colOff>0</xdr:colOff>
      <xdr:row>39</xdr:row>
      <xdr:rowOff>0</xdr:rowOff>
    </xdr:from>
    <xdr:to>
      <xdr:col>31</xdr:col>
      <xdr:colOff>456000</xdr:colOff>
      <xdr:row>46</xdr:row>
      <xdr:rowOff>148411</xdr:rowOff>
    </xdr:to>
    <xdr:pic>
      <xdr:nvPicPr>
        <xdr:cNvPr id="8" name="图片 7">
          <a:extLst>
            <a:ext uri="{FF2B5EF4-FFF2-40B4-BE49-F238E27FC236}">
              <a16:creationId xmlns:a16="http://schemas.microsoft.com/office/drawing/2014/main" id="{1C0F80EE-C924-4E64-B893-6CA18D90E0A0}"/>
            </a:ext>
          </a:extLst>
        </xdr:cNvPr>
        <xdr:cNvPicPr>
          <a:picLocks noChangeAspect="1"/>
        </xdr:cNvPicPr>
      </xdr:nvPicPr>
      <xdr:blipFill>
        <a:blip xmlns:r="http://schemas.openxmlformats.org/officeDocument/2006/relationships" r:embed="rId7"/>
        <a:stretch>
          <a:fillRect/>
        </a:stretch>
      </xdr:blipFill>
      <xdr:spPr>
        <a:xfrm>
          <a:off x="9753600" y="7132320"/>
          <a:ext cx="9600000" cy="142857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9" customWidth="1"/>
    <col min="2" max="2" width="78.21875" style="2840" customWidth="1"/>
    <col min="3" max="18" width="9" style="2834"/>
    <col min="19" max="19" width="17.88671875" style="2834" customWidth="1"/>
    <col min="20" max="51" width="9" style="2834"/>
    <col min="52" max="52" width="13.21875" style="2834" customWidth="1"/>
    <col min="53" max="53" width="13.44140625" style="2834" bestFit="1" customWidth="1"/>
    <col min="54" max="54" width="11.6640625" style="2834" bestFit="1" customWidth="1"/>
    <col min="55" max="55" width="13.44140625" style="2834" bestFit="1" customWidth="1"/>
    <col min="56" max="16384" width="9" style="2834"/>
  </cols>
  <sheetData>
    <row r="1" spans="1:55" s="2845" customFormat="1" ht="16.2" thickBot="1">
      <c r="A1" s="2843" t="s">
        <v>2652</v>
      </c>
      <c r="B1" s="2844" t="s">
        <v>2749</v>
      </c>
    </row>
    <row r="2" spans="1:55" s="2848" customFormat="1" ht="16.2" thickTop="1">
      <c r="A2" s="2846" t="s">
        <v>2656</v>
      </c>
      <c r="B2" s="2847" t="str">
        <f>'预评函-封皮'!B37</f>
        <v>重庆市潼南区梓潼街道办凉风垭C2-3-04（1）号地块出让国有建设用地使用权抵押价格预评估</v>
      </c>
      <c r="AX2" s="2849"/>
      <c r="AZ2" s="2849"/>
      <c r="BA2" s="2850"/>
      <c r="BC2" s="2850"/>
    </row>
    <row r="3" spans="1:55" s="2851" customFormat="1">
      <c r="A3" s="2830" t="s">
        <v>2657</v>
      </c>
      <c r="B3" s="2833">
        <f>'预评函-封皮'!B40</f>
        <v>0</v>
      </c>
    </row>
    <row r="4" spans="1:55" s="2832" customFormat="1">
      <c r="A4" s="2830" t="s">
        <v>2658</v>
      </c>
      <c r="B4" s="2831" t="str">
        <f>'预评函-封皮'!B46</f>
        <v>土地估价师、土地估价师</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6.2" thickBot="1">
      <c r="A5" s="2852" t="s">
        <v>2659</v>
      </c>
      <c r="B5" s="2853" t="str">
        <f>'预评函-封皮'!B49</f>
        <v>康正预评字号</v>
      </c>
    </row>
    <row r="6" spans="1:55" s="2854" customFormat="1" ht="16.2" thickTop="1">
      <c r="A6" s="2846" t="s">
        <v>2701</v>
      </c>
      <c r="B6" s="2847" t="str">
        <f>'预评函-1'!A4</f>
        <v>受贵公司委托，我公司对重庆市潼南区梓潼街道办凉风垭C2-3-04（1）号地块出让国有建设用地使用权抵押价格进行了预评估。</v>
      </c>
      <c r="AM6" s="2855"/>
    </row>
    <row r="7" spans="1:55" s="2829" customFormat="1">
      <c r="A7" s="2830" t="s">
        <v>2653</v>
      </c>
      <c r="B7" s="2831" t="str">
        <f>'预评函-1'!A6</f>
        <v>估价对象为重庆盛皇房地产开发有限公司使用的、位于重庆市潼南区梓潼街道办凉风垭C2-3-04（1）号地块出让国有建设用地使用权。根据《国有土地使用证》[]，估价对象（分摊）出让国有建设用地使用权面积为22322.4平方米。根据《建设工程规划许可证》[]、《出让合同》[]，估价对象规划建筑面积为114120平方米。</v>
      </c>
    </row>
    <row r="8" spans="1:55" s="2829" customFormat="1">
      <c r="A8" s="2830" t="s">
        <v>2654</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2704</v>
      </c>
      <c r="B9" s="2831" t="str">
        <f>'预评函-1'!A9</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55" s="2829" customFormat="1">
      <c r="A10" s="2830" t="s">
        <v>2655</v>
      </c>
      <c r="B10" s="2831" t="str">
        <f>'预评函-1'!A11</f>
        <v>2020年2月28日（评估专业人员勘察现场之日）</v>
      </c>
    </row>
    <row r="11" spans="1:55" s="2829" customFormat="1">
      <c r="A11" s="2830" t="s">
        <v>2661</v>
      </c>
      <c r="B11" s="2831" t="str">
        <f>'预评函-1'!A14</f>
        <v>根据《国有土地使用证》[]，本次评估估价对象证载（地类）用途为住宅。</v>
      </c>
    </row>
    <row r="12" spans="1:55" s="2829" customFormat="1">
      <c r="A12" s="2830" t="s">
        <v>2662</v>
      </c>
      <c r="B12" s="2831" t="str">
        <f>'预评函-1'!A15</f>
        <v>本次评估设定用途即为证载用途住宅。</v>
      </c>
    </row>
    <row r="13" spans="1:55" s="2829" customFormat="1">
      <c r="A13" s="2830" t="s">
        <v>2663</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2664</v>
      </c>
      <c r="B14" s="2831" t="str">
        <f>'预评函-1'!A18</f>
        <v>。本次评估设定土地开发程度为红线外市政基础设施达“七通”、宗地红线内场地平整。</v>
      </c>
    </row>
    <row r="15" spans="1:55" s="2829" customFormat="1">
      <c r="A15" s="2830" t="s">
        <v>2660</v>
      </c>
      <c r="B15" s="2831" t="str">
        <f>'预评函-1'!A20</f>
        <v>根据《国有土地使用证》[]，估价对象（分摊）出让国有建设用地使用权面积为22322.4平方米。根据《建设工程规划许可证》[]、《出让合同》[]，估价对象规划建筑面积为114120平方米。</v>
      </c>
    </row>
    <row r="16" spans="1:55" s="2829" customFormat="1">
      <c r="A16" s="2830" t="s">
        <v>2665</v>
      </c>
      <c r="B16" s="2831" t="str">
        <f>'预评函-1'!A22</f>
        <v>本次估价对象为出让国有建设用地使用权，《国有土地使用证》[]证载土地终止日期为住宅2063年12月3日、商业2053年12月3日。截至估价期日，出让国有建设用地使用权剩余土地使用年限为。</v>
      </c>
    </row>
    <row r="17" spans="1:48" s="2829" customFormat="1">
      <c r="A17" s="2830" t="s">
        <v>2666</v>
      </c>
      <c r="B17" s="2831" t="str">
        <f>'预评函-1'!A23</f>
        <v>本次评估设定估价对象剩余土地使用年限为。</v>
      </c>
    </row>
    <row r="18" spans="1:48" s="2829" customFormat="1">
      <c r="A18" s="2830" t="s">
        <v>2667</v>
      </c>
      <c r="B18" s="2831" t="str">
        <f>'预评函-1'!A25</f>
        <v>本次估价的“出让国有建设用地使用权价格”是指在估价对象土地所有权为国家所有，使用权性质为出让，在公开市场条件下、于估价期日2020年2月28日，在规划利用条件下、设定土地开发程度为红线外“七通”、宗地内场地，设定用途为住宅，剩余土地使用年限为的出让国有建设用地使用权价格。</v>
      </c>
    </row>
    <row r="19" spans="1:48" s="2829" customFormat="1">
      <c r="A19" s="2830" t="s">
        <v>2668</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2669</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6.2" thickBot="1">
      <c r="A21" s="2852" t="s">
        <v>2670</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1" t="s">
        <v>2671</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2672</v>
      </c>
      <c r="B23" s="2831" t="str">
        <f>'预评函-2'!K2</f>
        <v>估价期日：2020年2月28日</v>
      </c>
    </row>
    <row r="24" spans="1:48">
      <c r="A24" s="2830" t="s">
        <v>2673</v>
      </c>
      <c r="B24" s="2831" t="str">
        <f>'预评函-2'!R2</f>
        <v>估价期日的国有建设用地使用权性质：出让</v>
      </c>
    </row>
    <row r="25" spans="1:48">
      <c r="A25" s="2830" t="s">
        <v>2729</v>
      </c>
      <c r="B25" s="2831" t="str">
        <f>'预评函-2'!A3</f>
        <v>估价期日土地使用者</v>
      </c>
    </row>
    <row r="26" spans="1:48">
      <c r="A26" s="2830" t="s">
        <v>2705</v>
      </c>
      <c r="B26" s="2831" t="str">
        <f>'预评函-2'!A5</f>
        <v>中信开发</v>
      </c>
    </row>
    <row r="27" spans="1:48">
      <c r="A27" s="2830" t="s">
        <v>2730</v>
      </c>
      <c r="B27" s="2831" t="str">
        <f>'预评函-2'!B3</f>
        <v>宗地编号/不动产单元号</v>
      </c>
    </row>
    <row r="28" spans="1:48">
      <c r="A28" s="2830" t="s">
        <v>2706</v>
      </c>
      <c r="B28" s="2831" t="str">
        <f>'预评函-2'!B5</f>
        <v>11111111111</v>
      </c>
    </row>
    <row r="29" spans="1:48">
      <c r="A29" s="2830" t="s">
        <v>2732</v>
      </c>
      <c r="B29" s="2831">
        <f>'预评函-2'!C5</f>
        <v>22</v>
      </c>
    </row>
    <row r="30" spans="1:48">
      <c r="A30" s="2830" t="s">
        <v>2733</v>
      </c>
      <c r="B30" s="2831" t="str">
        <f>'预评函-2'!D3</f>
        <v>土地使用证编号/不动产权证书编号</v>
      </c>
    </row>
    <row r="31" spans="1:48">
      <c r="A31" s="2830" t="s">
        <v>2707</v>
      </c>
      <c r="B31" s="2831" t="str">
        <f>'预评函-2'!D5</f>
        <v>京国土字第111号</v>
      </c>
    </row>
    <row r="32" spans="1:48">
      <c r="A32" s="2830" t="s">
        <v>2708</v>
      </c>
      <c r="B32" s="2831" t="str">
        <f>'预评函-2'!E5</f>
        <v>住宅</v>
      </c>
      <c r="AV32" s="2835"/>
    </row>
    <row r="33" spans="1:2">
      <c r="A33" s="2830" t="s">
        <v>2709</v>
      </c>
      <c r="B33" s="2831">
        <f>'预评函-2'!F5</f>
        <v>258</v>
      </c>
    </row>
    <row r="34" spans="1:2">
      <c r="A34" s="2830" t="s">
        <v>2710</v>
      </c>
      <c r="B34" s="2831" t="str">
        <f>'预评函-2'!G5</f>
        <v>住宅</v>
      </c>
    </row>
    <row r="35" spans="1:2">
      <c r="A35" s="2830" t="s">
        <v>2711</v>
      </c>
      <c r="B35" s="2831">
        <f>'预评函-2'!H5</f>
        <v>1.5</v>
      </c>
    </row>
    <row r="36" spans="1:2">
      <c r="A36" s="2830" t="s">
        <v>2712</v>
      </c>
      <c r="B36" s="2831">
        <f>'预评函-2'!I5</f>
        <v>1.5</v>
      </c>
    </row>
    <row r="37" spans="1:2">
      <c r="A37" s="2830" t="s">
        <v>2713</v>
      </c>
      <c r="B37" s="2831">
        <f>'预评函-2'!J5</f>
        <v>1.5</v>
      </c>
    </row>
    <row r="38" spans="1:2">
      <c r="A38" s="2830" t="s">
        <v>2714</v>
      </c>
      <c r="B38" s="2831" t="str">
        <f>'预评函-2'!K5</f>
        <v>红线外七通、宗地红线内</v>
      </c>
    </row>
    <row r="39" spans="1:2">
      <c r="A39" s="2830" t="s">
        <v>2715</v>
      </c>
      <c r="B39" s="2831" t="str">
        <f>'预评函-2'!L5</f>
        <v>红线外七通、宗地红线内场地</v>
      </c>
    </row>
    <row r="40" spans="1:2">
      <c r="A40" s="2830" t="s">
        <v>2734</v>
      </c>
      <c r="B40" s="2831" t="str">
        <f>'预评函-2'!M3</f>
        <v>（剩余）土地使用年限/年</v>
      </c>
    </row>
    <row r="41" spans="1:2">
      <c r="A41" s="2830" t="s">
        <v>2716</v>
      </c>
      <c r="B41" s="2831">
        <f>'预评函-2'!M5</f>
        <v>0</v>
      </c>
    </row>
    <row r="42" spans="1:2">
      <c r="A42" s="2830" t="s">
        <v>2735</v>
      </c>
      <c r="B42" s="2831" t="str">
        <f>'预评函-2'!N3</f>
        <v>（分摊）出让国有建设用地使用权面积/㎡</v>
      </c>
    </row>
    <row r="43" spans="1:2">
      <c r="A43" s="2830" t="s">
        <v>2717</v>
      </c>
      <c r="B43" s="2831">
        <f>'预评函-2'!N5</f>
        <v>22322.400000000001</v>
      </c>
    </row>
    <row r="44" spans="1:2">
      <c r="A44" s="2830" t="s">
        <v>2736</v>
      </c>
      <c r="B44" s="2831" t="str">
        <f>'预评函-2'!O3</f>
        <v>规划建筑面积/㎡</v>
      </c>
    </row>
    <row r="45" spans="1:2">
      <c r="A45" s="2830" t="s">
        <v>2718</v>
      </c>
      <c r="B45" s="2831">
        <f>'预评函-2'!O5</f>
        <v>114120</v>
      </c>
    </row>
    <row r="46" spans="1:2">
      <c r="A46" s="2830" t="s">
        <v>2719</v>
      </c>
      <c r="B46" s="2831">
        <f ca="1">'预评函-2'!P5</f>
        <v>7540</v>
      </c>
    </row>
    <row r="47" spans="1:2">
      <c r="A47" s="2830" t="s">
        <v>2720</v>
      </c>
      <c r="B47" s="2831">
        <f ca="1">'预评函-2'!Q5</f>
        <v>1475</v>
      </c>
    </row>
    <row r="48" spans="1:2">
      <c r="A48" s="2830" t="s">
        <v>2721</v>
      </c>
      <c r="B48" s="2831">
        <f ca="1">'预评函-2'!R5</f>
        <v>16832</v>
      </c>
    </row>
    <row r="49" spans="1:2">
      <c r="A49" s="2830" t="s">
        <v>2737</v>
      </c>
      <c r="B49" s="2831" t="str">
        <f>'预评函-2'!A6</f>
        <v>抵押价格</v>
      </c>
    </row>
    <row r="50" spans="1:2">
      <c r="A50" s="2830" t="s">
        <v>2722</v>
      </c>
      <c r="B50" s="2831">
        <f ca="1">'预评函-2'!R6</f>
        <v>16832</v>
      </c>
    </row>
    <row r="51" spans="1:2">
      <c r="A51" s="2830" t="s">
        <v>2738</v>
      </c>
      <c r="B51" s="2831" t="str">
        <f>'预评函-2'!A7</f>
        <v>——</v>
      </c>
    </row>
    <row r="52" spans="1:2">
      <c r="A52" s="2830" t="s">
        <v>2723</v>
      </c>
      <c r="B52" s="2831" t="str">
        <f>'预评函-2'!R7</f>
        <v>——</v>
      </c>
    </row>
    <row r="53" spans="1:2">
      <c r="A53" s="2830" t="s">
        <v>2739</v>
      </c>
      <c r="B53" s="2831">
        <f>'预评函-2'!A8</f>
        <v>0</v>
      </c>
    </row>
    <row r="54" spans="1:2" s="2845" customFormat="1" ht="16.2" thickBot="1">
      <c r="A54" s="2852" t="s">
        <v>2724</v>
      </c>
      <c r="B54" s="2853" t="str">
        <f>'预评函-2'!R8</f>
        <v>——</v>
      </c>
    </row>
    <row r="55" spans="1:2" ht="16.2" thickTop="1">
      <c r="A55" s="2841" t="s">
        <v>2674</v>
      </c>
      <c r="B55" s="2842" t="str">
        <f>'预评函-3'!A2</f>
        <v>1.权利限制：根据估价对象《不动产权证书》原件、《国有土地使用权》复印件，截至估价期日，估价对象抵押权未见登记。未设定租赁等其他他项权利。</v>
      </c>
    </row>
    <row r="56" spans="1:2">
      <c r="A56" s="2830" t="s">
        <v>2675</v>
      </c>
      <c r="B56" s="2831" t="str">
        <f>'预评函-3'!A3</f>
        <v>2.基础设施条件：估价对象实际开发程度为红线外七通、宗地红线内；本次评估设定开发程度为红线外七通、宗地红线内场地。</v>
      </c>
    </row>
    <row r="57" spans="1:2">
      <c r="A57" s="2830" t="s">
        <v>2676</v>
      </c>
      <c r="B57" s="2831" t="str">
        <f>'预评函-3'!A4</f>
        <v>3.估价规划限制条件：详见《建设工程规划许可证》[]、《出让合同》[]。</v>
      </c>
    </row>
    <row r="58" spans="1:2" s="2845" customFormat="1" ht="16.2" thickBot="1">
      <c r="A58" s="2852" t="s">
        <v>2725</v>
      </c>
      <c r="B58" s="2853" t="str">
        <f>'预评函-3'!A5</f>
        <v>4.影响价格的其他限定条件：无。</v>
      </c>
    </row>
    <row r="59" spans="1:2" ht="16.2" thickTop="1">
      <c r="A59" s="2841" t="s">
        <v>2677</v>
      </c>
      <c r="B59" s="2842" t="str">
        <f>'预评函-3'!A8</f>
        <v>2.本《评估意见函》仅供金融机构进行内部审核使用，不做其他目的之用。</v>
      </c>
    </row>
    <row r="60" spans="1:2">
      <c r="A60" s="2830" t="s">
        <v>2678</v>
      </c>
      <c r="B60" s="2831" t="str">
        <f>'预评函-3'!A9</f>
        <v>3.抵押双方在办理抵押登记手续时，应使用本公司出具的正式《土地估价报告》，特提请报告使用者注意。</v>
      </c>
    </row>
    <row r="61" spans="1:2">
      <c r="A61" s="2830" t="s">
        <v>2680</v>
      </c>
      <c r="B61" s="2831" t="str">
        <f>'预评函-3'!A10</f>
        <v>4.估价师所知悉的法定优先受偿款情况为：</v>
      </c>
    </row>
    <row r="62" spans="1:2">
      <c r="A62" s="2830" t="s">
        <v>2679</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2681</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2682</v>
      </c>
      <c r="B64" s="2836" t="str">
        <f>'预评函-3'!A13</f>
        <v>（3）。</v>
      </c>
    </row>
    <row r="65" spans="1:2">
      <c r="A65" s="2830" t="s">
        <v>2683</v>
      </c>
      <c r="B65" s="2837" t="str">
        <f>'预评函-3'!A14</f>
        <v>综上，本次评估不存在估价师知悉的法定优先受偿款</v>
      </c>
    </row>
    <row r="66" spans="1:2">
      <c r="A66" s="2830" t="s">
        <v>2684</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2685</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6.2" thickBot="1">
      <c r="A68" s="2852" t="s">
        <v>2688</v>
      </c>
      <c r="B68" s="2856">
        <f>'预评函-3'!D30</f>
        <v>42558</v>
      </c>
    </row>
    <row r="69" spans="1:2" ht="16.2" thickTop="1">
      <c r="A69" s="2841" t="s">
        <v>2686</v>
      </c>
      <c r="B69" s="2842" t="str">
        <f>'预评函-3'!A20</f>
        <v>土地估价师</v>
      </c>
    </row>
    <row r="70" spans="1:2">
      <c r="A70" s="2830" t="s">
        <v>2686</v>
      </c>
      <c r="B70" s="2837">
        <f>'预评函-3'!B20</f>
        <v>0</v>
      </c>
    </row>
    <row r="71" spans="1:2">
      <c r="A71" s="2830" t="s">
        <v>2687</v>
      </c>
      <c r="B71" s="2831" t="str">
        <f>'预评函-3'!A21</f>
        <v>土地估价师</v>
      </c>
    </row>
    <row r="72" spans="1:2" s="2845" customFormat="1" ht="16.2" thickBot="1">
      <c r="A72" s="2852" t="s">
        <v>2687</v>
      </c>
      <c r="B72" s="2858">
        <f>'预评函-3'!B21</f>
        <v>0</v>
      </c>
    </row>
    <row r="73" spans="1:2" ht="16.2" thickTop="1">
      <c r="A73" s="2841" t="s">
        <v>2746</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2747</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6.2" thickBot="1">
      <c r="A75" s="2852" t="s">
        <v>2748</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9" t="s">
        <v>2783</v>
      </c>
      <c r="B76" s="2840"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L9" sqref="L9"/>
    </sheetView>
  </sheetViews>
  <sheetFormatPr defaultColWidth="10" defaultRowHeight="15.6"/>
  <cols>
    <col min="1" max="1" width="15.33203125" style="1672" customWidth="1"/>
    <col min="2" max="2" width="11.33203125" style="1672" customWidth="1"/>
    <col min="3" max="3" width="12.6640625" style="1672" customWidth="1"/>
    <col min="4" max="4" width="11.77734375" style="1672" customWidth="1"/>
    <col min="5" max="5" width="12.44140625" style="1672" customWidth="1"/>
    <col min="6" max="6" width="11.33203125" style="1672" customWidth="1"/>
    <col min="7" max="7" width="12.33203125" style="1672" customWidth="1"/>
    <col min="8" max="8" width="10" style="1672" customWidth="1"/>
    <col min="9" max="9" width="12.441406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6.2" thickBot="1">
      <c r="A1" s="1642" t="s">
        <v>1934</v>
      </c>
      <c r="B1" s="3246" t="str">
        <f>IF(B10="北京市","北京市",C10)&amp;F10&amp;B16&amp;"国有建设用地使用权"&amp;B9&amp;"预评估"</f>
        <v>重庆市潼南区梓潼街道办凉风垭C2-3-04（1）号地块出让国有建设用地使用权抵押价格预评估</v>
      </c>
      <c r="C1" s="3247"/>
      <c r="D1" s="3247"/>
      <c r="E1" s="3247"/>
      <c r="F1" s="3247"/>
      <c r="G1" s="3247"/>
      <c r="H1" s="3247"/>
      <c r="I1" s="3248"/>
      <c r="J1" s="1675"/>
      <c r="K1" s="2416" t="str">
        <f>IF(B10="北京市","北京市",C10)&amp;F10&amp;B16&amp;"国有建设用地使用权"&amp;B9</f>
        <v>重庆市潼南区梓潼街道办凉风垭C2-3-04（1）号地块出让国有建设用地使用权抵押价格</v>
      </c>
      <c r="L1" s="1704"/>
      <c r="M1" s="1704"/>
      <c r="N1" s="1675"/>
      <c r="O1" s="1676"/>
      <c r="P1" s="1675"/>
      <c r="Q1" s="1675"/>
      <c r="R1" s="1675"/>
      <c r="S1" s="1675"/>
      <c r="T1" s="1675"/>
      <c r="U1" s="1675"/>
    </row>
    <row r="2" spans="1:21">
      <c r="A2" s="1643" t="s">
        <v>1935</v>
      </c>
      <c r="B2" s="1823"/>
      <c r="D2" s="1675"/>
      <c r="E2" s="1675"/>
      <c r="F2" s="1675"/>
      <c r="G2" s="1675"/>
      <c r="H2" s="1643"/>
      <c r="I2" s="1676"/>
      <c r="J2" s="1675"/>
      <c r="K2" s="2416" t="str">
        <f>IF(B10="北京市","北京市",C10)&amp;F10&amp;B16&amp;"国有建设用地使用权"</f>
        <v>重庆市潼南区梓潼街道办凉风垭C2-3-04（1）号地块出让国有建设用地使用权</v>
      </c>
      <c r="L2" s="1704"/>
      <c r="M2" s="1704"/>
      <c r="N2" s="1675"/>
      <c r="O2" s="1676"/>
      <c r="P2" s="1675"/>
      <c r="Q2" s="1675"/>
      <c r="R2" s="1675"/>
      <c r="S2" s="1675"/>
      <c r="T2" s="1675"/>
      <c r="U2" s="1675"/>
    </row>
    <row r="3" spans="1:21">
      <c r="A3" s="1644" t="s">
        <v>1936</v>
      </c>
      <c r="B3" s="1645">
        <v>43889</v>
      </c>
      <c r="C3" s="1646" t="s">
        <v>1992</v>
      </c>
      <c r="D3" s="1645">
        <f>B3</f>
        <v>43889</v>
      </c>
      <c r="E3" s="1675"/>
      <c r="F3" s="1675"/>
      <c r="G3" s="1675"/>
      <c r="H3" s="1643"/>
      <c r="I3" s="1676"/>
      <c r="J3" s="1675"/>
      <c r="K3" s="1755"/>
      <c r="L3" s="1704"/>
      <c r="M3" s="1704"/>
      <c r="N3" s="1675"/>
      <c r="O3" s="1676"/>
      <c r="P3" s="1675"/>
      <c r="Q3" s="1675"/>
      <c r="R3" s="1675"/>
      <c r="S3" s="1675"/>
      <c r="T3" s="1675"/>
      <c r="U3" s="1675"/>
    </row>
    <row r="4" spans="1:21" ht="31.8" thickBot="1">
      <c r="A4" s="1647" t="s">
        <v>1937</v>
      </c>
      <c r="B4" s="1824" t="s">
        <v>2885</v>
      </c>
      <c r="C4" s="1827">
        <f>SUMIF(土地估价师,B4,估价师及机构信息!E3:E24)</f>
        <v>0</v>
      </c>
      <c r="D4" s="1824" t="s">
        <v>2885</v>
      </c>
      <c r="E4" s="1827">
        <f>SUMIF(土地估价师,D4,估价师及机构信息!E3:E24)</f>
        <v>0</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土地估价师、土地估价师</v>
      </c>
      <c r="L4" s="1704"/>
      <c r="M4" s="1704"/>
      <c r="N4" s="1675"/>
      <c r="O4" s="1676"/>
      <c r="P4" s="1675"/>
      <c r="Q4" s="1675"/>
      <c r="R4" s="1675"/>
      <c r="S4" s="1675"/>
      <c r="T4" s="1675"/>
      <c r="U4" s="1675"/>
    </row>
    <row r="5" spans="1:21" ht="16.2" thickTop="1">
      <c r="A5" s="1648" t="s">
        <v>1938</v>
      </c>
      <c r="B5" s="1770"/>
      <c r="C5" s="1649"/>
      <c r="D5" s="1650"/>
      <c r="E5" s="1675"/>
      <c r="F5" s="1675"/>
      <c r="G5" s="1675"/>
      <c r="H5" s="1643"/>
      <c r="I5" s="1676"/>
      <c r="J5" s="1675"/>
      <c r="K5" s="1755"/>
      <c r="L5" s="1704"/>
      <c r="M5" s="1704"/>
      <c r="N5" s="1675"/>
      <c r="O5" s="1676"/>
      <c r="P5" s="1675"/>
      <c r="Q5" s="1675"/>
      <c r="R5" s="1675"/>
      <c r="S5" s="1675"/>
      <c r="T5" s="1675"/>
      <c r="U5" s="1675"/>
    </row>
    <row r="6" spans="1:21" ht="27.6">
      <c r="A6" s="1646" t="s">
        <v>2702</v>
      </c>
      <c r="B6" s="3184" t="s">
        <v>3123</v>
      </c>
      <c r="C6" s="1742"/>
      <c r="D6" s="1651"/>
      <c r="E6" s="1675"/>
      <c r="F6" s="1675"/>
      <c r="G6" s="1675"/>
      <c r="H6" s="1643"/>
      <c r="I6" s="1676"/>
      <c r="J6" s="1675"/>
      <c r="K6" s="3004" t="str">
        <f>IF(COUNTIF(B6,"*上海银行*"),"上海银行","")</f>
        <v/>
      </c>
      <c r="L6" s="1704"/>
      <c r="M6" s="1704"/>
      <c r="N6" s="1675"/>
      <c r="O6" s="1676"/>
      <c r="P6" s="1675"/>
      <c r="Q6" s="1675"/>
      <c r="R6" s="1675"/>
      <c r="S6" s="1675"/>
      <c r="T6" s="1675"/>
      <c r="U6" s="1675"/>
    </row>
    <row r="7" spans="1:21">
      <c r="A7" s="1652" t="s">
        <v>2703</v>
      </c>
      <c r="B7" s="1770" t="str">
        <f>面积!C4</f>
        <v>重庆盛皇房地产开发有限公司</v>
      </c>
      <c r="C7" s="1742"/>
      <c r="D7" s="1651"/>
      <c r="E7" s="1675"/>
      <c r="F7" s="1675"/>
      <c r="G7" s="1675"/>
      <c r="H7" s="1643"/>
      <c r="I7" s="1676"/>
      <c r="J7" s="1675"/>
      <c r="K7" s="1755"/>
      <c r="L7" s="1704"/>
      <c r="M7" s="1704"/>
      <c r="N7" s="1675"/>
      <c r="O7" s="1676"/>
      <c r="P7" s="1675"/>
      <c r="Q7" s="1675"/>
      <c r="R7" s="1675"/>
      <c r="S7" s="1675"/>
      <c r="T7" s="1675"/>
      <c r="U7" s="1675"/>
    </row>
    <row r="8" spans="1:21">
      <c r="A8" s="1652" t="s">
        <v>1939</v>
      </c>
      <c r="B8" s="1653" t="s">
        <v>2985</v>
      </c>
      <c r="C8" s="1654"/>
      <c r="D8" s="3252" t="s">
        <v>1941</v>
      </c>
      <c r="E8" s="1825" t="s">
        <v>3124</v>
      </c>
      <c r="F8" s="1655"/>
      <c r="G8" s="1643"/>
      <c r="H8" s="1643"/>
      <c r="I8" s="1688"/>
      <c r="J8" s="1675"/>
      <c r="K8" s="1755"/>
      <c r="L8" s="1704"/>
      <c r="M8" s="1704"/>
      <c r="N8" s="1675"/>
      <c r="O8" s="1676"/>
      <c r="P8" s="1675"/>
      <c r="Q8" s="1675"/>
      <c r="R8" s="1675"/>
      <c r="S8" s="1675"/>
      <c r="T8" s="1675"/>
      <c r="U8" s="1675"/>
    </row>
    <row r="9" spans="1:21" ht="16.2" thickBot="1">
      <c r="A9" s="1656" t="s">
        <v>1940</v>
      </c>
      <c r="B9" s="1657" t="s">
        <v>3124</v>
      </c>
      <c r="C9" s="1658"/>
      <c r="D9" s="3253"/>
      <c r="E9" s="1657"/>
      <c r="F9" s="1728"/>
      <c r="G9" s="1723"/>
      <c r="H9" s="1723"/>
      <c r="I9" s="1724"/>
      <c r="J9" s="1675"/>
      <c r="K9" s="1755"/>
      <c r="L9" s="1704"/>
      <c r="M9" s="1704"/>
      <c r="N9" s="1675"/>
      <c r="O9" s="1676"/>
      <c r="P9" s="1675"/>
      <c r="Q9" s="1675"/>
      <c r="R9" s="1675"/>
      <c r="S9" s="1675"/>
      <c r="T9" s="1675"/>
      <c r="U9" s="1675"/>
    </row>
    <row r="10" spans="1:21" ht="18" thickTop="1">
      <c r="A10" s="1725" t="s">
        <v>1996</v>
      </c>
      <c r="B10" s="1700" t="s">
        <v>3125</v>
      </c>
      <c r="C10" s="3185" t="s">
        <v>3126</v>
      </c>
      <c r="D10" s="1650"/>
      <c r="E10" s="1659" t="s">
        <v>1943</v>
      </c>
      <c r="F10" s="1660" t="s">
        <v>3127</v>
      </c>
      <c r="G10" s="1726"/>
      <c r="H10" s="1727"/>
      <c r="I10" s="1650"/>
      <c r="J10" s="1675"/>
      <c r="K10" s="1755"/>
      <c r="L10" s="1704"/>
      <c r="M10" s="1704"/>
      <c r="N10" s="1675"/>
      <c r="O10" s="1676"/>
      <c r="P10" s="1675"/>
      <c r="Q10" s="1675"/>
      <c r="R10" s="1675"/>
      <c r="S10" s="1675"/>
      <c r="T10" s="1675"/>
      <c r="U10" s="1675"/>
    </row>
    <row r="11" spans="1:21">
      <c r="A11" s="1678" t="s">
        <v>1997</v>
      </c>
      <c r="B11" s="1679" t="s">
        <v>3128</v>
      </c>
      <c r="C11" s="3186" t="str">
        <f>B7</f>
        <v>重庆盛皇房地产开发有限公司</v>
      </c>
      <c r="D11" s="1743"/>
      <c r="E11" s="1643"/>
      <c r="F11" s="1643"/>
      <c r="G11" s="1643"/>
      <c r="H11" s="1643"/>
      <c r="I11" s="1643"/>
      <c r="J11" s="1675"/>
      <c r="K11" s="1755"/>
      <c r="L11" s="1704"/>
      <c r="M11" s="1704"/>
      <c r="N11" s="1675"/>
      <c r="O11" s="1676"/>
      <c r="P11" s="1675"/>
      <c r="Q11" s="1675"/>
      <c r="R11" s="1675"/>
      <c r="S11" s="1675"/>
      <c r="T11" s="1675"/>
      <c r="U11" s="1675"/>
    </row>
    <row r="12" spans="1:21">
      <c r="A12" s="1766" t="s">
        <v>2055</v>
      </c>
      <c r="B12" s="3249" t="s">
        <v>3129</v>
      </c>
      <c r="C12" s="3250"/>
      <c r="D12" s="3251"/>
      <c r="E12" s="1680" t="s">
        <v>2058</v>
      </c>
      <c r="F12" s="3267" t="s">
        <v>2886</v>
      </c>
      <c r="G12" s="3268"/>
      <c r="H12" s="3268"/>
      <c r="I12" s="3269"/>
      <c r="J12" s="1675"/>
      <c r="K12" s="1755"/>
      <c r="L12" s="1704"/>
      <c r="M12" s="1704"/>
      <c r="N12" s="1675"/>
      <c r="O12" s="1676"/>
      <c r="P12" s="1675"/>
      <c r="Q12" s="1675"/>
      <c r="R12" s="1675"/>
      <c r="S12" s="1675"/>
      <c r="T12" s="1675"/>
      <c r="U12" s="1675"/>
    </row>
    <row r="13" spans="1:21">
      <c r="A13" s="1668" t="s">
        <v>2056</v>
      </c>
      <c r="B13" s="3249" t="s">
        <v>3129</v>
      </c>
      <c r="C13" s="3250"/>
      <c r="D13" s="3251"/>
      <c r="E13" s="1680" t="s">
        <v>2058</v>
      </c>
      <c r="F13" s="3267" t="s">
        <v>2887</v>
      </c>
      <c r="G13" s="3268"/>
      <c r="H13" s="3268"/>
      <c r="I13" s="3269"/>
      <c r="J13" s="1675"/>
      <c r="K13" s="1755"/>
      <c r="L13" s="1704"/>
      <c r="M13" s="1704"/>
      <c r="N13" s="1675"/>
      <c r="O13" s="1676"/>
      <c r="P13" s="1675"/>
      <c r="Q13" s="1675"/>
      <c r="R13" s="1675"/>
      <c r="S13" s="1675"/>
      <c r="T13" s="1675"/>
      <c r="U13" s="1675"/>
    </row>
    <row r="14" spans="1:21">
      <c r="A14" s="1644" t="s">
        <v>2059</v>
      </c>
      <c r="B14" s="1680"/>
      <c r="C14" s="1826" t="s">
        <v>3130</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6"/>
      <c r="C15" s="1646"/>
      <c r="D15" s="1747" t="s">
        <v>1946</v>
      </c>
      <c r="E15" s="1747" t="s">
        <v>1947</v>
      </c>
      <c r="F15" s="1747" t="s">
        <v>1948</v>
      </c>
      <c r="G15" s="1667" t="s">
        <v>1949</v>
      </c>
      <c r="H15" s="1667" t="s">
        <v>1950</v>
      </c>
      <c r="I15" s="1667" t="s">
        <v>1951</v>
      </c>
      <c r="J15" s="1675"/>
      <c r="K15" s="1755"/>
      <c r="L15" s="1704"/>
      <c r="M15" s="1704"/>
      <c r="N15" s="1675"/>
      <c r="O15" s="1676"/>
      <c r="P15" s="1675"/>
      <c r="Q15" s="1675"/>
      <c r="R15" s="1675"/>
      <c r="S15" s="1675"/>
      <c r="T15" s="1675"/>
      <c r="U15" s="1675"/>
    </row>
    <row r="16" spans="1:21" ht="46.8">
      <c r="A16" s="1661" t="s">
        <v>1944</v>
      </c>
      <c r="B16" s="1662" t="s">
        <v>2980</v>
      </c>
      <c r="C16" s="1680" t="s">
        <v>1945</v>
      </c>
      <c r="D16" s="2607" t="s">
        <v>1946</v>
      </c>
      <c r="E16" s="1703" t="s">
        <v>3132</v>
      </c>
      <c r="F16" s="1703"/>
      <c r="G16" s="1703"/>
      <c r="H16" s="1703"/>
      <c r="I16" s="1667" t="s">
        <v>1951</v>
      </c>
      <c r="J16" s="1675"/>
      <c r="K16" s="2417" t="str">
        <f>IF(D17="","",D16&amp;TEXT(D17,"yyyy年m月d日;;"))</f>
        <v>住宅2063年12月3日</v>
      </c>
      <c r="L16" s="1680" t="str">
        <f>IF(OR(K16="",M16=""),"","、")</f>
        <v>、</v>
      </c>
      <c r="M16" s="2417" t="str">
        <f>IF(E17="","",E16&amp;TEXT(E17,"yyyy年m月d日;;"))</f>
        <v>商业2053年12月3日</v>
      </c>
      <c r="N16" s="1680" t="str">
        <f>IF(OR(M16="",O16=""),"","、")</f>
        <v/>
      </c>
      <c r="O16" s="2417" t="str">
        <f>IF(F17="","",F16&amp;TEXT(F17,"yyyy年m月d日;;"))</f>
        <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1952</v>
      </c>
      <c r="D17" s="1681">
        <v>59873</v>
      </c>
      <c r="E17" s="1681">
        <v>56221</v>
      </c>
      <c r="F17" s="1681"/>
      <c r="G17" s="1681"/>
      <c r="H17" s="1681"/>
      <c r="I17" s="1681"/>
      <c r="J17" s="1675"/>
      <c r="K17" s="2416" t="str">
        <f>CONCATENATE(K16,L16,M16,N16,O16,P16,Q16,R16,S16,T16,,U16)</f>
        <v>住宅2063年12月3日、商业2053年12月3日</v>
      </c>
      <c r="L17" s="1704"/>
      <c r="M17" s="1704"/>
      <c r="N17" s="1675"/>
      <c r="O17" s="1676"/>
      <c r="P17" s="1675"/>
      <c r="Q17" s="1675"/>
      <c r="R17" s="1675"/>
      <c r="S17" s="1675"/>
      <c r="T17" s="1675"/>
      <c r="U17" s="1675"/>
    </row>
    <row r="18" spans="1:21">
      <c r="A18" s="1744"/>
      <c r="B18" s="1663"/>
      <c r="C18" s="1664" t="s">
        <v>1953</v>
      </c>
      <c r="D18" s="1665">
        <v>50</v>
      </c>
      <c r="E18" s="1665">
        <v>40</v>
      </c>
      <c r="F18" s="1665"/>
      <c r="G18" s="1665"/>
      <c r="H18" s="1665"/>
      <c r="I18" s="1665"/>
      <c r="J18" s="1675"/>
      <c r="K18" s="1755"/>
      <c r="L18" s="1704"/>
      <c r="M18" s="1704"/>
      <c r="N18" s="1675"/>
      <c r="O18" s="1676"/>
      <c r="P18" s="1675"/>
      <c r="Q18" s="1675"/>
      <c r="R18" s="1675"/>
      <c r="S18" s="1675"/>
      <c r="T18" s="1675"/>
      <c r="U18" s="1675"/>
    </row>
    <row r="19" spans="1:21">
      <c r="A19" s="1744"/>
      <c r="B19" s="1663"/>
      <c r="C19" s="1643" t="s">
        <v>1954</v>
      </c>
      <c r="D19" s="1739">
        <f>IF(B16="出让",IF(D17="","",ROUNDDOWN(MIN((D17-$D$3)/365,D18),2)),D18)</f>
        <v>43.79</v>
      </c>
      <c r="E19" s="1666">
        <f>IF(B16="出让",IF(E17="","",ROUNDDOWN(MIN((E17-$D$3)/365,E18),2)),E18)</f>
        <v>33.78</v>
      </c>
      <c r="F19" s="1666" t="str">
        <f>IF(B16="出让",IF(F17="","",ROUNDDOWN(MIN((F17-$D$3)/365,F18),2)),F18)</f>
        <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2057</v>
      </c>
      <c r="D20" s="3264"/>
      <c r="E20" s="3265"/>
      <c r="F20" s="3265"/>
      <c r="G20" s="3265"/>
      <c r="H20" s="3265"/>
      <c r="I20" s="3266"/>
      <c r="J20" s="1675"/>
      <c r="K20" s="1755"/>
      <c r="L20" s="1704"/>
      <c r="M20" s="1704"/>
      <c r="N20" s="1675"/>
      <c r="O20" s="1676"/>
      <c r="P20" s="1675"/>
      <c r="Q20" s="1675"/>
      <c r="R20" s="1675"/>
      <c r="S20" s="1675"/>
      <c r="T20" s="1675"/>
      <c r="U20" s="1675"/>
    </row>
    <row r="21" spans="1:21">
      <c r="A21" s="1744" t="s">
        <v>1955</v>
      </c>
      <c r="B21" s="1745" t="s">
        <v>1956</v>
      </c>
      <c r="C21" s="1740">
        <f>'数据-汇总表'!E3</f>
        <v>114120</v>
      </c>
      <c r="D21" s="1741" t="s">
        <v>1957</v>
      </c>
      <c r="E21" s="3254" t="s">
        <v>1995</v>
      </c>
      <c r="F21" s="3255"/>
      <c r="G21" s="3255"/>
      <c r="H21" s="3255"/>
      <c r="I21" s="3256"/>
      <c r="J21" s="1675"/>
      <c r="K21" s="1755"/>
      <c r="L21" s="1704"/>
      <c r="M21" s="1704"/>
      <c r="N21" s="1675"/>
      <c r="O21" s="1676"/>
      <c r="P21" s="1675"/>
      <c r="Q21" s="1675"/>
      <c r="R21" s="1675"/>
      <c r="S21" s="1675"/>
      <c r="T21" s="1675"/>
      <c r="U21" s="1675"/>
    </row>
    <row r="22" spans="1:21">
      <c r="A22" s="3092" t="s">
        <v>952</v>
      </c>
      <c r="B22" s="1644" t="s">
        <v>1958</v>
      </c>
      <c r="C22" s="1667">
        <f>'数据-汇总表'!D3</f>
        <v>22322.400000000001</v>
      </c>
      <c r="D22" s="1668" t="s">
        <v>1957</v>
      </c>
      <c r="E22" s="3254" t="s">
        <v>2888</v>
      </c>
      <c r="F22" s="3255"/>
      <c r="G22" s="3255"/>
      <c r="H22" s="3255"/>
      <c r="I22" s="3256"/>
      <c r="J22" s="1675"/>
      <c r="K22" s="1755"/>
      <c r="L22" s="1704"/>
      <c r="M22" s="1704"/>
      <c r="N22" s="1675"/>
      <c r="O22" s="1676"/>
      <c r="P22" s="1675"/>
      <c r="Q22" s="1675"/>
      <c r="R22" s="1675"/>
      <c r="S22" s="1675"/>
      <c r="T22" s="1675"/>
      <c r="U22" s="1675"/>
    </row>
    <row r="23" spans="1:21" ht="47.4" thickBot="1">
      <c r="A23" s="1746" t="s">
        <v>1959</v>
      </c>
      <c r="B23" s="1682" t="s">
        <v>1960</v>
      </c>
      <c r="C23" s="1683"/>
      <c r="D23" s="1684" t="s">
        <v>1961</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1962</v>
      </c>
      <c r="B24" s="3257" t="s">
        <v>1963</v>
      </c>
      <c r="C24" s="3258"/>
      <c r="D24" s="3259" t="s">
        <v>1964</v>
      </c>
      <c r="E24" s="3260"/>
      <c r="F24" s="1689" t="s">
        <v>1965</v>
      </c>
      <c r="G24" s="1675"/>
      <c r="H24" s="1675"/>
      <c r="I24" s="1688"/>
      <c r="J24" s="1675"/>
      <c r="K24" s="3245" t="s">
        <v>1966</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31.2">
      <c r="A25" s="1732"/>
      <c r="B25" s="1729" t="s">
        <v>2322</v>
      </c>
      <c r="C25" s="1690" t="s">
        <v>1967</v>
      </c>
      <c r="D25" s="1691"/>
      <c r="E25" s="1692" t="s">
        <v>952</v>
      </c>
      <c r="F25" s="1693"/>
      <c r="G25" s="1675"/>
      <c r="H25" s="1675"/>
      <c r="I25" s="1688"/>
      <c r="J25" s="1675"/>
      <c r="K25" s="3245"/>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47.4" thickBot="1">
      <c r="A26" s="1733"/>
      <c r="B26" s="1730" t="s">
        <v>1968</v>
      </c>
      <c r="C26" s="1690" t="s">
        <v>2323</v>
      </c>
      <c r="D26" s="1643"/>
      <c r="E26" s="1643"/>
      <c r="F26" s="1669"/>
      <c r="G26" s="1675"/>
      <c r="H26" s="1675"/>
      <c r="I26" s="1688"/>
      <c r="J26" s="1675"/>
      <c r="K26" s="3245"/>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1969</v>
      </c>
      <c r="B27" s="1734" t="s">
        <v>1970</v>
      </c>
      <c r="C27" s="1694"/>
      <c r="D27" s="2612" t="s">
        <v>1970</v>
      </c>
      <c r="E27" s="1695"/>
      <c r="F27" s="1669"/>
      <c r="G27" s="1675"/>
      <c r="H27" s="1675"/>
      <c r="I27" s="1688"/>
      <c r="J27" s="1675"/>
      <c r="K27" s="1755"/>
      <c r="L27" s="1704"/>
      <c r="M27" s="1704"/>
      <c r="N27" s="1675"/>
      <c r="O27" s="1676"/>
      <c r="P27" s="1675"/>
      <c r="Q27" s="1675"/>
      <c r="R27" s="1675"/>
      <c r="S27" s="1675"/>
      <c r="T27" s="1675"/>
      <c r="U27" s="1675"/>
    </row>
    <row r="28" spans="1:21">
      <c r="A28" s="1737"/>
      <c r="B28" s="1734" t="s">
        <v>1971</v>
      </c>
      <c r="C28" s="1696"/>
      <c r="D28" s="2613" t="s">
        <v>1971</v>
      </c>
      <c r="E28" s="1697"/>
      <c r="F28" s="1669"/>
      <c r="G28" s="1675"/>
      <c r="H28" s="1675"/>
      <c r="I28" s="1688"/>
      <c r="J28" s="1675"/>
      <c r="K28" s="1755"/>
      <c r="L28" s="1704"/>
      <c r="M28" s="1704"/>
      <c r="N28" s="1675"/>
      <c r="O28" s="1676"/>
      <c r="P28" s="1675"/>
      <c r="Q28" s="1675"/>
      <c r="R28" s="1675"/>
      <c r="S28" s="1675"/>
      <c r="T28" s="1675"/>
      <c r="U28" s="1675"/>
    </row>
    <row r="29" spans="1:21">
      <c r="A29" s="1737"/>
      <c r="B29" s="1734" t="s">
        <v>1972</v>
      </c>
      <c r="C29" s="1696"/>
      <c r="D29" s="2613" t="s">
        <v>1972</v>
      </c>
      <c r="E29" s="1697"/>
      <c r="F29" s="1669"/>
      <c r="G29" s="1675"/>
      <c r="H29" s="1675"/>
      <c r="I29" s="1688"/>
      <c r="J29" s="1675"/>
      <c r="K29" s="1755"/>
      <c r="L29" s="1704"/>
      <c r="M29" s="1704"/>
      <c r="N29" s="1675"/>
      <c r="O29" s="1676"/>
      <c r="P29" s="1675"/>
      <c r="Q29" s="1675"/>
      <c r="R29" s="1675"/>
      <c r="S29" s="1675"/>
      <c r="T29" s="1675"/>
      <c r="U29" s="1675"/>
    </row>
    <row r="30" spans="1:21" ht="16.2" thickBot="1">
      <c r="A30" s="1738"/>
      <c r="B30" s="1735" t="s">
        <v>1973</v>
      </c>
      <c r="C30" s="1698"/>
      <c r="D30" s="2614" t="s">
        <v>1973</v>
      </c>
      <c r="E30" s="1699"/>
      <c r="F30" s="1670"/>
      <c r="G30" s="1723"/>
      <c r="H30" s="1723"/>
      <c r="I30" s="1724"/>
      <c r="J30" s="1675"/>
      <c r="K30" s="1755"/>
      <c r="L30" s="1704"/>
      <c r="M30" s="1704"/>
      <c r="N30" s="1675"/>
      <c r="O30" s="1676"/>
      <c r="P30" s="1675"/>
      <c r="Q30" s="1675"/>
      <c r="R30" s="1675"/>
      <c r="S30" s="1675"/>
      <c r="T30" s="1675"/>
      <c r="U30" s="1675"/>
    </row>
    <row r="31" spans="1:21" ht="16.2" thickTop="1">
      <c r="A31" s="3231" t="s">
        <v>1998</v>
      </c>
      <c r="B31" s="1745" t="s">
        <v>1999</v>
      </c>
      <c r="C31" s="3270"/>
      <c r="D31" s="3271"/>
      <c r="E31" s="1675"/>
      <c r="F31" s="1675"/>
      <c r="G31" s="1675"/>
      <c r="H31" s="1675"/>
      <c r="I31" s="1688"/>
      <c r="J31" s="1675"/>
      <c r="K31" s="2419"/>
      <c r="L31" s="1675"/>
      <c r="M31" s="1675"/>
      <c r="N31" s="1675"/>
      <c r="O31" s="1675"/>
      <c r="P31" s="1675"/>
      <c r="Q31" s="1675"/>
      <c r="R31" s="1675"/>
      <c r="S31" s="1675"/>
      <c r="T31" s="1675"/>
      <c r="U31" s="1675"/>
    </row>
    <row r="32" spans="1:21">
      <c r="A32" s="3231"/>
      <c r="B32" s="1644" t="s">
        <v>2000</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231"/>
      <c r="B33" s="1644" t="s">
        <v>2001</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232"/>
      <c r="B34" s="1644" t="s">
        <v>2002</v>
      </c>
      <c r="C34" s="3233"/>
      <c r="D34" s="3234"/>
      <c r="E34" s="1675"/>
      <c r="F34" s="1675"/>
      <c r="G34" s="1675"/>
      <c r="H34" s="1675"/>
      <c r="I34" s="1688"/>
      <c r="J34" s="1675"/>
      <c r="K34" s="2419"/>
      <c r="L34" s="1675"/>
      <c r="M34" s="1675"/>
      <c r="N34" s="1675"/>
      <c r="O34" s="1675"/>
      <c r="P34" s="1675"/>
      <c r="Q34" s="1675"/>
      <c r="R34" s="1675"/>
      <c r="S34" s="1675"/>
      <c r="T34" s="1675"/>
      <c r="U34" s="1675"/>
    </row>
    <row r="35" spans="1:21">
      <c r="A35" s="3235" t="s">
        <v>847</v>
      </c>
      <c r="B35" s="1703"/>
      <c r="C35" s="1757" t="str">
        <f>IF(B35="场地平整","——","具体情况：")</f>
        <v>具体情况：</v>
      </c>
      <c r="D35" s="3237"/>
      <c r="E35" s="3238"/>
      <c r="F35" s="3238"/>
      <c r="G35" s="3238"/>
      <c r="H35" s="3238"/>
      <c r="I35" s="3239"/>
      <c r="J35" s="1675"/>
      <c r="K35" s="1756"/>
      <c r="L35" s="1704"/>
      <c r="M35" s="1704"/>
      <c r="N35" s="1675"/>
      <c r="O35" s="1676"/>
      <c r="P35" s="1675"/>
      <c r="Q35" s="1675"/>
      <c r="R35" s="1675"/>
      <c r="S35" s="1675"/>
      <c r="T35" s="1675"/>
      <c r="U35" s="1675"/>
    </row>
    <row r="36" spans="1:21">
      <c r="A36" s="3231"/>
      <c r="B36" s="3240" t="s">
        <v>2051</v>
      </c>
      <c r="C36" s="3241"/>
      <c r="D36" s="1773"/>
      <c r="E36" s="3242"/>
      <c r="F36" s="3242"/>
      <c r="G36" s="1668" t="str">
        <f>IF(B35="场地未平整","估价结果处理","")</f>
        <v/>
      </c>
      <c r="H36" s="3243"/>
      <c r="I36" s="3243"/>
      <c r="J36" s="1675"/>
      <c r="K36" s="1756"/>
      <c r="L36" s="1704"/>
      <c r="M36" s="1704"/>
      <c r="N36" s="1675"/>
      <c r="O36" s="1676"/>
      <c r="P36" s="1675"/>
      <c r="Q36" s="1675"/>
      <c r="R36" s="1675"/>
      <c r="S36" s="1675"/>
      <c r="T36" s="1675"/>
      <c r="U36" s="1675"/>
    </row>
    <row r="37" spans="1:21" ht="31.2">
      <c r="A37" s="3231"/>
      <c r="B37" s="3261"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231"/>
      <c r="B38" s="3262"/>
      <c r="C38" s="1652" t="s">
        <v>850</v>
      </c>
      <c r="D38" s="1772">
        <f>ROUNDDOWN(MIN(('数据-取费表'!$B$2-D37)/365,D34),1)</f>
        <v>120.2</v>
      </c>
      <c r="E38" s="1708" t="s">
        <v>851</v>
      </c>
      <c r="F38" s="1675"/>
      <c r="G38" s="1675"/>
      <c r="H38" s="1675"/>
      <c r="I38" s="1688"/>
      <c r="J38" s="1675"/>
      <c r="K38" s="1756"/>
      <c r="L38" s="1675"/>
      <c r="M38" s="1675"/>
      <c r="N38" s="1675"/>
      <c r="O38" s="1675"/>
      <c r="P38" s="1675"/>
      <c r="Q38" s="1675"/>
      <c r="R38" s="1675"/>
      <c r="S38" s="1675"/>
      <c r="T38" s="1675"/>
      <c r="U38" s="1675"/>
    </row>
    <row r="39" spans="1:21">
      <c r="A39" s="3232"/>
      <c r="B39" s="3263"/>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1974</v>
      </c>
      <c r="B40" s="1671"/>
      <c r="C40" s="1671"/>
      <c r="D40" s="1671"/>
      <c r="E40" s="1671"/>
      <c r="F40" s="1671"/>
      <c r="G40" s="1671"/>
      <c r="H40" s="1671"/>
      <c r="I40" s="1688"/>
      <c r="J40" s="1675"/>
      <c r="K40" s="1711">
        <f>COUNTIF(B40:H40,"——")</f>
        <v>0</v>
      </c>
      <c r="L40" s="1680" t="s">
        <v>1975</v>
      </c>
      <c r="M40" s="1677" t="s">
        <v>1976</v>
      </c>
      <c r="N40" s="1677" t="s">
        <v>1977</v>
      </c>
      <c r="O40" s="1677" t="s">
        <v>1978</v>
      </c>
      <c r="P40" s="1677" t="s">
        <v>1979</v>
      </c>
      <c r="Q40" s="1677" t="s">
        <v>1980</v>
      </c>
      <c r="R40" s="1677" t="s">
        <v>1981</v>
      </c>
      <c r="S40" s="3244" t="s">
        <v>1982</v>
      </c>
      <c r="T40" s="1712" t="str">
        <f>NUMBERSTRING(7-K40,1)&amp;"通"</f>
        <v>七通</v>
      </c>
      <c r="U40" s="1675"/>
    </row>
    <row r="41" spans="1:21">
      <c r="A41" s="1646"/>
      <c r="B41" s="3236" t="s">
        <v>1720</v>
      </c>
      <c r="C41" s="3236"/>
      <c r="D41" s="3236"/>
      <c r="E41" s="3236"/>
      <c r="F41" s="1713" t="str">
        <f>C10</f>
        <v>重庆市</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244"/>
      <c r="T41" s="1714" t="str">
        <f>IF(T40="一通",L41,IF(T40="二通",M41,IF(T40="三通",N41,IF(T40="四通",O41,IF(T40="五通",P41,IF(T40="六通",Q41,R41))))))</f>
        <v>、、、、、、</v>
      </c>
      <c r="U41" s="1675"/>
    </row>
    <row r="42" spans="1:21">
      <c r="A42" s="1716"/>
      <c r="B42" s="1747" t="s">
        <v>1896</v>
      </c>
      <c r="C42" s="1747" t="s">
        <v>1897</v>
      </c>
      <c r="D42" s="1747" t="s">
        <v>1898</v>
      </c>
      <c r="E42" s="1680" t="s">
        <v>1899</v>
      </c>
      <c r="F42" s="1717"/>
      <c r="G42" s="1675"/>
      <c r="H42" s="1675"/>
      <c r="I42" s="1688"/>
      <c r="J42" s="1675"/>
      <c r="K42" s="1755"/>
      <c r="L42" s="1704"/>
      <c r="M42" s="1704"/>
      <c r="N42" s="1675"/>
      <c r="O42" s="1676"/>
      <c r="P42" s="1675"/>
      <c r="Q42" s="1675"/>
      <c r="R42" s="1675"/>
      <c r="S42" s="1675"/>
      <c r="T42" s="1675"/>
      <c r="U42" s="1675"/>
    </row>
    <row r="43" spans="1:21">
      <c r="A43" s="1718" t="s">
        <v>1705</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1706</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2889</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2003</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46.8">
      <c r="A48" s="1680" t="s">
        <v>2004</v>
      </c>
      <c r="B48" s="1667" t="s">
        <v>2005</v>
      </c>
      <c r="C48" s="1667" t="s">
        <v>2006</v>
      </c>
      <c r="D48" s="1667" t="s">
        <v>2007</v>
      </c>
      <c r="E48" s="1667" t="s">
        <v>2008</v>
      </c>
      <c r="F48" s="1667" t="s">
        <v>2009</v>
      </c>
      <c r="G48" s="1667" t="s">
        <v>2010</v>
      </c>
      <c r="H48" s="1667" t="s">
        <v>2011</v>
      </c>
      <c r="I48" s="1667" t="s">
        <v>2012</v>
      </c>
      <c r="J48" s="1753" t="s">
        <v>2013</v>
      </c>
      <c r="K48" s="1747" t="s">
        <v>2014</v>
      </c>
      <c r="L48" s="1747" t="s">
        <v>2015</v>
      </c>
      <c r="M48" s="1747" t="s">
        <v>2016</v>
      </c>
      <c r="N48" s="1667" t="s">
        <v>2017</v>
      </c>
      <c r="O48" s="1667" t="s">
        <v>2018</v>
      </c>
      <c r="P48" s="1667" t="s">
        <v>2019</v>
      </c>
      <c r="Q48" s="1680" t="s">
        <v>2020</v>
      </c>
      <c r="R48" s="1680" t="s">
        <v>2021</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20" sqref="M20"/>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1" t="s">
        <v>2330</v>
      </c>
      <c r="BA2" s="2322"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f>面积!C7</f>
        <v>22322.400000000001</v>
      </c>
      <c r="B3" s="22">
        <f>IF(C3="否",G5-AT5,G5)</f>
        <v>114120</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3"/>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114120</v>
      </c>
      <c r="H5" s="27">
        <f t="shared" ref="H5:AT5" si="0">SUM(H13:H641)</f>
        <v>114120</v>
      </c>
      <c r="I5" s="27">
        <f t="shared" si="0"/>
        <v>100920</v>
      </c>
      <c r="J5" s="27">
        <f t="shared" si="0"/>
        <v>0</v>
      </c>
      <c r="K5" s="27">
        <f t="shared" si="0"/>
        <v>13200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114120</v>
      </c>
      <c r="BA5" s="29">
        <f t="shared" si="1"/>
        <v>114120</v>
      </c>
      <c r="BB5" s="29">
        <f t="shared" si="1"/>
        <v>100920</v>
      </c>
      <c r="BC5" s="29">
        <f t="shared" si="1"/>
        <v>13200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22322.399999999998</v>
      </c>
      <c r="F6" s="27" t="s">
        <v>1</v>
      </c>
      <c r="G6" s="27" t="s">
        <v>2</v>
      </c>
      <c r="H6" s="33">
        <f>SUMIF(I$12:AB$12,"总值",I6:AB6)</f>
        <v>22322.399999999998</v>
      </c>
      <c r="I6" s="27">
        <f t="shared" ref="I6:AB6" si="2">ROUND($A$3*I5/$B$3,2)</f>
        <v>19740.419999999998</v>
      </c>
      <c r="J6" s="27">
        <f t="shared" si="2"/>
        <v>0</v>
      </c>
      <c r="K6" s="27">
        <f t="shared" si="2"/>
        <v>2581.98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22322.400000000001</v>
      </c>
      <c r="AZ6" s="27" t="s">
        <v>3</v>
      </c>
      <c r="BA6" s="27">
        <f>ROUND($AY$6*BA5/$AZ$5,2)</f>
        <v>22322.400000000001</v>
      </c>
      <c r="BB6" s="27">
        <f>ROUND($AY$6*BB5/$AZ$5,2)</f>
        <v>19740.419999999998</v>
      </c>
      <c r="BC6" s="27">
        <f t="shared" ref="BC6:BH6" si="4">ROUND($AY$6*BC5/$AZ$5,2)</f>
        <v>2581.98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79"/>
      <c r="AT8" s="2310"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68" t="s">
        <v>3133</v>
      </c>
      <c r="J9" s="51"/>
      <c r="K9" s="2968" t="s">
        <v>3133</v>
      </c>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1"/>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68" t="s">
        <v>923</v>
      </c>
      <c r="J10" s="51"/>
      <c r="K10" s="2970" t="s">
        <v>3132</v>
      </c>
      <c r="L10" s="51"/>
      <c r="M10" s="2970"/>
      <c r="N10" s="51"/>
      <c r="O10" s="66"/>
      <c r="P10" s="51"/>
      <c r="Q10" s="66"/>
      <c r="R10" s="51"/>
      <c r="S10" s="66"/>
      <c r="T10" s="51"/>
      <c r="U10" s="66"/>
      <c r="V10" s="51"/>
      <c r="W10" s="66"/>
      <c r="X10" s="51"/>
      <c r="Y10" s="66"/>
      <c r="Z10" s="51"/>
      <c r="AA10" s="66"/>
      <c r="AB10" s="51"/>
      <c r="AC10" s="55"/>
      <c r="AD10" s="2296" t="s">
        <v>2314</v>
      </c>
      <c r="AE10" s="2318"/>
      <c r="AF10" s="2296" t="s">
        <v>2314</v>
      </c>
      <c r="AG10" s="2318"/>
      <c r="AH10" s="2296" t="s">
        <v>2315</v>
      </c>
      <c r="AI10" s="2318"/>
      <c r="AJ10" s="26" t="s">
        <v>2328</v>
      </c>
      <c r="AK10" s="2315"/>
      <c r="AL10" s="2296" t="s">
        <v>2316</v>
      </c>
      <c r="AM10" s="2297"/>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6" t="s">
        <v>2327</v>
      </c>
      <c r="AE11" s="1002"/>
      <c r="AF11" s="2316" t="s">
        <v>2327</v>
      </c>
      <c r="AG11" s="1002"/>
      <c r="AH11" s="2316" t="s">
        <v>2326</v>
      </c>
      <c r="AI11" s="2317"/>
      <c r="AJ11" s="2316" t="s">
        <v>2326</v>
      </c>
      <c r="AK11" s="2315"/>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3"/>
      <c r="B13" s="2963"/>
      <c r="C13" s="3187" t="s">
        <v>3184</v>
      </c>
      <c r="D13" s="2964" t="s">
        <v>1678</v>
      </c>
      <c r="E13" s="27">
        <f t="shared" ref="E13:E20" si="6">IF($C$3="是",ROUND($A$3*G13/$B$3,2),ROUND($A$3*(G13-AT13)/$B$3,2))</f>
        <v>9295.1299999999992</v>
      </c>
      <c r="F13" s="81"/>
      <c r="G13" s="82">
        <f t="shared" ref="G13:G20" si="7">H13+AC13+AT13</f>
        <v>47520</v>
      </c>
      <c r="H13" s="33">
        <f t="shared" ref="H13:H20" si="8">SUMIF(I$12:AB$12,"总值",I13:AB13)</f>
        <v>47520</v>
      </c>
      <c r="I13" s="2967">
        <f>面积!S4</f>
        <v>47520</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t="str">
        <f t="shared" si="10"/>
        <v>高层</v>
      </c>
      <c r="AY13" s="996">
        <f t="shared" ref="AY13:AY20" si="11">ROUND($AY$6*AZ13/$AZ$5,2)</f>
        <v>9295.1299999999992</v>
      </c>
      <c r="AZ13" s="27">
        <f t="shared" ref="AZ13:AZ20" si="12">BA13+BL13</f>
        <v>47520</v>
      </c>
      <c r="BA13" s="27">
        <f t="shared" ref="BA13:BA20" si="13">SUM(BB13:BK13)</f>
        <v>47520</v>
      </c>
      <c r="BB13" s="27">
        <f t="shared" ref="BB13:BB20" si="14">IF($D13="是",I13-J13,0)</f>
        <v>47520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3"/>
      <c r="B14" s="2963"/>
      <c r="C14" s="3200" t="s">
        <v>3185</v>
      </c>
      <c r="D14" s="2964" t="s">
        <v>1678</v>
      </c>
      <c r="E14" s="27">
        <f t="shared" si="6"/>
        <v>7667.7</v>
      </c>
      <c r="F14" s="81"/>
      <c r="G14" s="82">
        <f t="shared" si="7"/>
        <v>39200</v>
      </c>
      <c r="H14" s="33">
        <f t="shared" si="8"/>
        <v>39200</v>
      </c>
      <c r="I14" s="2967">
        <f>面积!S5</f>
        <v>39200</v>
      </c>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t="str">
        <f t="shared" si="10"/>
        <v>超高层</v>
      </c>
      <c r="AY14" s="996">
        <f t="shared" si="11"/>
        <v>7667.7</v>
      </c>
      <c r="AZ14" s="27">
        <f t="shared" si="12"/>
        <v>39200</v>
      </c>
      <c r="BA14" s="27">
        <f t="shared" si="13"/>
        <v>39200</v>
      </c>
      <c r="BB14" s="27">
        <f t="shared" si="14"/>
        <v>39200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3"/>
      <c r="B15" s="2963"/>
      <c r="C15" s="3200" t="s">
        <v>3186</v>
      </c>
      <c r="D15" s="2964" t="s">
        <v>1678</v>
      </c>
      <c r="E15" s="27">
        <f t="shared" si="6"/>
        <v>2777.59</v>
      </c>
      <c r="F15" s="81"/>
      <c r="G15" s="82">
        <f t="shared" si="7"/>
        <v>14200</v>
      </c>
      <c r="H15" s="33">
        <f t="shared" si="8"/>
        <v>14200</v>
      </c>
      <c r="I15" s="2967">
        <f>面积!S6</f>
        <v>14200</v>
      </c>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t="str">
        <f t="shared" si="10"/>
        <v>公寓</v>
      </c>
      <c r="AY15" s="996">
        <f t="shared" si="11"/>
        <v>2777.59</v>
      </c>
      <c r="AZ15" s="27">
        <f t="shared" si="12"/>
        <v>14200</v>
      </c>
      <c r="BA15" s="27">
        <f t="shared" si="13"/>
        <v>14200</v>
      </c>
      <c r="BB15" s="27">
        <f t="shared" si="14"/>
        <v>14200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3"/>
      <c r="B16" s="2963"/>
      <c r="C16" s="3200" t="s">
        <v>3187</v>
      </c>
      <c r="D16" s="2964" t="s">
        <v>1678</v>
      </c>
      <c r="E16" s="27">
        <f t="shared" si="6"/>
        <v>2581.98</v>
      </c>
      <c r="F16" s="81"/>
      <c r="G16" s="82">
        <f t="shared" si="7"/>
        <v>13200</v>
      </c>
      <c r="H16" s="33">
        <f t="shared" si="8"/>
        <v>13200</v>
      </c>
      <c r="I16" s="2967"/>
      <c r="J16" s="2967"/>
      <c r="K16" s="2967">
        <f>面积!S7</f>
        <v>13200</v>
      </c>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t="str">
        <f t="shared" si="10"/>
        <v>商业</v>
      </c>
      <c r="AY16" s="996">
        <f t="shared" si="11"/>
        <v>2581.98</v>
      </c>
      <c r="AZ16" s="27">
        <f t="shared" si="12"/>
        <v>13200</v>
      </c>
      <c r="BA16" s="27">
        <f t="shared" si="13"/>
        <v>13200</v>
      </c>
      <c r="BB16" s="27">
        <f t="shared" si="14"/>
        <v>0</v>
      </c>
      <c r="BC16" s="27">
        <f t="shared" si="15"/>
        <v>13200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46.8">
      <c r="A3" s="3272"/>
      <c r="B3" s="3272"/>
      <c r="C3" s="3272"/>
      <c r="D3" s="3273"/>
      <c r="E3" s="3273"/>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87C9B-1815-4218-A793-623ABBF39CAB}">
  <dimension ref="B2:S21"/>
  <sheetViews>
    <sheetView topLeftCell="A4" workbookViewId="0">
      <selection activeCell="M21" sqref="M21"/>
    </sheetView>
  </sheetViews>
  <sheetFormatPr defaultRowHeight="14.4"/>
  <cols>
    <col min="1" max="1" width="8.88671875" style="3179"/>
    <col min="2" max="2" width="15.5546875" style="3179" customWidth="1"/>
    <col min="3" max="3" width="10.5546875" style="3179" bestFit="1" customWidth="1"/>
    <col min="4" max="14" width="8.88671875" style="3179"/>
    <col min="15" max="15" width="12.6640625" style="3179" customWidth="1"/>
    <col min="16" max="16" width="13.77734375" style="3179" customWidth="1"/>
    <col min="17" max="17" width="11.88671875" style="3179" customWidth="1"/>
    <col min="18" max="16384" width="8.88671875" style="3179"/>
  </cols>
  <sheetData>
    <row r="2" spans="2:19">
      <c r="B2" s="3178" t="s">
        <v>2993</v>
      </c>
    </row>
    <row r="3" spans="2:19">
      <c r="B3" s="3179" t="s">
        <v>2994</v>
      </c>
      <c r="C3" s="3179" t="s">
        <v>2995</v>
      </c>
      <c r="J3" s="3198" t="s">
        <v>3153</v>
      </c>
      <c r="K3" s="3198" t="s">
        <v>3161</v>
      </c>
      <c r="L3" s="3198" t="s">
        <v>3163</v>
      </c>
      <c r="M3" s="3198" t="s">
        <v>3168</v>
      </c>
      <c r="N3" s="3198" t="s">
        <v>3172</v>
      </c>
      <c r="O3" s="3274" t="s">
        <v>3173</v>
      </c>
      <c r="P3" s="3274"/>
      <c r="Q3" s="3274"/>
      <c r="R3" s="3198" t="s">
        <v>3182</v>
      </c>
      <c r="S3" s="3198" t="s">
        <v>3002</v>
      </c>
    </row>
    <row r="4" spans="2:19">
      <c r="B4" s="3179" t="s">
        <v>2996</v>
      </c>
      <c r="C4" s="3179" t="s">
        <v>2997</v>
      </c>
      <c r="J4" s="3196" t="s">
        <v>3157</v>
      </c>
      <c r="K4" s="3196">
        <v>33</v>
      </c>
      <c r="L4" s="3196" t="s">
        <v>3165</v>
      </c>
      <c r="M4" s="3196" t="s">
        <v>3169</v>
      </c>
      <c r="N4" s="3196">
        <v>720</v>
      </c>
      <c r="O4" s="3196" t="s">
        <v>3174</v>
      </c>
      <c r="P4" s="3196" t="s">
        <v>3175</v>
      </c>
      <c r="Q4" s="3196" t="s">
        <v>3176</v>
      </c>
      <c r="R4" s="3196">
        <v>396</v>
      </c>
      <c r="S4" s="3196">
        <v>47520</v>
      </c>
    </row>
    <row r="5" spans="2:19">
      <c r="B5" s="3179" t="s">
        <v>2998</v>
      </c>
      <c r="C5" s="3179" t="s">
        <v>2999</v>
      </c>
      <c r="J5" s="3196" t="s">
        <v>3155</v>
      </c>
      <c r="K5" s="3196">
        <v>49</v>
      </c>
      <c r="L5" s="3196" t="s">
        <v>3166</v>
      </c>
      <c r="M5" s="3196" t="s">
        <v>3170</v>
      </c>
      <c r="N5" s="3196">
        <v>800</v>
      </c>
      <c r="O5" s="3196" t="s">
        <v>3177</v>
      </c>
      <c r="P5" s="3196" t="s">
        <v>3178</v>
      </c>
      <c r="Q5" s="3196" t="s">
        <v>3179</v>
      </c>
      <c r="R5" s="3196">
        <v>196</v>
      </c>
      <c r="S5" s="3196">
        <v>39200</v>
      </c>
    </row>
    <row r="6" spans="2:19">
      <c r="B6" s="3179" t="s">
        <v>3000</v>
      </c>
      <c r="C6" s="3179" t="s">
        <v>3001</v>
      </c>
      <c r="J6" s="3196" t="s">
        <v>3159</v>
      </c>
      <c r="K6" s="3196">
        <v>19</v>
      </c>
      <c r="L6" s="3196" t="s">
        <v>3167</v>
      </c>
      <c r="M6" s="3196" t="s">
        <v>3171</v>
      </c>
      <c r="N6" s="3196">
        <v>740</v>
      </c>
      <c r="O6" s="3196" t="s">
        <v>3180</v>
      </c>
      <c r="P6" s="3196" t="s">
        <v>3181</v>
      </c>
      <c r="Q6" s="3196"/>
      <c r="R6" s="3196">
        <v>418</v>
      </c>
      <c r="S6" s="3196">
        <v>14200</v>
      </c>
    </row>
    <row r="7" spans="2:19">
      <c r="B7" s="3179" t="s">
        <v>3002</v>
      </c>
      <c r="C7" s="3179">
        <v>22322.400000000001</v>
      </c>
      <c r="J7" s="3196" t="s">
        <v>3160</v>
      </c>
      <c r="K7" s="3197" t="s">
        <v>3162</v>
      </c>
      <c r="L7" s="3196" t="s">
        <v>3164</v>
      </c>
      <c r="M7" s="3196"/>
      <c r="N7" s="3196"/>
      <c r="O7" s="3196"/>
      <c r="P7" s="3196"/>
      <c r="Q7" s="3196"/>
      <c r="R7" s="3196"/>
      <c r="S7" s="3196">
        <v>13200</v>
      </c>
    </row>
    <row r="8" spans="2:19">
      <c r="B8" s="3179" t="s">
        <v>3003</v>
      </c>
      <c r="C8" s="3179" t="s">
        <v>3131</v>
      </c>
      <c r="J8" s="3275" t="s">
        <v>3183</v>
      </c>
      <c r="K8" s="3276"/>
      <c r="L8" s="3276"/>
      <c r="M8" s="3276"/>
      <c r="N8" s="3276"/>
      <c r="O8" s="3276"/>
      <c r="P8" s="3276"/>
      <c r="Q8" s="3276"/>
      <c r="R8" s="3277"/>
      <c r="S8" s="3196">
        <f>SUM(S4:S7)</f>
        <v>114120</v>
      </c>
    </row>
    <row r="9" spans="2:19">
      <c r="J9" s="3199" t="s">
        <v>3011</v>
      </c>
      <c r="K9" s="3199">
        <f>ROUND(S8/C7,2)</f>
        <v>5.1100000000000003</v>
      </c>
    </row>
    <row r="11" spans="2:19">
      <c r="B11" s="3178" t="s">
        <v>3004</v>
      </c>
    </row>
    <row r="12" spans="2:19">
      <c r="B12" s="3179" t="s">
        <v>3005</v>
      </c>
      <c r="C12" s="3179" t="s">
        <v>3006</v>
      </c>
    </row>
    <row r="13" spans="2:19">
      <c r="B13" s="3179" t="s">
        <v>2998</v>
      </c>
      <c r="C13" s="3179" t="s">
        <v>2999</v>
      </c>
    </row>
    <row r="14" spans="2:19">
      <c r="B14" s="3179" t="s">
        <v>3007</v>
      </c>
      <c r="C14" s="3179" t="s">
        <v>3008</v>
      </c>
    </row>
    <row r="15" spans="2:19">
      <c r="B15" s="3179" t="s">
        <v>3009</v>
      </c>
      <c r="C15" s="3179">
        <v>56445.66</v>
      </c>
      <c r="K15" s="3179" t="s">
        <v>3205</v>
      </c>
      <c r="L15" s="3179" t="s">
        <v>3206</v>
      </c>
      <c r="M15" s="3179" t="s">
        <v>3207</v>
      </c>
    </row>
    <row r="16" spans="2:19">
      <c r="B16" s="3179" t="s">
        <v>3010</v>
      </c>
      <c r="C16" s="3179">
        <v>197559.81</v>
      </c>
      <c r="K16" s="3179" t="s">
        <v>3202</v>
      </c>
      <c r="L16" s="3179">
        <v>1</v>
      </c>
      <c r="M16" s="3179">
        <v>2.5</v>
      </c>
    </row>
    <row r="17" spans="2:13">
      <c r="B17" s="3179" t="s">
        <v>3011</v>
      </c>
      <c r="C17" s="3179">
        <v>3.5</v>
      </c>
      <c r="K17" s="3179" t="s">
        <v>3203</v>
      </c>
      <c r="L17" s="3179">
        <v>0.7</v>
      </c>
      <c r="M17" s="3179">
        <f>ROUND(M16*L17,2)</f>
        <v>1.75</v>
      </c>
    </row>
    <row r="18" spans="2:13">
      <c r="B18" s="3179" t="s">
        <v>3012</v>
      </c>
      <c r="C18" s="3179">
        <v>187967400</v>
      </c>
      <c r="K18" s="3179" t="s">
        <v>3204</v>
      </c>
      <c r="L18" s="3179">
        <v>0.6</v>
      </c>
      <c r="M18" s="3179">
        <f>ROUND(M16*L18,2)</f>
        <v>1.5</v>
      </c>
    </row>
    <row r="19" spans="2:13">
      <c r="B19" s="3179" t="s">
        <v>3013</v>
      </c>
      <c r="C19" s="3179">
        <v>3330.05</v>
      </c>
      <c r="M19" s="3179">
        <f>ROUND((M16+M17+M18)/3,2)</f>
        <v>1.92</v>
      </c>
    </row>
    <row r="20" spans="2:13">
      <c r="B20" s="3179" t="s">
        <v>2970</v>
      </c>
      <c r="C20" s="3179">
        <f>ROUND(C18/C16,2)</f>
        <v>951.45</v>
      </c>
    </row>
    <row r="21" spans="2:13">
      <c r="B21" s="3179" t="s">
        <v>3113</v>
      </c>
      <c r="C21" s="3179" t="s">
        <v>3114</v>
      </c>
    </row>
  </sheetData>
  <mergeCells count="2">
    <mergeCell ref="O3:Q3"/>
    <mergeCell ref="J8:R8"/>
  </mergeCells>
  <phoneticPr fontId="229" type="noConversion"/>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I28" sqref="I28"/>
    </sheetView>
  </sheetViews>
  <sheetFormatPr defaultColWidth="9.21875" defaultRowHeight="13.8"/>
  <cols>
    <col min="1" max="1" width="8.21875" style="1967" customWidth="1"/>
    <col min="2" max="2" width="10.21875" style="1967" customWidth="1"/>
    <col min="3" max="3" width="18.44140625" style="1967" customWidth="1"/>
    <col min="4" max="4" width="11.109375" style="1967" customWidth="1"/>
    <col min="5" max="5" width="13.33203125" style="1967" customWidth="1"/>
    <col min="6" max="8" width="11.44140625" style="1967" customWidth="1"/>
    <col min="9" max="9" width="10.33203125" style="1967" customWidth="1"/>
    <col min="10" max="10" width="3.109375" style="1967" customWidth="1"/>
    <col min="11" max="16" width="11.6640625" style="1967" customWidth="1"/>
    <col min="17" max="17" width="3.33203125" style="1967" customWidth="1"/>
    <col min="18" max="16384" width="9.21875" style="1967"/>
  </cols>
  <sheetData>
    <row r="1" spans="1:16" ht="17.399999999999999">
      <c r="A1" s="104" t="s">
        <v>202</v>
      </c>
      <c r="B1" s="1966"/>
      <c r="C1" s="1966"/>
      <c r="D1" s="1966"/>
      <c r="E1" s="1966"/>
      <c r="F1" s="1966"/>
      <c r="G1" s="1966"/>
      <c r="H1" s="1966"/>
      <c r="I1" s="1966"/>
      <c r="J1" s="1966"/>
      <c r="K1" s="1966"/>
      <c r="L1" s="1966"/>
    </row>
    <row r="2" spans="1:16" ht="14.4">
      <c r="A2" s="3287" t="s">
        <v>203</v>
      </c>
      <c r="B2" s="3287"/>
      <c r="C2" s="3287"/>
      <c r="D2" s="1957" t="s">
        <v>204</v>
      </c>
      <c r="E2" s="106" t="s">
        <v>205</v>
      </c>
      <c r="F2" s="1966"/>
      <c r="G2" s="1194"/>
      <c r="H2" s="1195"/>
      <c r="I2" s="1196" t="s">
        <v>857</v>
      </c>
      <c r="J2" s="1966"/>
      <c r="K2" s="1966"/>
      <c r="L2" s="1966"/>
    </row>
    <row r="3" spans="1:16" ht="15" thickBot="1">
      <c r="A3" s="3288" t="s">
        <v>206</v>
      </c>
      <c r="B3" s="3288"/>
      <c r="C3" s="3288"/>
      <c r="D3" s="107">
        <f>'数据-基础表'!AY6</f>
        <v>22322.400000000001</v>
      </c>
      <c r="E3" s="107">
        <f>'数据-基础表'!AZ5</f>
        <v>114120</v>
      </c>
      <c r="F3" s="1966"/>
      <c r="G3" s="280" t="s">
        <v>858</v>
      </c>
      <c r="H3" s="275" t="s">
        <v>859</v>
      </c>
      <c r="I3" s="1958">
        <f>ROUND('数据-基础表'!B3/'数据-基础表'!A3,2)</f>
        <v>5.1100000000000003</v>
      </c>
      <c r="J3" s="1966"/>
      <c r="K3" s="1966"/>
      <c r="L3" s="1966"/>
    </row>
    <row r="4" spans="1:16" ht="14.4">
      <c r="A4" s="3289"/>
      <c r="B4" s="3290"/>
      <c r="C4" s="3291"/>
      <c r="D4" s="108" t="s">
        <v>204</v>
      </c>
      <c r="E4" s="109" t="s">
        <v>205</v>
      </c>
      <c r="F4" s="1966"/>
      <c r="G4" s="1197"/>
      <c r="H4" s="275" t="s">
        <v>860</v>
      </c>
      <c r="I4" s="1958">
        <f>ROUND(SUMIF('数据-基础表'!I9:AS9,"地上",'数据-基础表'!I5:AS5)/'数据-基础表'!A3,2)</f>
        <v>5.1100000000000003</v>
      </c>
      <c r="J4" s="1966"/>
      <c r="K4" s="1966"/>
      <c r="L4" s="1966"/>
    </row>
    <row r="5" spans="1:16" ht="14.4">
      <c r="A5" s="110" t="s">
        <v>207</v>
      </c>
      <c r="B5" s="3292" t="s">
        <v>230</v>
      </c>
      <c r="C5" s="3292"/>
      <c r="D5" s="111">
        <f>ROUND($D$3*E5/$E$3,2)</f>
        <v>19740.419999999998</v>
      </c>
      <c r="E5" s="112">
        <f>SUMIF('数据-基础表'!$11:$11,"住宅",'数据-基础表'!$5:$5)</f>
        <v>100920</v>
      </c>
      <c r="F5" s="1966"/>
      <c r="G5" s="280" t="s">
        <v>861</v>
      </c>
      <c r="H5" s="275" t="s">
        <v>859</v>
      </c>
      <c r="I5" s="1958">
        <f>ROUND(E31/D31,2)</f>
        <v>5.1100000000000003</v>
      </c>
      <c r="J5" s="1966"/>
      <c r="K5" s="1966"/>
      <c r="L5" s="1966"/>
    </row>
    <row r="6" spans="1:16" ht="15" thickBot="1">
      <c r="A6" s="113"/>
      <c r="B6" s="3292" t="s">
        <v>208</v>
      </c>
      <c r="C6" s="3292"/>
      <c r="D6" s="111">
        <f>ROUND($D$3*E6/$E$3,2)</f>
        <v>2581.98</v>
      </c>
      <c r="E6" s="112">
        <f>E3-E5</f>
        <v>13200</v>
      </c>
      <c r="F6" s="1966"/>
      <c r="G6" s="1197"/>
      <c r="H6" s="275" t="s">
        <v>860</v>
      </c>
      <c r="I6" s="1958">
        <f>ROUND(F31/D31,2)</f>
        <v>5.1100000000000003</v>
      </c>
      <c r="J6" s="1966"/>
      <c r="K6" s="1966"/>
      <c r="L6" s="1966"/>
    </row>
    <row r="7" spans="1:16" ht="14.4">
      <c r="A7" s="3284"/>
      <c r="B7" s="3285"/>
      <c r="C7" s="3286"/>
      <c r="D7" s="108" t="s">
        <v>204</v>
      </c>
      <c r="E7" s="114" t="s">
        <v>231</v>
      </c>
      <c r="F7" s="1966"/>
      <c r="G7" s="1152" t="s">
        <v>1645</v>
      </c>
      <c r="H7" s="1153"/>
      <c r="I7" s="1828">
        <v>3.5</v>
      </c>
      <c r="J7" s="1966"/>
      <c r="K7" s="1966"/>
      <c r="L7" s="1966"/>
    </row>
    <row r="8" spans="1:16" ht="14.4">
      <c r="A8" s="110" t="s">
        <v>209</v>
      </c>
      <c r="B8" s="115" t="s">
        <v>210</v>
      </c>
      <c r="C8" s="111" t="s">
        <v>211</v>
      </c>
      <c r="D8" s="111">
        <f t="shared" ref="D8:D15" si="0">ROUND($D$3*E8/$E$3,2)</f>
        <v>22322.400000000001</v>
      </c>
      <c r="E8" s="116">
        <f>SUMIF('数据-基础表'!BB10:BK10,"地上",'数据-基础表'!BB5:BK5)</f>
        <v>114120</v>
      </c>
      <c r="F8" s="1966"/>
      <c r="G8" s="1968"/>
      <c r="H8" s="1968"/>
      <c r="I8" s="1966"/>
      <c r="J8" s="1966"/>
      <c r="K8" s="1966"/>
      <c r="L8" s="1966"/>
    </row>
    <row r="9" spans="1:16" ht="14.4">
      <c r="A9" s="117"/>
      <c r="B9" s="118"/>
      <c r="C9" s="111" t="s">
        <v>212</v>
      </c>
      <c r="D9" s="111">
        <f t="shared" si="0"/>
        <v>0</v>
      </c>
      <c r="E9" s="119">
        <v>0</v>
      </c>
      <c r="F9" s="1966"/>
      <c r="G9" s="1968"/>
      <c r="H9" s="1968"/>
      <c r="I9" s="1966"/>
      <c r="J9" s="1966"/>
      <c r="K9" s="1966"/>
      <c r="L9" s="1966"/>
    </row>
    <row r="10" spans="1:16" ht="14.4">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ht="14.4">
      <c r="A11" s="117"/>
      <c r="B11" s="118"/>
      <c r="C11" s="2313" t="s">
        <v>2324</v>
      </c>
      <c r="D11" s="111">
        <f t="shared" si="0"/>
        <v>0</v>
      </c>
      <c r="E11" s="116">
        <f>SUMPRODUCT(('数据-基础表'!BB10:BK10="地下")*('数据-基础表'!BB11:BK11="办公")*('数据-基础表'!BB5:BK5))+'数据-基础表'!AJ5</f>
        <v>0</v>
      </c>
      <c r="F11" s="1966"/>
      <c r="G11" s="1968"/>
      <c r="H11" s="1968"/>
      <c r="I11" s="1966"/>
      <c r="J11" s="1966"/>
      <c r="K11" s="1966"/>
      <c r="L11" s="1966"/>
    </row>
    <row r="12" spans="1:16" ht="14.4">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ht="14.4">
      <c r="A13" s="117"/>
      <c r="B13" s="118"/>
      <c r="C13" s="2313" t="s">
        <v>2331</v>
      </c>
      <c r="D13" s="111">
        <f t="shared" si="0"/>
        <v>0</v>
      </c>
      <c r="E13" s="116">
        <f>SUMPRODUCT(('数据-基础表'!BB10:BK10="地下")*('数据-基础表'!BB11:BK11="车库")*('数据-基础表'!BB5:BK5))</f>
        <v>0</v>
      </c>
      <c r="F13" s="1966"/>
      <c r="G13" s="1968"/>
      <c r="H13" s="1968"/>
      <c r="I13" s="1966"/>
      <c r="J13" s="1966"/>
      <c r="K13" s="1966"/>
      <c r="L13" s="1966"/>
    </row>
    <row r="14" spans="1:16" ht="14.4">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 thickBot="1">
      <c r="A16" s="113"/>
      <c r="B16" s="118"/>
      <c r="C16" s="115" t="s">
        <v>215</v>
      </c>
      <c r="D16" s="115">
        <f>SUM(D8:D15)</f>
        <v>22322.400000000001</v>
      </c>
      <c r="E16" s="120">
        <f>SUM(E8:E15)</f>
        <v>114120</v>
      </c>
      <c r="F16" s="1966"/>
      <c r="G16" s="1968"/>
      <c r="H16" s="968" t="s">
        <v>219</v>
      </c>
      <c r="I16" s="969"/>
      <c r="J16" s="1966"/>
      <c r="K16" s="3278" t="s">
        <v>2563</v>
      </c>
      <c r="L16" s="3279"/>
      <c r="M16" s="3279"/>
      <c r="N16" s="3279"/>
      <c r="O16" s="3279"/>
      <c r="P16" s="3280"/>
    </row>
    <row r="17" spans="1:19" ht="14.4">
      <c r="A17" s="121" t="s">
        <v>216</v>
      </c>
      <c r="B17" s="122" t="s">
        <v>217</v>
      </c>
      <c r="C17" s="2280" t="s">
        <v>2310</v>
      </c>
      <c r="D17" s="108" t="s">
        <v>204</v>
      </c>
      <c r="E17" s="124" t="s">
        <v>205</v>
      </c>
      <c r="F17" s="125"/>
      <c r="G17" s="1361"/>
      <c r="H17" s="970" t="s">
        <v>218</v>
      </c>
      <c r="I17" s="971" t="s">
        <v>2309</v>
      </c>
      <c r="J17" s="1966"/>
      <c r="K17" s="3281" t="s">
        <v>2564</v>
      </c>
      <c r="L17" s="3282"/>
      <c r="M17" s="3283"/>
      <c r="N17" s="3281" t="s">
        <v>2565</v>
      </c>
      <c r="O17" s="3282"/>
      <c r="P17" s="3283"/>
      <c r="R17" s="2281" t="s">
        <v>2308</v>
      </c>
      <c r="S17" s="144"/>
    </row>
    <row r="18" spans="1:19" ht="14.4">
      <c r="A18" s="117"/>
      <c r="B18" s="128"/>
      <c r="C18" s="129"/>
      <c r="D18" s="2603"/>
      <c r="E18" s="130" t="s">
        <v>220</v>
      </c>
      <c r="F18" s="131" t="s">
        <v>221</v>
      </c>
      <c r="G18" s="1362" t="s">
        <v>222</v>
      </c>
      <c r="H18" s="972" t="s">
        <v>223</v>
      </c>
      <c r="I18" s="973" t="s">
        <v>224</v>
      </c>
      <c r="J18" s="1966"/>
      <c r="K18" s="2566" t="s">
        <v>2566</v>
      </c>
      <c r="L18" s="2567" t="s">
        <v>2567</v>
      </c>
      <c r="M18" s="2568" t="s">
        <v>2568</v>
      </c>
      <c r="N18" s="2566" t="s">
        <v>2566</v>
      </c>
      <c r="O18" s="2567" t="s">
        <v>2567</v>
      </c>
      <c r="P18" s="2568" t="s">
        <v>2568</v>
      </c>
      <c r="R18" s="2282" t="s">
        <v>2306</v>
      </c>
      <c r="S18" s="2282" t="s">
        <v>2307</v>
      </c>
    </row>
    <row r="19" spans="1:19" ht="14.4">
      <c r="A19" s="133"/>
      <c r="B19" s="115" t="s">
        <v>225</v>
      </c>
      <c r="C19" s="2974" t="str">
        <f>'数据-基础表'!C13</f>
        <v>高层</v>
      </c>
      <c r="D19" s="111">
        <f t="shared" ref="D19:D26" si="1">ROUND($D$3*E19/$E$3,2)</f>
        <v>9295.1299999999992</v>
      </c>
      <c r="E19" s="134">
        <f t="shared" ref="E19:E26" si="2">SUM(F19:G19)</f>
        <v>47520</v>
      </c>
      <c r="F19" s="135">
        <f>'数据-基础表'!I13</f>
        <v>47520</v>
      </c>
      <c r="G19" s="1363"/>
      <c r="H19" s="974">
        <f>ROUND($D$3*I19/$E$3,2)</f>
        <v>0</v>
      </c>
      <c r="I19" s="116">
        <f>IF($I$17="自定义",P19,M19)</f>
        <v>0</v>
      </c>
      <c r="J19" s="1966"/>
      <c r="K19" s="2569">
        <f t="shared" ref="K19:K26" si="3">ROUND(E$28*E19/E$27,2)</f>
        <v>0</v>
      </c>
      <c r="L19" s="275">
        <f t="shared" ref="L19:L26" si="4">ROUND(IF(COUNTIF(C19,"*住宅*")&gt;0,E$29*E19/E$32,0),2)</f>
        <v>0</v>
      </c>
      <c r="M19" s="2570">
        <f>K19+L19</f>
        <v>0</v>
      </c>
      <c r="N19" s="2571"/>
      <c r="O19" s="2572"/>
      <c r="P19" s="2573">
        <f>N19+O19</f>
        <v>0</v>
      </c>
      <c r="R19" s="275">
        <f t="shared" ref="R19:S26" si="5">D19+H19</f>
        <v>9295.1299999999992</v>
      </c>
      <c r="S19" s="2283">
        <f t="shared" si="5"/>
        <v>47520</v>
      </c>
    </row>
    <row r="20" spans="1:19" ht="14.4">
      <c r="A20" s="138"/>
      <c r="B20" s="115" t="s">
        <v>226</v>
      </c>
      <c r="C20" s="2974" t="str">
        <f>'数据-基础表'!C14</f>
        <v>超高层</v>
      </c>
      <c r="D20" s="111">
        <f t="shared" si="1"/>
        <v>7667.7</v>
      </c>
      <c r="E20" s="134">
        <f t="shared" si="2"/>
        <v>39200</v>
      </c>
      <c r="F20" s="135">
        <f>'数据-基础表'!I14</f>
        <v>39200</v>
      </c>
      <c r="G20" s="1363"/>
      <c r="H20" s="974">
        <f t="shared" ref="H20:H26" si="6">ROUND($D$3*I20/$E$3,2)</f>
        <v>0</v>
      </c>
      <c r="I20" s="116">
        <f t="shared" ref="I20:I26" si="7">IF($I$17="自定义",P20,M20)</f>
        <v>0</v>
      </c>
      <c r="J20" s="1966"/>
      <c r="K20" s="2569">
        <f t="shared" si="3"/>
        <v>0</v>
      </c>
      <c r="L20" s="275">
        <f t="shared" si="4"/>
        <v>0</v>
      </c>
      <c r="M20" s="2570">
        <f t="shared" ref="M20:M26" si="8">K20+L20</f>
        <v>0</v>
      </c>
      <c r="N20" s="2571"/>
      <c r="O20" s="2572"/>
      <c r="P20" s="2573">
        <f t="shared" ref="P20:P26" si="9">N20+O20</f>
        <v>0</v>
      </c>
      <c r="R20" s="275">
        <f t="shared" si="5"/>
        <v>7667.7</v>
      </c>
      <c r="S20" s="2283">
        <f t="shared" si="5"/>
        <v>39200</v>
      </c>
    </row>
    <row r="21" spans="1:19" ht="14.4">
      <c r="A21" s="138"/>
      <c r="B21" s="115" t="s">
        <v>226</v>
      </c>
      <c r="C21" s="2974" t="str">
        <f>'数据-基础表'!C15</f>
        <v>公寓</v>
      </c>
      <c r="D21" s="111">
        <f t="shared" si="1"/>
        <v>2777.59</v>
      </c>
      <c r="E21" s="134">
        <f t="shared" si="2"/>
        <v>14200</v>
      </c>
      <c r="F21" s="135">
        <f>'数据-基础表'!I15</f>
        <v>14200</v>
      </c>
      <c r="G21" s="1363"/>
      <c r="H21" s="974">
        <f t="shared" si="6"/>
        <v>0</v>
      </c>
      <c r="I21" s="116">
        <f t="shared" si="7"/>
        <v>0</v>
      </c>
      <c r="J21" s="1966"/>
      <c r="K21" s="2569">
        <f t="shared" si="3"/>
        <v>0</v>
      </c>
      <c r="L21" s="275">
        <f t="shared" si="4"/>
        <v>0</v>
      </c>
      <c r="M21" s="2570">
        <f t="shared" si="8"/>
        <v>0</v>
      </c>
      <c r="N21" s="2571"/>
      <c r="O21" s="2572"/>
      <c r="P21" s="2573">
        <f t="shared" si="9"/>
        <v>0</v>
      </c>
      <c r="R21" s="275">
        <f t="shared" si="5"/>
        <v>2777.59</v>
      </c>
      <c r="S21" s="2283">
        <f t="shared" si="5"/>
        <v>14200</v>
      </c>
    </row>
    <row r="22" spans="1:19" ht="14.4">
      <c r="A22" s="138"/>
      <c r="B22" s="115" t="s">
        <v>226</v>
      </c>
      <c r="C22" s="2974" t="str">
        <f>'数据-基础表'!C16</f>
        <v>商业</v>
      </c>
      <c r="D22" s="111">
        <f t="shared" si="1"/>
        <v>2581.98</v>
      </c>
      <c r="E22" s="134">
        <f t="shared" si="2"/>
        <v>13200</v>
      </c>
      <c r="F22" s="140">
        <f>'数据-基础表'!K16</f>
        <v>13200</v>
      </c>
      <c r="G22" s="1364"/>
      <c r="H22" s="974">
        <f t="shared" si="6"/>
        <v>0</v>
      </c>
      <c r="I22" s="116">
        <f t="shared" si="7"/>
        <v>0</v>
      </c>
      <c r="J22" s="1966"/>
      <c r="K22" s="2569">
        <f t="shared" si="3"/>
        <v>0</v>
      </c>
      <c r="L22" s="275">
        <f t="shared" si="4"/>
        <v>0</v>
      </c>
      <c r="M22" s="2570">
        <f t="shared" si="8"/>
        <v>0</v>
      </c>
      <c r="N22" s="2571"/>
      <c r="O22" s="2572"/>
      <c r="P22" s="2573">
        <f t="shared" si="9"/>
        <v>0</v>
      </c>
      <c r="R22" s="275">
        <f t="shared" si="5"/>
        <v>2581.98</v>
      </c>
      <c r="S22" s="2283">
        <f t="shared" si="5"/>
        <v>13200</v>
      </c>
    </row>
    <row r="23" spans="1:19" ht="14.4">
      <c r="A23" s="138"/>
      <c r="B23" s="115" t="s">
        <v>226</v>
      </c>
      <c r="C23" s="139"/>
      <c r="D23" s="111">
        <f>ROUND($D$3*E23/$E$3,2)</f>
        <v>0</v>
      </c>
      <c r="E23" s="134">
        <f>SUM(F23:G23)</f>
        <v>0</v>
      </c>
      <c r="F23" s="140"/>
      <c r="G23" s="1364"/>
      <c r="H23" s="974">
        <f>ROUND($D$3*I23/$E$3,2)</f>
        <v>0</v>
      </c>
      <c r="I23" s="116">
        <f t="shared" si="7"/>
        <v>0</v>
      </c>
      <c r="J23" s="1966"/>
      <c r="K23" s="2569">
        <f t="shared" si="3"/>
        <v>0</v>
      </c>
      <c r="L23" s="275">
        <f t="shared" si="4"/>
        <v>0</v>
      </c>
      <c r="M23" s="2570">
        <f t="shared" si="8"/>
        <v>0</v>
      </c>
      <c r="N23" s="2571"/>
      <c r="O23" s="2572"/>
      <c r="P23" s="2573">
        <f t="shared" si="9"/>
        <v>0</v>
      </c>
      <c r="R23" s="275">
        <f t="shared" si="5"/>
        <v>0</v>
      </c>
      <c r="S23" s="2283">
        <f t="shared" si="5"/>
        <v>0</v>
      </c>
    </row>
    <row r="24" spans="1:19" ht="14.4">
      <c r="A24" s="138"/>
      <c r="B24" s="115" t="s">
        <v>226</v>
      </c>
      <c r="C24" s="139"/>
      <c r="D24" s="111">
        <f>ROUND($D$3*E24/$E$3,2)</f>
        <v>0</v>
      </c>
      <c r="E24" s="134">
        <f>SUM(F24:G24)</f>
        <v>0</v>
      </c>
      <c r="F24" s="140"/>
      <c r="G24" s="1364"/>
      <c r="H24" s="974">
        <f>ROUND($D$3*I24/$E$3,2)</f>
        <v>0</v>
      </c>
      <c r="I24" s="116">
        <f t="shared" si="7"/>
        <v>0</v>
      </c>
      <c r="J24" s="1966"/>
      <c r="K24" s="2569">
        <f t="shared" si="3"/>
        <v>0</v>
      </c>
      <c r="L24" s="275">
        <f t="shared" si="4"/>
        <v>0</v>
      </c>
      <c r="M24" s="2570">
        <f t="shared" si="8"/>
        <v>0</v>
      </c>
      <c r="N24" s="2571"/>
      <c r="O24" s="2572"/>
      <c r="P24" s="2573">
        <f t="shared" si="9"/>
        <v>0</v>
      </c>
      <c r="R24" s="275">
        <f t="shared" si="5"/>
        <v>0</v>
      </c>
      <c r="S24" s="2283">
        <f t="shared" si="5"/>
        <v>0</v>
      </c>
    </row>
    <row r="25" spans="1:19" ht="14.4">
      <c r="A25" s="138"/>
      <c r="B25" s="115" t="s">
        <v>226</v>
      </c>
      <c r="C25" s="139"/>
      <c r="D25" s="111">
        <f t="shared" si="1"/>
        <v>0</v>
      </c>
      <c r="E25" s="134">
        <f t="shared" si="2"/>
        <v>0</v>
      </c>
      <c r="F25" s="140"/>
      <c r="G25" s="1364"/>
      <c r="H25" s="110">
        <f t="shared" si="6"/>
        <v>0</v>
      </c>
      <c r="I25" s="116">
        <f t="shared" si="7"/>
        <v>0</v>
      </c>
      <c r="J25" s="1966"/>
      <c r="K25" s="2569">
        <f t="shared" si="3"/>
        <v>0</v>
      </c>
      <c r="L25" s="275">
        <f t="shared" si="4"/>
        <v>0</v>
      </c>
      <c r="M25" s="2570">
        <f t="shared" si="8"/>
        <v>0</v>
      </c>
      <c r="N25" s="2571"/>
      <c r="O25" s="2572"/>
      <c r="P25" s="2573">
        <f t="shared" si="9"/>
        <v>0</v>
      </c>
      <c r="R25" s="275">
        <f t="shared" si="5"/>
        <v>0</v>
      </c>
      <c r="S25" s="2283">
        <f t="shared" si="5"/>
        <v>0</v>
      </c>
    </row>
    <row r="26" spans="1:19" ht="14.4">
      <c r="A26" s="138"/>
      <c r="B26" s="115" t="s">
        <v>226</v>
      </c>
      <c r="C26" s="142"/>
      <c r="D26" s="111">
        <f t="shared" si="1"/>
        <v>0</v>
      </c>
      <c r="E26" s="134">
        <f t="shared" si="2"/>
        <v>0</v>
      </c>
      <c r="F26" s="140"/>
      <c r="G26" s="1364"/>
      <c r="H26" s="110">
        <f t="shared" si="6"/>
        <v>0</v>
      </c>
      <c r="I26" s="116">
        <f t="shared" si="7"/>
        <v>0</v>
      </c>
      <c r="J26" s="1966"/>
      <c r="K26" s="2574">
        <f t="shared" si="3"/>
        <v>0</v>
      </c>
      <c r="L26" s="280">
        <f t="shared" si="4"/>
        <v>0</v>
      </c>
      <c r="M26" s="146">
        <f t="shared" si="8"/>
        <v>0</v>
      </c>
      <c r="N26" s="2575"/>
      <c r="O26" s="2576"/>
      <c r="P26" s="2577">
        <f t="shared" si="9"/>
        <v>0</v>
      </c>
      <c r="R26" s="275">
        <f t="shared" si="5"/>
        <v>0</v>
      </c>
      <c r="S26" s="2283">
        <f t="shared" si="5"/>
        <v>0</v>
      </c>
    </row>
    <row r="27" spans="1:19" ht="15" thickBot="1">
      <c r="A27" s="138"/>
      <c r="B27" s="111"/>
      <c r="C27" s="127" t="s">
        <v>215</v>
      </c>
      <c r="D27" s="134">
        <f>SUM(D19:D26)</f>
        <v>22322.399999999998</v>
      </c>
      <c r="E27" s="143">
        <f>IF(SUM(E19:E26)='数据-基础表'!BA5,SUM(E19:E26),IF(F27="地上面积有误","面积有误","地下面积有误"))</f>
        <v>114120</v>
      </c>
      <c r="F27" s="134">
        <f>IF(SUM(F19:F26)=E8,SUM(F19:F26),"地上面积有误")</f>
        <v>114120</v>
      </c>
      <c r="G27" s="112">
        <f>SUM(G19:G26)</f>
        <v>0</v>
      </c>
      <c r="H27" s="975">
        <f>SUM(H19:H26)</f>
        <v>0</v>
      </c>
      <c r="I27" s="976">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22322.399999999998</v>
      </c>
      <c r="S27" s="275">
        <f>IF(SUM(S19:S26)=$E$3,SUM(S19:S26),SUM(S19:S26)&amp;"误差"&amp;ROUND(SUM(S19:S26)-E3,2))</f>
        <v>114120</v>
      </c>
    </row>
    <row r="28" spans="1:19" ht="14.4">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ht="14.4">
      <c r="A29" s="138"/>
      <c r="B29" s="115" t="s">
        <v>227</v>
      </c>
      <c r="C29" s="2295" t="s">
        <v>2317</v>
      </c>
      <c r="D29" s="111">
        <f>ROUND($D$3*E29/$E$3,2)</f>
        <v>0</v>
      </c>
      <c r="E29" s="134">
        <f>SUM(F29:G29)</f>
        <v>0</v>
      </c>
      <c r="F29" s="144">
        <f>'数据-基础表'!BM5+'数据-基础表'!BO5</f>
        <v>0</v>
      </c>
      <c r="G29" s="146">
        <f>'数据-基础表'!BN5+'数据-基础表'!BP5</f>
        <v>0</v>
      </c>
      <c r="H29" s="1966"/>
      <c r="I29" s="1966"/>
      <c r="J29" s="1966"/>
      <c r="K29" s="1966"/>
      <c r="L29" s="1966"/>
    </row>
    <row r="30" spans="1:19" ht="14.4">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5"/>
      <c r="B31" s="1366" t="s">
        <v>229</v>
      </c>
      <c r="C31" s="2312" t="s">
        <v>2319</v>
      </c>
      <c r="D31" s="1367">
        <f>D27+D30</f>
        <v>22322.399999999998</v>
      </c>
      <c r="E31" s="1367">
        <f>E27+E30</f>
        <v>114120</v>
      </c>
      <c r="F31" s="1368">
        <f>F27+F30</f>
        <v>114120</v>
      </c>
      <c r="G31" s="1369">
        <f>G27+G30</f>
        <v>0</v>
      </c>
      <c r="H31" s="1966"/>
      <c r="I31" s="1966"/>
      <c r="J31" s="1966"/>
      <c r="K31" s="1966"/>
      <c r="L31" s="1966"/>
    </row>
    <row r="32" spans="1:19" ht="14.4">
      <c r="A32" s="1966"/>
      <c r="B32" s="2324" t="s">
        <v>2318</v>
      </c>
      <c r="C32" s="2608"/>
      <c r="D32" s="1197"/>
      <c r="E32" s="1197">
        <f>SUMIF(C19:C26,"*住宅*",E19:E26)</f>
        <v>0</v>
      </c>
      <c r="F32" s="1197"/>
      <c r="G32" s="1197"/>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K22" sqref="K22"/>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0"/>
    <col min="42" max="42" width="0" style="1980" hidden="1" customWidth="1"/>
    <col min="43" max="83" width="13.77734375" style="1980"/>
    <col min="84" max="16384" width="13.77734375" style="1199"/>
  </cols>
  <sheetData>
    <row r="1" spans="1:83" ht="18" thickBot="1">
      <c r="A1" s="148" t="s">
        <v>234</v>
      </c>
      <c r="B1" s="1198"/>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2" customFormat="1" ht="15" thickBot="1">
      <c r="A2" s="149" t="s">
        <v>235</v>
      </c>
      <c r="B2" s="2320">
        <f>项目基本情况!D3</f>
        <v>43889</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2" customFormat="1" ht="14.4" thickBot="1">
      <c r="A3" s="1203"/>
      <c r="B3" s="1200"/>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8" customFormat="1" ht="57.6">
      <c r="A5" s="2286"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2824</v>
      </c>
      <c r="O5" s="163" t="s">
        <v>246</v>
      </c>
      <c r="P5" s="165" t="s">
        <v>247</v>
      </c>
      <c r="Q5" s="166" t="s">
        <v>248</v>
      </c>
      <c r="R5" s="167" t="s">
        <v>249</v>
      </c>
      <c r="S5" s="2582" t="s">
        <v>2569</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2320</v>
      </c>
      <c r="AI5" s="171" t="s">
        <v>2289</v>
      </c>
      <c r="AJ5" s="171" t="s">
        <v>258</v>
      </c>
      <c r="AK5" s="159" t="s">
        <v>259</v>
      </c>
      <c r="AL5" s="159" t="s">
        <v>260</v>
      </c>
      <c r="AM5" s="172" t="s">
        <v>261</v>
      </c>
      <c r="AN5" s="2352" t="s">
        <v>2370</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2" customFormat="1" ht="14.4">
      <c r="A6" s="2284" t="str">
        <f>'数据-汇总表'!C19</f>
        <v>高层</v>
      </c>
      <c r="B6" s="2319" t="str">
        <f>IF(A6=0,"","经营性")</f>
        <v>经营性</v>
      </c>
      <c r="C6" s="173" t="s">
        <v>923</v>
      </c>
      <c r="D6" s="2290">
        <f>SUMIF(项目基本情况!D$15:I$15,C6,项目基本情况!D$18:I$18)</f>
        <v>50</v>
      </c>
      <c r="E6" s="2291">
        <f>IF(B6="","",SUMIF(项目基本情况!D$15:I$15,C6,项目基本情况!D$17:I$17))</f>
        <v>59873</v>
      </c>
      <c r="F6" s="174">
        <f>SUMIF(项目基本情况!D$15:I$15,C6,项目基本情况!D$19:I$19)</f>
        <v>43.79</v>
      </c>
      <c r="G6" s="175">
        <f>IF(ISERROR(ROUND(POWER(1+H6,D6-F6)*(POWER(1+H6,F6)-1)/(POWER(1+H6,D6)-1),3)),0,ROUND(POWER(1+H6,D6-F6)*(POWER(1+H6,F6)-1)/(POWER(1+H6,D6)-1),3))</f>
        <v>0.96099999999999997</v>
      </c>
      <c r="H6" s="2975">
        <v>4.4999999999999998E-2</v>
      </c>
      <c r="I6" s="2975">
        <v>0.05</v>
      </c>
      <c r="J6" s="176">
        <v>0.08</v>
      </c>
      <c r="K6" s="179">
        <f>SUMIF('数据-汇总表'!C$19:C$33,'数据-取费表'!A6,'数据-汇总表'!E$19:E$33)</f>
        <v>47520</v>
      </c>
      <c r="L6" s="2976">
        <v>1800</v>
      </c>
      <c r="M6" s="177">
        <f t="shared" ref="M6:M14" si="0">ROUND(K6*L6/10000,0)</f>
        <v>8554</v>
      </c>
      <c r="N6" s="2977">
        <v>0</v>
      </c>
      <c r="O6" s="177">
        <f>IF($N$5="成新度","——",ROUND(M6*N6,0))</f>
        <v>0</v>
      </c>
      <c r="P6" s="178">
        <f>IF($N$5="成新度","——",M6-O6)</f>
        <v>8554</v>
      </c>
      <c r="Q6" s="2978">
        <v>0.15</v>
      </c>
      <c r="R6" s="179">
        <f>SUMIF('数据-汇总表'!C$19:C$33,A6,'数据-汇总表'!R$19:R$33)</f>
        <v>9295.1299999999992</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c r="X6" s="2303"/>
      <c r="Y6" s="182">
        <v>1</v>
      </c>
      <c r="Z6" s="183"/>
      <c r="AA6" s="176"/>
      <c r="AB6" s="176"/>
      <c r="AC6" s="2306"/>
      <c r="AD6" s="184"/>
      <c r="AE6" s="972">
        <f ca="1">IF(AN6="",0,SUMIF(INDIRECT("'"&amp;AN6&amp;"'"&amp;"!E:E"),$AE$5,INDIRECT("'"&amp;AN6&amp;"'"&amp;"!F:F")))</f>
        <v>0</v>
      </c>
      <c r="AF6" s="141"/>
      <c r="AG6" s="1209">
        <f>IF(AF6="",0,AE6-AF6)</f>
        <v>0</v>
      </c>
      <c r="AH6" s="141"/>
      <c r="AI6" s="187">
        <v>365</v>
      </c>
      <c r="AJ6" s="188"/>
      <c r="AK6" s="189">
        <v>1.4999999999999999E-2</v>
      </c>
      <c r="AL6" s="190">
        <v>1.5E-3</v>
      </c>
      <c r="AM6" s="2989">
        <v>0.01</v>
      </c>
      <c r="AN6" s="2353"/>
      <c r="AO6" s="1982"/>
      <c r="AP6" s="1200">
        <f>ROUND(1-1/(1+H6)^F6,3)</f>
        <v>0.85399999999999998</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2" customFormat="1" ht="14.4">
      <c r="A7" s="2284" t="str">
        <f>'数据-汇总表'!C20</f>
        <v>超高层</v>
      </c>
      <c r="B7" s="2319" t="str">
        <f t="shared" ref="B7:B13" si="1">IF(A7=0,"","经营性")</f>
        <v>经营性</v>
      </c>
      <c r="C7" s="173" t="s">
        <v>923</v>
      </c>
      <c r="D7" s="2290">
        <f>SUMIF(项目基本情况!D$15:I$15,C7,项目基本情况!D$18:I$18)</f>
        <v>50</v>
      </c>
      <c r="E7" s="2291">
        <f>IF(B7="","",SUMIF(项目基本情况!D$15:I$15,C7,项目基本情况!D$17:I$17))</f>
        <v>59873</v>
      </c>
      <c r="F7" s="174">
        <f>SUMIF(项目基本情况!D$15:I$15,C7,项目基本情况!D$19:I$19)</f>
        <v>43.79</v>
      </c>
      <c r="G7" s="175">
        <f t="shared" ref="G7:G11" si="2">IF(ISERROR(ROUND(POWER(1+H7,D7-F7)*(POWER(1+H7,F7)-1)/(POWER(1+H7,D7)-1),3)),0,ROUND(POWER(1+H7,D7-F7)*(POWER(1+H7,F7)-1)/(POWER(1+H7,D7)-1),3))</f>
        <v>0.96099999999999997</v>
      </c>
      <c r="H7" s="2975">
        <f>H6</f>
        <v>4.4999999999999998E-2</v>
      </c>
      <c r="I7" s="2975">
        <f>I6</f>
        <v>0.05</v>
      </c>
      <c r="J7" s="176">
        <f>J6</f>
        <v>0.08</v>
      </c>
      <c r="K7" s="179">
        <f>SUMIF('数据-汇总表'!C$19:C$33,'数据-取费表'!A7,'数据-汇总表'!E$19:E$33)</f>
        <v>39200</v>
      </c>
      <c r="L7" s="2976">
        <v>2500</v>
      </c>
      <c r="M7" s="177">
        <f t="shared" si="0"/>
        <v>9800</v>
      </c>
      <c r="N7" s="2977">
        <f>N6</f>
        <v>0</v>
      </c>
      <c r="O7" s="177">
        <f t="shared" ref="O7:O14" si="3">IF($N$5="成新度","——",ROUND(M7*N7,0))</f>
        <v>0</v>
      </c>
      <c r="P7" s="178">
        <f t="shared" ref="P7:P14" si="4">IF($N$5="成新度","——",M7-O7)</f>
        <v>9800</v>
      </c>
      <c r="Q7" s="2978">
        <f>Q6</f>
        <v>0.15</v>
      </c>
      <c r="R7" s="179">
        <f>SUMIF('数据-汇总表'!C$19:C$33,A7,'数据-汇总表'!R$19:R$33)</f>
        <v>7667.7</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c r="V7" s="181"/>
      <c r="W7" s="181"/>
      <c r="X7" s="2303"/>
      <c r="Y7" s="182">
        <f>Y6</f>
        <v>1</v>
      </c>
      <c r="Z7" s="183"/>
      <c r="AA7" s="176"/>
      <c r="AB7" s="176"/>
      <c r="AC7" s="2306"/>
      <c r="AD7" s="184"/>
      <c r="AE7" s="972">
        <f t="shared" ref="AE7:AE13" ca="1" si="6">IF(AN7="",0,SUMIF(INDIRECT("'"&amp;AN7&amp;"'"&amp;"!E:E"),$AE$5,INDIRECT("'"&amp;AN7&amp;"'"&amp;"!F:F")))</f>
        <v>0</v>
      </c>
      <c r="AF7" s="141"/>
      <c r="AG7" s="1209">
        <f t="shared" ref="AG7:AG13" si="7">IF(AF7="",0,AE7-AF7)</f>
        <v>0</v>
      </c>
      <c r="AH7" s="141"/>
      <c r="AI7" s="187"/>
      <c r="AJ7" s="188"/>
      <c r="AK7" s="189"/>
      <c r="AL7" s="190"/>
      <c r="AM7" s="2351"/>
      <c r="AN7" s="2353"/>
      <c r="AO7" s="1982"/>
      <c r="AP7" s="1200">
        <f t="shared" ref="AP7:AP13" si="8">ROUND(1-1/(1+H7)^F7,3)</f>
        <v>0.85399999999999998</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2" customFormat="1" ht="14.4">
      <c r="A8" s="2284" t="str">
        <f>'数据-汇总表'!C21</f>
        <v>公寓</v>
      </c>
      <c r="B8" s="2319" t="str">
        <f t="shared" si="1"/>
        <v>经营性</v>
      </c>
      <c r="C8" s="173" t="s">
        <v>923</v>
      </c>
      <c r="D8" s="2290">
        <f>SUMIF(项目基本情况!D$15:I$15,C8,项目基本情况!D$18:I$18)</f>
        <v>50</v>
      </c>
      <c r="E8" s="2291">
        <f>IF(B8="","",SUMIF(项目基本情况!D$15:I$15,C8,项目基本情况!D$17:I$17))</f>
        <v>59873</v>
      </c>
      <c r="F8" s="174">
        <f>SUMIF(项目基本情况!D$15:I$15,C8,项目基本情况!D$19:I$19)</f>
        <v>43.79</v>
      </c>
      <c r="G8" s="175">
        <f t="shared" si="2"/>
        <v>0.96099999999999997</v>
      </c>
      <c r="H8" s="2975">
        <f>H6</f>
        <v>4.4999999999999998E-2</v>
      </c>
      <c r="I8" s="2975">
        <f>I6</f>
        <v>0.05</v>
      </c>
      <c r="J8" s="176">
        <f>J6</f>
        <v>0.08</v>
      </c>
      <c r="K8" s="179">
        <f>SUMIF('数据-汇总表'!C$19:C$33,'数据-取费表'!A8,'数据-汇总表'!E$19:E$33)</f>
        <v>14200</v>
      </c>
      <c r="L8" s="2976">
        <f>L6</f>
        <v>1800</v>
      </c>
      <c r="M8" s="177">
        <f>ROUND(K8*L8/10000,0)</f>
        <v>2556</v>
      </c>
      <c r="N8" s="2977">
        <f>N6</f>
        <v>0</v>
      </c>
      <c r="O8" s="177">
        <f t="shared" si="3"/>
        <v>0</v>
      </c>
      <c r="P8" s="178">
        <f t="shared" si="4"/>
        <v>2556</v>
      </c>
      <c r="Q8" s="2978">
        <f>Q6</f>
        <v>0.15</v>
      </c>
      <c r="R8" s="179">
        <f>SUMIF('数据-汇总表'!C$19:C$33,A8,'数据-汇总表'!R$19:R$33)</f>
        <v>2777.59</v>
      </c>
      <c r="S8" s="132">
        <f>IF('数据-汇总表'!$I$17="按面积比例",SUMIF('数据-汇总表'!C$19:C$33,A8,'数据-汇总表'!K$19:K$33),SUMIF('数据-汇总表'!C$19:C$33,A8,'数据-汇总表'!N$19:N$33))</f>
        <v>0</v>
      </c>
      <c r="T8" s="2216" t="str">
        <f t="shared" si="5"/>
        <v>0</v>
      </c>
      <c r="U8" s="180"/>
      <c r="V8" s="181"/>
      <c r="W8" s="181"/>
      <c r="X8" s="2303"/>
      <c r="Y8" s="182">
        <f>Y6</f>
        <v>1</v>
      </c>
      <c r="Z8" s="183"/>
      <c r="AA8" s="176"/>
      <c r="AB8" s="176"/>
      <c r="AC8" s="2306"/>
      <c r="AD8" s="184"/>
      <c r="AE8" s="972">
        <f t="shared" ca="1" si="6"/>
        <v>0</v>
      </c>
      <c r="AF8" s="141"/>
      <c r="AG8" s="1209">
        <f t="shared" si="7"/>
        <v>0</v>
      </c>
      <c r="AH8" s="141"/>
      <c r="AI8" s="187"/>
      <c r="AJ8" s="188"/>
      <c r="AK8" s="189"/>
      <c r="AL8" s="190"/>
      <c r="AM8" s="2351"/>
      <c r="AN8" s="2353"/>
      <c r="AO8" s="1982"/>
      <c r="AP8" s="1200">
        <f t="shared" si="8"/>
        <v>0.85399999999999998</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2" customFormat="1" ht="14.4">
      <c r="A9" s="2284" t="str">
        <f>'数据-汇总表'!C22</f>
        <v>商业</v>
      </c>
      <c r="B9" s="2319" t="str">
        <f t="shared" si="1"/>
        <v>经营性</v>
      </c>
      <c r="C9" s="173" t="s">
        <v>3132</v>
      </c>
      <c r="D9" s="2290">
        <f>SUMIF(项目基本情况!D$15:I$15,C9,项目基本情况!D$18:I$18)</f>
        <v>40</v>
      </c>
      <c r="E9" s="2291">
        <f>IF(B9="","",SUMIF(项目基本情况!D$15:I$15,C9,项目基本情况!D$17:I$17))</f>
        <v>56221</v>
      </c>
      <c r="F9" s="174">
        <f>SUMIF(项目基本情况!D$15:I$15,C9,项目基本情况!D$19:I$19)</f>
        <v>33.78</v>
      </c>
      <c r="G9" s="175">
        <f t="shared" si="2"/>
        <v>0.94099999999999995</v>
      </c>
      <c r="H9" s="176">
        <v>0.05</v>
      </c>
      <c r="I9" s="176">
        <v>5.5E-2</v>
      </c>
      <c r="J9" s="176">
        <f>J6</f>
        <v>0.08</v>
      </c>
      <c r="K9" s="179">
        <f>SUMIF('数据-汇总表'!C$19:C$33,'数据-取费表'!A9,'数据-汇总表'!E$19:E$33)</f>
        <v>13200</v>
      </c>
      <c r="L9" s="193">
        <v>2200</v>
      </c>
      <c r="M9" s="177">
        <f t="shared" si="0"/>
        <v>2904</v>
      </c>
      <c r="N9" s="194">
        <f>N6</f>
        <v>0</v>
      </c>
      <c r="O9" s="177">
        <f t="shared" si="3"/>
        <v>0</v>
      </c>
      <c r="P9" s="178">
        <f t="shared" si="4"/>
        <v>2904</v>
      </c>
      <c r="Q9" s="192">
        <v>0.2</v>
      </c>
      <c r="R9" s="179">
        <f>SUMIF('数据-汇总表'!C$19:C$33,A9,'数据-汇总表'!R$19:R$33)</f>
        <v>2581.98</v>
      </c>
      <c r="S9" s="132">
        <f>IF('数据-汇总表'!$I$17="按面积比例",SUMIF('数据-汇总表'!C$19:C$33,A9,'数据-汇总表'!K$19:K$33),SUMIF('数据-汇总表'!C$19:C$33,A9,'数据-汇总表'!N$19:N$33))</f>
        <v>0</v>
      </c>
      <c r="T9" s="2216" t="str">
        <f t="shared" si="5"/>
        <v>0</v>
      </c>
      <c r="U9" s="180">
        <f>面积!M19</f>
        <v>1.92</v>
      </c>
      <c r="V9" s="181">
        <v>0.02</v>
      </c>
      <c r="W9" s="181">
        <v>0.1</v>
      </c>
      <c r="X9" s="2303"/>
      <c r="Y9" s="182">
        <f>Y6</f>
        <v>1</v>
      </c>
      <c r="Z9" s="183"/>
      <c r="AA9" s="176"/>
      <c r="AB9" s="176"/>
      <c r="AC9" s="2306"/>
      <c r="AD9" s="184"/>
      <c r="AE9" s="972">
        <f t="shared" ca="1" si="6"/>
        <v>31.78</v>
      </c>
      <c r="AF9" s="141"/>
      <c r="AG9" s="1209">
        <f t="shared" si="7"/>
        <v>0</v>
      </c>
      <c r="AH9" s="141"/>
      <c r="AI9" s="187">
        <v>365</v>
      </c>
      <c r="AJ9" s="188"/>
      <c r="AK9" s="189">
        <v>1.4999999999999999E-2</v>
      </c>
      <c r="AL9" s="190">
        <v>1.5E-3</v>
      </c>
      <c r="AM9" s="2351">
        <v>0.01</v>
      </c>
      <c r="AN9" s="2353" t="s">
        <v>3188</v>
      </c>
      <c r="AO9" s="1982"/>
      <c r="AP9" s="1200">
        <f t="shared" si="8"/>
        <v>0.80800000000000005</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2" customFormat="1" ht="14.4">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72">
        <f t="shared" ca="1" si="6"/>
        <v>0</v>
      </c>
      <c r="AF10" s="141"/>
      <c r="AG10" s="1209">
        <f t="shared" si="7"/>
        <v>0</v>
      </c>
      <c r="AH10" s="141"/>
      <c r="AI10" s="187"/>
      <c r="AJ10" s="188"/>
      <c r="AK10" s="189"/>
      <c r="AL10" s="190"/>
      <c r="AM10" s="2351"/>
      <c r="AN10" s="2353"/>
      <c r="AO10" s="1982"/>
      <c r="AP10" s="1200">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2" customFormat="1" ht="14.4">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72">
        <f t="shared" ca="1" si="6"/>
        <v>0</v>
      </c>
      <c r="AF11" s="141"/>
      <c r="AG11" s="1209">
        <f t="shared" si="7"/>
        <v>0</v>
      </c>
      <c r="AH11" s="141"/>
      <c r="AI11" s="187"/>
      <c r="AJ11" s="188"/>
      <c r="AK11" s="196"/>
      <c r="AL11" s="197"/>
      <c r="AM11" s="1799"/>
      <c r="AN11" s="2353"/>
      <c r="AO11" s="1982"/>
      <c r="AP11" s="1200">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2" customFormat="1" ht="14.4">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72">
        <f t="shared" ca="1" si="6"/>
        <v>0</v>
      </c>
      <c r="AF12" s="141"/>
      <c r="AG12" s="1209">
        <f t="shared" si="7"/>
        <v>0</v>
      </c>
      <c r="AH12" s="141"/>
      <c r="AI12" s="187"/>
      <c r="AJ12" s="188"/>
      <c r="AK12" s="196"/>
      <c r="AL12" s="197"/>
      <c r="AM12" s="1799"/>
      <c r="AN12" s="2353"/>
      <c r="AO12" s="1982"/>
      <c r="AP12" s="1200">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2" customFormat="1" ht="14.4">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72">
        <f t="shared" ca="1" si="6"/>
        <v>0</v>
      </c>
      <c r="AF13" s="141"/>
      <c r="AG13" s="1209">
        <f t="shared" si="7"/>
        <v>0</v>
      </c>
      <c r="AH13" s="141"/>
      <c r="AI13" s="187"/>
      <c r="AJ13" s="188"/>
      <c r="AK13" s="189"/>
      <c r="AL13" s="190"/>
      <c r="AM13" s="2351"/>
      <c r="AN13" s="2353"/>
      <c r="AO13" s="1982"/>
      <c r="AP13" s="1200">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2" customFormat="1" ht="13.8">
      <c r="A14" s="2285" t="s">
        <v>2311</v>
      </c>
      <c r="B14" s="2288" t="s">
        <v>1679</v>
      </c>
      <c r="C14" s="2289" t="s">
        <v>2311</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4"/>
      <c r="V14" s="2302"/>
      <c r="W14" s="2302"/>
      <c r="X14" s="2303"/>
      <c r="Y14" s="2304"/>
      <c r="Z14" s="136"/>
      <c r="AA14" s="2305"/>
      <c r="AB14" s="2305"/>
      <c r="AC14" s="2306"/>
      <c r="AD14" s="2303"/>
      <c r="AE14" s="972"/>
      <c r="AF14" s="2278"/>
      <c r="AG14" s="1209"/>
      <c r="AH14" s="2278"/>
      <c r="AI14" s="1557"/>
      <c r="AJ14" s="1557"/>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2" customFormat="1" ht="28.8">
      <c r="A15" s="2294" t="s">
        <v>2313</v>
      </c>
      <c r="B15" s="2288" t="s">
        <v>1679</v>
      </c>
      <c r="C15" s="2289" t="s">
        <v>2312</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4"/>
      <c r="V15" s="2302"/>
      <c r="W15" s="2302"/>
      <c r="X15" s="2303"/>
      <c r="Y15" s="2304"/>
      <c r="Z15" s="136"/>
      <c r="AA15" s="2305"/>
      <c r="AB15" s="2305"/>
      <c r="AC15" s="2306"/>
      <c r="AD15" s="2303"/>
      <c r="AE15" s="972"/>
      <c r="AF15" s="2278"/>
      <c r="AG15" s="1209"/>
      <c r="AH15" s="2278"/>
      <c r="AI15" s="1557"/>
      <c r="AJ15" s="1557"/>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2" customFormat="1" ht="15" thickBot="1">
      <c r="A16" s="198" t="s">
        <v>262</v>
      </c>
      <c r="B16" s="199"/>
      <c r="C16" s="200"/>
      <c r="D16" s="201"/>
      <c r="E16" s="199"/>
      <c r="F16" s="199"/>
      <c r="G16" s="202">
        <f>ROUND(SUMPRODUCT(G6:G13,K6:K13)/SUMPRODUCT((G6:G13&gt;0)*(K6:K13)),3)</f>
        <v>0.95899999999999996</v>
      </c>
      <c r="H16" s="203">
        <f>ROUND(SUMPRODUCT(H6:H13,K6:K13)/SUMPRODUCT((H6:H13&gt;0)*(K6:K13)),3)</f>
        <v>4.5999999999999999E-2</v>
      </c>
      <c r="I16" s="204"/>
      <c r="J16" s="204"/>
      <c r="K16" s="205">
        <f>SUM(K6:K15)</f>
        <v>114120</v>
      </c>
      <c r="L16" s="206">
        <f>ROUND(M16*10000/SUM(K6:K14),0)</f>
        <v>2087</v>
      </c>
      <c r="M16" s="206">
        <f>SUM(M6:M14)</f>
        <v>23814</v>
      </c>
      <c r="N16" s="207">
        <f>ROUND(SUMPRODUCT(M6:M14,N6:N14)/M16,3)</f>
        <v>0</v>
      </c>
      <c r="O16" s="206">
        <f>SUM(O6:O14)</f>
        <v>0</v>
      </c>
      <c r="P16" s="206">
        <f>SUM(P6:P14)</f>
        <v>23814</v>
      </c>
      <c r="Q16" s="208">
        <f>ROUND(SUMPRODUCT(Q6:Q13,K6:K13)/SUMPRODUCT((Q6:Q13&gt;0)*(K6:K13)),2)</f>
        <v>0.16</v>
      </c>
      <c r="R16" s="2293">
        <f>SUM(R6:R13)</f>
        <v>22322.399999999998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200">
        <f>ROUND(SUMPRODUCT(AP6:AP13,K6:K13)/SUMPRODUCT((AP6:AP13&gt;0)*(K6:K13)),3)</f>
        <v>0.84899999999999998</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8" thickBot="1">
      <c r="A17" s="1210"/>
      <c r="B17" s="1198"/>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200"/>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4">
      <c r="A19" s="217" t="s">
        <v>264</v>
      </c>
      <c r="B19" s="218">
        <v>0</v>
      </c>
      <c r="C19" s="2325" t="s">
        <v>2333</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4">
      <c r="A20" s="219" t="s">
        <v>265</v>
      </c>
      <c r="B20" s="220">
        <v>2</v>
      </c>
      <c r="C20" s="2325" t="s">
        <v>2332</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4">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4">
      <c r="A22" s="219" t="s">
        <v>267</v>
      </c>
      <c r="B22" s="222">
        <f>B19+B20</f>
        <v>2</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4">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2</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4.4" thickBot="1">
      <c r="A25" s="1203"/>
      <c r="B25" s="1200"/>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1" customFormat="1" ht="28.8">
      <c r="A27" s="226" t="s">
        <v>2335</v>
      </c>
      <c r="B27" s="227">
        <v>180</v>
      </c>
      <c r="C27" s="2328" t="s">
        <v>2339</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1" customFormat="1" ht="28.8">
      <c r="A28" s="228" t="s">
        <v>2336</v>
      </c>
      <c r="B28" s="229">
        <v>180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1" customFormat="1" ht="29.4" thickBot="1">
      <c r="A29" s="231" t="s">
        <v>2334</v>
      </c>
      <c r="B29" s="232"/>
      <c r="C29" s="1538" t="s">
        <v>2337</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1" customFormat="1" ht="28.8">
      <c r="A30" s="235" t="s">
        <v>273</v>
      </c>
      <c r="B30" s="978">
        <v>130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1" customFormat="1" ht="28.8">
      <c r="A31" s="228" t="s">
        <v>274</v>
      </c>
      <c r="B31" s="230">
        <f>B30-B32</f>
        <v>60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1" customFormat="1" ht="29.4" thickBot="1">
      <c r="A32" s="237" t="s">
        <v>275</v>
      </c>
      <c r="B32" s="1373">
        <v>70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1" customFormat="1" ht="14.4">
      <c r="A33" s="226" t="s">
        <v>278</v>
      </c>
      <c r="B33" s="1374">
        <v>0.03</v>
      </c>
      <c r="C33" s="2326" t="s">
        <v>2890</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4">
      <c r="A34" s="228" t="s">
        <v>279</v>
      </c>
      <c r="B34" s="233">
        <v>0.03</v>
      </c>
      <c r="C34" s="2326" t="s">
        <v>2891</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4">
      <c r="A35" s="228" t="s">
        <v>276</v>
      </c>
      <c r="B35" s="229">
        <v>200</v>
      </c>
      <c r="C35" s="2326" t="s">
        <v>2892</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2893</v>
      </c>
      <c r="D36" s="1972"/>
      <c r="E36" s="1198"/>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4">
      <c r="A37" s="235" t="s">
        <v>280</v>
      </c>
      <c r="B37" s="236">
        <v>0.02</v>
      </c>
      <c r="C37" s="2326" t="s">
        <v>2894</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4">
      <c r="A38" s="228" t="s">
        <v>281</v>
      </c>
      <c r="B38" s="233">
        <v>0.02</v>
      </c>
      <c r="C38" s="2326" t="s">
        <v>2894</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4">
      <c r="A39" s="2450" t="s">
        <v>2453</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2454</v>
      </c>
      <c r="B40" s="2442">
        <f ca="1">存贷款利率!E2</f>
        <v>4.7500000000000001E-2</v>
      </c>
      <c r="C40" s="2326" t="s">
        <v>2338</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4">
      <c r="A41" s="226" t="s">
        <v>282</v>
      </c>
      <c r="B41" s="238">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4">
      <c r="A42" s="979" t="s">
        <v>283</v>
      </c>
      <c r="B42" s="240">
        <v>0.05</v>
      </c>
      <c r="C42" s="3047">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4">
      <c r="A43" s="979" t="s">
        <v>284</v>
      </c>
      <c r="B43" s="241">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4">
      <c r="A44" s="239" t="s">
        <v>285</v>
      </c>
      <c r="B44" s="242">
        <v>0.05</v>
      </c>
      <c r="C44" s="2326" t="s">
        <v>2895</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4">
      <c r="A45" s="239" t="s">
        <v>286</v>
      </c>
      <c r="B45" s="240">
        <v>0.03</v>
      </c>
      <c r="C45" s="2328" t="s">
        <v>2896</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4">
      <c r="A46" s="239" t="s">
        <v>287</v>
      </c>
      <c r="B46" s="240">
        <v>0.02</v>
      </c>
      <c r="C46" s="2328" t="s">
        <v>2897</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c r="C47" s="3023" t="s">
        <v>2898</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4">
      <c r="A48" s="245" t="s">
        <v>289</v>
      </c>
      <c r="B48" s="246">
        <v>0.03</v>
      </c>
      <c r="C48" s="3024" t="s">
        <v>2899</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24" t="s">
        <v>2900</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4">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4">
      <c r="A52" s="247" t="s">
        <v>293</v>
      </c>
      <c r="B52" s="250">
        <f>SUMIF(A54:A63,B53,B54:B63)</f>
        <v>3</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8.8">
      <c r="A53" s="228" t="s">
        <v>294</v>
      </c>
      <c r="B53" s="251" t="s">
        <v>1409</v>
      </c>
      <c r="C53" s="3025" t="s">
        <v>2901</v>
      </c>
      <c r="D53" s="3026" t="s">
        <v>2902</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4">
      <c r="A54" s="3028" t="s">
        <v>2903</v>
      </c>
      <c r="B54" s="186">
        <v>10</v>
      </c>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4">
      <c r="A55" s="3028" t="s">
        <v>2904</v>
      </c>
      <c r="B55" s="186">
        <v>8</v>
      </c>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4">
      <c r="A56" s="3028" t="s">
        <v>2905</v>
      </c>
      <c r="B56" s="186">
        <v>6</v>
      </c>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4">
      <c r="A57" s="3028" t="s">
        <v>2906</v>
      </c>
      <c r="B57" s="186">
        <v>5</v>
      </c>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4">
      <c r="A58" s="3028" t="s">
        <v>2907</v>
      </c>
      <c r="B58" s="186">
        <v>4</v>
      </c>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4">
      <c r="A59" s="3028" t="s">
        <v>2908</v>
      </c>
      <c r="B59" s="186">
        <v>3</v>
      </c>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4">
      <c r="A60" s="3028" t="s">
        <v>2909</v>
      </c>
      <c r="B60" s="186">
        <v>2</v>
      </c>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4">
      <c r="A61" s="3028" t="s">
        <v>2910</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4">
      <c r="A62" s="3028" t="s">
        <v>2911</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2912</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L15" sqref="L15"/>
    </sheetView>
  </sheetViews>
  <sheetFormatPr defaultColWidth="9" defaultRowHeight="14.4"/>
  <cols>
    <col min="1" max="1" width="9.44140625" style="1990" customWidth="1"/>
    <col min="2" max="2" width="24.44140625" style="2005" customWidth="1"/>
    <col min="3" max="3" width="24.44140625" style="2007" customWidth="1"/>
    <col min="4" max="4" width="2.6640625" style="2007" customWidth="1"/>
    <col min="5" max="5" width="5.88671875" style="2007" customWidth="1"/>
    <col min="6" max="6" width="27" style="2005" customWidth="1"/>
    <col min="7" max="7" width="27" style="2006" customWidth="1"/>
    <col min="8" max="8" width="11.88671875" style="2005" customWidth="1"/>
    <col min="9" max="9" width="16.77734375" style="2006" customWidth="1"/>
    <col min="10" max="10" width="2.6640625" style="2007" customWidth="1"/>
    <col min="11" max="11" width="11.88671875" style="2005" customWidth="1"/>
    <col min="12" max="12" width="16.77734375" style="2006" customWidth="1"/>
    <col min="13" max="13" width="2.6640625" style="2007" customWidth="1"/>
    <col min="14" max="14" width="11.88671875" style="2005" customWidth="1"/>
    <col min="15" max="15" width="16.77734375" style="2006" customWidth="1"/>
    <col min="16" max="16" width="2.6640625" style="2007" customWidth="1"/>
    <col min="17" max="17" width="11.88671875" style="2005" customWidth="1"/>
    <col min="18" max="18" width="16.77734375" style="2008" customWidth="1"/>
    <col min="19" max="16384" width="9" style="1990"/>
  </cols>
  <sheetData>
    <row r="1" spans="1:18" s="1989" customFormat="1" ht="18" thickBot="1">
      <c r="A1" s="3293" t="s">
        <v>1663</v>
      </c>
      <c r="B1" s="3294"/>
      <c r="C1" s="3294"/>
      <c r="D1" s="3294"/>
      <c r="E1" s="3294"/>
      <c r="F1" s="3294"/>
      <c r="G1" s="3294"/>
      <c r="H1" s="1984"/>
      <c r="I1" s="1985"/>
      <c r="J1" s="1986"/>
      <c r="K1" s="1984"/>
      <c r="L1" s="1985"/>
      <c r="M1" s="1986"/>
      <c r="N1" s="1984"/>
      <c r="O1" s="1985"/>
      <c r="P1" s="1986"/>
      <c r="Q1" s="1987"/>
      <c r="R1" s="1988"/>
    </row>
    <row r="2" spans="1:18" ht="15" thickBot="1">
      <c r="A2" s="1217"/>
      <c r="B2" s="1218"/>
      <c r="C2" s="1219" t="s">
        <v>1664</v>
      </c>
      <c r="D2" s="1220"/>
      <c r="E2" s="1221"/>
      <c r="F2" s="1222"/>
      <c r="G2" s="1219" t="s">
        <v>1665</v>
      </c>
      <c r="H2" s="1990"/>
      <c r="I2" s="1990"/>
      <c r="J2" s="1990"/>
      <c r="K2" s="1990"/>
      <c r="L2" s="1990"/>
      <c r="M2" s="1990"/>
      <c r="N2" s="1990"/>
      <c r="O2" s="1990"/>
      <c r="P2" s="1990"/>
      <c r="Q2" s="1990"/>
      <c r="R2" s="1990"/>
    </row>
    <row r="3" spans="1:18" ht="43.2">
      <c r="A3" s="1223" t="s">
        <v>1666</v>
      </c>
      <c r="B3" s="1224" t="s">
        <v>1653</v>
      </c>
      <c r="C3" s="3188" t="s">
        <v>3135</v>
      </c>
      <c r="D3" s="1991"/>
      <c r="E3" s="1225" t="s">
        <v>1666</v>
      </c>
      <c r="F3" s="1226" t="s">
        <v>1654</v>
      </c>
      <c r="G3" s="3032" t="s">
        <v>2917</v>
      </c>
      <c r="H3" s="1990"/>
      <c r="I3" s="1990"/>
      <c r="J3" s="1990"/>
      <c r="K3" s="1990"/>
      <c r="L3" s="1990"/>
      <c r="M3" s="1990"/>
      <c r="N3" s="1990"/>
      <c r="O3" s="1990"/>
      <c r="P3" s="1990"/>
      <c r="Q3" s="1990"/>
      <c r="R3" s="1990"/>
    </row>
    <row r="4" spans="1:18" ht="43.2">
      <c r="A4" s="1225"/>
      <c r="B4" s="1227" t="s">
        <v>1667</v>
      </c>
      <c r="C4" s="3201" t="s">
        <v>3189</v>
      </c>
      <c r="D4" s="1991"/>
      <c r="E4" s="1228"/>
      <c r="F4" s="1229" t="s">
        <v>1668</v>
      </c>
      <c r="G4" s="3031" t="s">
        <v>2914</v>
      </c>
      <c r="H4" s="1990"/>
      <c r="I4" s="1990"/>
      <c r="J4" s="1990"/>
      <c r="K4" s="1990"/>
      <c r="L4" s="1990"/>
      <c r="M4" s="1990"/>
      <c r="N4" s="1990"/>
      <c r="O4" s="1990"/>
      <c r="P4" s="1990"/>
      <c r="Q4" s="1990"/>
      <c r="R4" s="1990"/>
    </row>
    <row r="5" spans="1:18" ht="28.8">
      <c r="A5" s="1225"/>
      <c r="B5" s="1227" t="s">
        <v>1669</v>
      </c>
      <c r="C5" s="3030"/>
      <c r="D5" s="1991"/>
      <c r="E5" s="1228"/>
      <c r="F5" s="1227" t="s">
        <v>2543</v>
      </c>
      <c r="G5" s="3031" t="s">
        <v>2915</v>
      </c>
      <c r="H5" s="1990"/>
      <c r="I5" s="1990"/>
      <c r="J5" s="1990"/>
      <c r="K5" s="1990"/>
      <c r="L5" s="1990"/>
      <c r="M5" s="1990"/>
      <c r="N5" s="1990"/>
      <c r="O5" s="1990"/>
      <c r="P5" s="1990"/>
      <c r="Q5" s="1990"/>
      <c r="R5" s="1990"/>
    </row>
    <row r="6" spans="1:18" ht="28.8">
      <c r="A6" s="1225"/>
      <c r="B6" s="1227" t="s">
        <v>1655</v>
      </c>
      <c r="C6" s="3189" t="s">
        <v>3135</v>
      </c>
      <c r="D6" s="1991"/>
      <c r="E6" s="1228"/>
      <c r="F6" s="1227" t="s">
        <v>2544</v>
      </c>
      <c r="G6" s="3031" t="s">
        <v>2913</v>
      </c>
      <c r="H6" s="1990"/>
      <c r="I6" s="1990"/>
      <c r="J6" s="1990"/>
      <c r="K6" s="1990"/>
      <c r="L6" s="1990"/>
      <c r="M6" s="1990"/>
      <c r="N6" s="1990"/>
      <c r="O6" s="1990"/>
      <c r="P6" s="1990"/>
      <c r="Q6" s="1990"/>
      <c r="R6" s="1990"/>
    </row>
    <row r="7" spans="1:18" ht="43.8" thickBot="1">
      <c r="A7" s="1225"/>
      <c r="B7" s="1227" t="s">
        <v>2543</v>
      </c>
      <c r="C7" s="3189" t="s">
        <v>3135</v>
      </c>
      <c r="D7" s="1992"/>
      <c r="E7" s="1230"/>
      <c r="F7" s="1231" t="s">
        <v>1670</v>
      </c>
      <c r="G7" s="3033" t="s">
        <v>2916</v>
      </c>
      <c r="H7" s="1990"/>
      <c r="I7" s="1990"/>
      <c r="J7" s="1990"/>
      <c r="K7" s="1990"/>
      <c r="L7" s="1990"/>
      <c r="M7" s="1990"/>
      <c r="N7" s="1990"/>
      <c r="O7" s="1990"/>
      <c r="P7" s="1990"/>
      <c r="Q7" s="1990"/>
      <c r="R7" s="1990"/>
    </row>
    <row r="8" spans="1:18">
      <c r="A8" s="1225"/>
      <c r="B8" s="1227" t="s">
        <v>2544</v>
      </c>
      <c r="C8" s="3189" t="s">
        <v>1980</v>
      </c>
      <c r="D8" s="1992"/>
      <c r="E8" s="1992"/>
      <c r="F8" s="1539"/>
      <c r="G8" s="1539"/>
      <c r="H8" s="1990"/>
      <c r="I8" s="1990"/>
      <c r="J8" s="1990"/>
      <c r="K8" s="1990"/>
      <c r="L8" s="1990"/>
      <c r="M8" s="1990"/>
      <c r="N8" s="1990"/>
      <c r="O8" s="1990"/>
      <c r="P8" s="1990"/>
      <c r="Q8" s="1990"/>
      <c r="R8" s="1990"/>
    </row>
    <row r="9" spans="1:18">
      <c r="A9" s="1225"/>
      <c r="B9" s="1227" t="s">
        <v>1656</v>
      </c>
      <c r="C9" s="3189" t="s">
        <v>3135</v>
      </c>
      <c r="D9" s="1991"/>
      <c r="E9" s="1992"/>
      <c r="F9" s="1539"/>
      <c r="G9" s="1539"/>
      <c r="H9" s="1990"/>
      <c r="I9" s="1990"/>
      <c r="J9" s="1990"/>
      <c r="K9" s="1990"/>
      <c r="L9" s="1990"/>
      <c r="M9" s="1990"/>
      <c r="N9" s="1990"/>
      <c r="O9" s="1990"/>
      <c r="P9" s="1990"/>
      <c r="Q9" s="1990"/>
      <c r="R9" s="1990"/>
    </row>
    <row r="10" spans="1:18" s="1998" customFormat="1" ht="15" thickBot="1">
      <c r="A10" s="1232"/>
      <c r="B10" s="1233" t="s">
        <v>1671</v>
      </c>
      <c r="C10" s="3190" t="s">
        <v>3137</v>
      </c>
      <c r="D10" s="1991"/>
      <c r="E10" s="1991"/>
      <c r="F10" s="1539"/>
      <c r="G10" s="1539"/>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7.399999999999999">
      <c r="A12" s="1993"/>
      <c r="B12" s="1992"/>
      <c r="C12" s="1991"/>
      <c r="D12" s="2539"/>
      <c r="E12" s="1991"/>
      <c r="F12" s="1992"/>
      <c r="G12" s="1994"/>
      <c r="H12" s="1999"/>
      <c r="I12" s="2000"/>
      <c r="J12" s="1999"/>
      <c r="K12" s="1999"/>
      <c r="L12" s="2001"/>
      <c r="M12" s="1999"/>
      <c r="N12" s="2002"/>
      <c r="O12" s="2003"/>
      <c r="P12" s="2004"/>
      <c r="Q12" s="2002"/>
      <c r="R12" s="1988"/>
    </row>
    <row r="13" spans="1:18" ht="18" thickBot="1">
      <c r="A13" s="2538" t="s">
        <v>1672</v>
      </c>
      <c r="B13" s="2539"/>
      <c r="C13" s="2539"/>
      <c r="D13" s="1220"/>
      <c r="E13" s="2539"/>
      <c r="F13" s="2539"/>
      <c r="G13" s="2539"/>
    </row>
    <row r="14" spans="1:18" ht="15" thickBot="1">
      <c r="A14" s="1234"/>
      <c r="B14" s="1235"/>
      <c r="C14" s="1236" t="s">
        <v>1664</v>
      </c>
      <c r="D14" s="1991"/>
      <c r="E14" s="1237"/>
      <c r="F14" s="1237"/>
      <c r="G14" s="1219" t="s">
        <v>1665</v>
      </c>
    </row>
    <row r="15" spans="1:18" ht="43.2">
      <c r="A15" s="2549" t="s">
        <v>1657</v>
      </c>
      <c r="B15" s="1238" t="s">
        <v>1653</v>
      </c>
      <c r="C15" s="1239" t="str">
        <f>C3</f>
        <v>较好</v>
      </c>
      <c r="D15" s="1991"/>
      <c r="E15" s="2546" t="s">
        <v>1658</v>
      </c>
      <c r="F15" s="1238" t="s">
        <v>1673</v>
      </c>
      <c r="G15" s="1240" t="str">
        <f>G3</f>
        <v>估价对象位于XX开发区，园区建设成熟度XX，产业集聚程度XX</v>
      </c>
      <c r="N15" s="3504" t="s">
        <v>3209</v>
      </c>
    </row>
    <row r="16" spans="1:18" ht="43.2">
      <c r="A16" s="2550"/>
      <c r="B16" s="1241" t="s">
        <v>1667</v>
      </c>
      <c r="C16" s="1242" t="str">
        <f>C4</f>
        <v>较好</v>
      </c>
      <c r="D16" s="1991"/>
      <c r="E16" s="2547"/>
      <c r="F16" s="1243" t="s">
        <v>1668</v>
      </c>
      <c r="G16" s="1005" t="str">
        <f>G4</f>
        <v>估价对象周边道路状况、公共交通通达情况、停车便捷程度，综合评价交通便捷度较好</v>
      </c>
    </row>
    <row r="17" spans="1:7">
      <c r="A17" s="2550"/>
      <c r="B17" s="1241" t="s">
        <v>1669</v>
      </c>
      <c r="C17" s="1242">
        <f>C5</f>
        <v>0</v>
      </c>
      <c r="D17" s="1992"/>
      <c r="E17" s="2547"/>
      <c r="F17" s="1243" t="s">
        <v>1674</v>
      </c>
      <c r="G17" s="2747"/>
    </row>
    <row r="18" spans="1:7" ht="43.2">
      <c r="A18" s="2550"/>
      <c r="B18" s="1243" t="s">
        <v>1655</v>
      </c>
      <c r="C18" s="1005" t="str">
        <f>C6</f>
        <v>较好</v>
      </c>
      <c r="D18" s="1992"/>
      <c r="E18" s="2547"/>
      <c r="F18" s="1243" t="s">
        <v>1670</v>
      </c>
      <c r="G18" s="1005" t="str">
        <f>G7</f>
        <v>该园区内是否有污染型企业，绿化情况，卫生条件，整体环境状况判断</v>
      </c>
    </row>
    <row r="19" spans="1:7" ht="28.8">
      <c r="A19" s="2550"/>
      <c r="B19" s="1243" t="s">
        <v>1659</v>
      </c>
      <c r="C19" s="2747"/>
      <c r="D19" s="1991"/>
      <c r="E19" s="2547"/>
      <c r="F19" s="1227" t="s">
        <v>2543</v>
      </c>
      <c r="G19" s="1005" t="str">
        <f>G5</f>
        <v>估价对象所在区域公共配套设施齐备情况</v>
      </c>
    </row>
    <row r="20" spans="1:7" ht="28.8">
      <c r="A20" s="2550"/>
      <c r="B20" s="1243" t="s">
        <v>1660</v>
      </c>
      <c r="C20" s="1242" t="str">
        <f>C9</f>
        <v>较好</v>
      </c>
      <c r="D20" s="1992"/>
      <c r="E20" s="2547"/>
      <c r="F20" s="1227" t="s">
        <v>2544</v>
      </c>
      <c r="G20" s="1005" t="str">
        <f>G6</f>
        <v>估价对象所在区域基础设施水平</v>
      </c>
    </row>
    <row r="21" spans="1:7">
      <c r="A21" s="2550"/>
      <c r="B21" s="1227" t="s">
        <v>2543</v>
      </c>
      <c r="C21" s="1005" t="str">
        <f>C7</f>
        <v>较好</v>
      </c>
      <c r="D21" s="1991"/>
      <c r="E21" s="2547"/>
      <c r="F21" s="1243" t="s">
        <v>1661</v>
      </c>
      <c r="G21" s="3034"/>
    </row>
    <row r="22" spans="1:7">
      <c r="A22" s="2550"/>
      <c r="B22" s="1227" t="s">
        <v>2544</v>
      </c>
      <c r="C22" s="1005" t="str">
        <f>C8</f>
        <v>六通</v>
      </c>
      <c r="D22" s="1991"/>
      <c r="E22" s="2547"/>
      <c r="F22" s="1243" t="s">
        <v>1671</v>
      </c>
      <c r="G22" s="2747"/>
    </row>
    <row r="23" spans="1:7" ht="15" thickBot="1">
      <c r="A23" s="2550"/>
      <c r="B23" s="1243" t="s">
        <v>1661</v>
      </c>
      <c r="C23" s="3034"/>
      <c r="E23" s="2548"/>
      <c r="F23" s="1244" t="s">
        <v>1675</v>
      </c>
      <c r="G23" s="3035"/>
    </row>
    <row r="24" spans="1:7" ht="15" thickBot="1">
      <c r="A24" s="2551"/>
      <c r="B24" s="1244" t="s">
        <v>1662</v>
      </c>
      <c r="C24" s="1245" t="str">
        <f>C10</f>
        <v>次干道</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topLeftCell="A4" workbookViewId="0">
      <selection activeCell="K22" sqref="K22"/>
    </sheetView>
  </sheetViews>
  <sheetFormatPr defaultColWidth="14.6640625" defaultRowHeight="14.4"/>
  <cols>
    <col min="1" max="1" width="24.33203125" customWidth="1"/>
  </cols>
  <sheetData>
    <row r="1" spans="1:9" ht="15.6">
      <c r="A1" s="2994" t="s">
        <v>2840</v>
      </c>
      <c r="B1" s="2994">
        <f>SUM(B14:B23)</f>
        <v>114120</v>
      </c>
      <c r="C1" s="2995"/>
      <c r="D1" s="2995"/>
      <c r="E1" s="2995"/>
      <c r="F1" s="2995"/>
    </row>
    <row r="2" spans="1:9" ht="15.6">
      <c r="A2" s="2994" t="s">
        <v>2841</v>
      </c>
      <c r="B2" s="2994">
        <f>SUM(C14:C23)</f>
        <v>22322.400000000001</v>
      </c>
      <c r="C2" s="2995"/>
      <c r="D2" s="2995"/>
      <c r="E2" s="2995"/>
      <c r="F2" s="2995"/>
    </row>
    <row r="3" spans="1:9" ht="15.6">
      <c r="A3" s="2994" t="s">
        <v>2842</v>
      </c>
      <c r="B3" s="2996">
        <f>项目基本情况!D3</f>
        <v>43889</v>
      </c>
      <c r="C3" s="2995"/>
      <c r="D3" s="2995"/>
      <c r="E3" s="2995"/>
      <c r="F3" s="2995"/>
    </row>
    <row r="4" spans="1:9" ht="31.2">
      <c r="A4" s="2994" t="s">
        <v>2843</v>
      </c>
      <c r="B4" s="2994" t="s">
        <v>2844</v>
      </c>
      <c r="C4" s="2994" t="s">
        <v>2845</v>
      </c>
      <c r="D4" s="2994" t="s">
        <v>2846</v>
      </c>
      <c r="E4" s="2995"/>
      <c r="F4" s="2995"/>
    </row>
    <row r="5" spans="1:9" ht="15.6">
      <c r="A5" s="2994" t="s">
        <v>2847</v>
      </c>
      <c r="B5" s="2994">
        <f ca="1">SUM(D14:D23)</f>
        <v>16832</v>
      </c>
      <c r="C5" s="2994">
        <f ca="1">ROUND(B5*10000/$B$1,0)</f>
        <v>1475</v>
      </c>
      <c r="D5" s="2994">
        <f ca="1">ROUND(B5*10000/$B$2,0)</f>
        <v>7540</v>
      </c>
      <c r="E5" s="2995"/>
      <c r="F5" s="2995"/>
    </row>
    <row r="6" spans="1:9" ht="15.6">
      <c r="A6" s="2994" t="s">
        <v>2848</v>
      </c>
      <c r="B6" s="2994">
        <f ca="1">SUM(G14:G23)</f>
        <v>16832</v>
      </c>
      <c r="C6" s="2994">
        <f t="shared" ref="C6:C8" ca="1" si="0">ROUND(B6*10000/$B$1,0)</f>
        <v>1475</v>
      </c>
      <c r="D6" s="2994">
        <f t="shared" ref="D6:D8" ca="1" si="1">ROUND(B6*10000/$B$2,0)</f>
        <v>7540</v>
      </c>
      <c r="E6" s="2995"/>
      <c r="F6" s="2995"/>
    </row>
    <row r="7" spans="1:9" ht="15.6">
      <c r="A7" s="2994" t="s">
        <v>2849</v>
      </c>
      <c r="B7" s="2994">
        <f>SUM(H14:H23)</f>
        <v>0</v>
      </c>
      <c r="C7" s="2994">
        <f t="shared" si="0"/>
        <v>0</v>
      </c>
      <c r="D7" s="2994">
        <f t="shared" si="1"/>
        <v>0</v>
      </c>
      <c r="E7" s="2995"/>
      <c r="F7" s="2995"/>
    </row>
    <row r="8" spans="1:9" ht="15.6">
      <c r="A8" s="2994" t="s">
        <v>2850</v>
      </c>
      <c r="B8" s="2994">
        <f>SUM(I14:I23)</f>
        <v>0</v>
      </c>
      <c r="C8" s="2994">
        <f t="shared" si="0"/>
        <v>0</v>
      </c>
      <c r="D8" s="2994">
        <f t="shared" si="1"/>
        <v>0</v>
      </c>
      <c r="E8" s="2995"/>
      <c r="F8" s="2995"/>
    </row>
    <row r="9" spans="1:9" ht="15.6">
      <c r="A9" s="2994" t="s">
        <v>2851</v>
      </c>
      <c r="B9" s="2997"/>
      <c r="C9" s="2995"/>
      <c r="D9" s="2995"/>
      <c r="E9" s="2995"/>
      <c r="F9" s="2995"/>
    </row>
    <row r="10" spans="1:9" ht="15.6">
      <c r="A10" s="2994" t="s">
        <v>2852</v>
      </c>
      <c r="B10" s="2997"/>
      <c r="C10" s="2995"/>
      <c r="D10" s="2995"/>
      <c r="E10" s="2995"/>
      <c r="F10" s="2995"/>
    </row>
    <row r="11" spans="1:9" ht="15.6">
      <c r="A11" s="2994" t="s">
        <v>2869</v>
      </c>
      <c r="B11" s="2997"/>
      <c r="C11" s="2995"/>
      <c r="D11" s="2995"/>
      <c r="E11" s="2995"/>
      <c r="F11" s="2995"/>
    </row>
    <row r="12" spans="1:9" ht="15.6">
      <c r="A12" s="2995"/>
      <c r="B12" s="2995"/>
      <c r="C12" s="2995"/>
      <c r="D12" s="2995"/>
      <c r="E12" s="2995"/>
      <c r="F12" s="2995"/>
    </row>
    <row r="13" spans="1:9" ht="31.2">
      <c r="A13" s="3000" t="s">
        <v>2868</v>
      </c>
      <c r="B13" s="2998" t="s">
        <v>2840</v>
      </c>
      <c r="C13" s="2998" t="s">
        <v>2841</v>
      </c>
      <c r="D13" s="2998" t="s">
        <v>2853</v>
      </c>
      <c r="E13" s="2994" t="s">
        <v>2867</v>
      </c>
      <c r="F13" s="2994" t="s">
        <v>2846</v>
      </c>
      <c r="G13" s="2998" t="s">
        <v>2854</v>
      </c>
      <c r="H13" s="2998" t="s">
        <v>2855</v>
      </c>
      <c r="I13" s="2998" t="s">
        <v>2856</v>
      </c>
    </row>
    <row r="14" spans="1:9" ht="15.6">
      <c r="A14" s="3001" t="s">
        <v>2866</v>
      </c>
      <c r="B14" s="2998">
        <f>结果表!L38</f>
        <v>114120</v>
      </c>
      <c r="C14" s="2998">
        <f>结果表!K38</f>
        <v>22322.400000000001</v>
      </c>
      <c r="D14" s="2998">
        <f ca="1">结果表!C42</f>
        <v>16832</v>
      </c>
      <c r="E14" s="2998">
        <f ca="1">ROUND(D14*10000/B14,0)</f>
        <v>1475</v>
      </c>
      <c r="F14" s="2998">
        <f ca="1">ROUND(D14*10000/C14,0)</f>
        <v>7540</v>
      </c>
      <c r="G14" s="2998">
        <f ca="1">结果表!C44</f>
        <v>16832</v>
      </c>
      <c r="H14" s="2998" t="str">
        <f>结果表!C45</f>
        <v>——</v>
      </c>
      <c r="I14" s="2998" t="str">
        <f>结果表!C46</f>
        <v>——</v>
      </c>
    </row>
    <row r="15" spans="1:9" ht="15.6">
      <c r="A15" s="3001" t="s">
        <v>2857</v>
      </c>
      <c r="B15" s="3002"/>
      <c r="C15" s="3002"/>
      <c r="D15" s="3002"/>
      <c r="E15" s="2998" t="e">
        <f t="shared" ref="E15:E23" si="2">ROUND(D15*10000/B15,0)</f>
        <v>#DIV/0!</v>
      </c>
      <c r="F15" s="2998" t="e">
        <f t="shared" ref="F15:F23" si="3">ROUND(D15*10000/C15,0)</f>
        <v>#DIV/0!</v>
      </c>
      <c r="G15" s="2999"/>
      <c r="H15" s="2999"/>
      <c r="I15" s="3002"/>
    </row>
    <row r="16" spans="1:9" ht="15.6">
      <c r="A16" s="3001" t="s">
        <v>2858</v>
      </c>
      <c r="B16" s="3002"/>
      <c r="C16" s="3002"/>
      <c r="D16" s="3002"/>
      <c r="E16" s="2998" t="e">
        <f t="shared" si="2"/>
        <v>#DIV/0!</v>
      </c>
      <c r="F16" s="2998" t="e">
        <f t="shared" si="3"/>
        <v>#DIV/0!</v>
      </c>
      <c r="G16" s="2999"/>
      <c r="H16" s="2999"/>
      <c r="I16" s="3002"/>
    </row>
    <row r="17" spans="1:9" ht="15.6">
      <c r="A17" s="3001" t="s">
        <v>2859</v>
      </c>
      <c r="B17" s="3002"/>
      <c r="C17" s="3002"/>
      <c r="D17" s="3002"/>
      <c r="E17" s="2998" t="e">
        <f t="shared" si="2"/>
        <v>#DIV/0!</v>
      </c>
      <c r="F17" s="2998" t="e">
        <f t="shared" si="3"/>
        <v>#DIV/0!</v>
      </c>
      <c r="G17" s="2999"/>
      <c r="H17" s="2999"/>
      <c r="I17" s="3002"/>
    </row>
    <row r="18" spans="1:9" ht="15.6">
      <c r="A18" s="3001" t="s">
        <v>2860</v>
      </c>
      <c r="B18" s="3002"/>
      <c r="C18" s="3002"/>
      <c r="D18" s="3002"/>
      <c r="E18" s="2998" t="e">
        <f t="shared" si="2"/>
        <v>#DIV/0!</v>
      </c>
      <c r="F18" s="2998" t="e">
        <f t="shared" si="3"/>
        <v>#DIV/0!</v>
      </c>
      <c r="G18" s="3002"/>
      <c r="H18" s="3002"/>
      <c r="I18" s="3002"/>
    </row>
    <row r="19" spans="1:9" ht="15.6">
      <c r="A19" s="3001" t="s">
        <v>2861</v>
      </c>
      <c r="B19" s="3002"/>
      <c r="C19" s="3002"/>
      <c r="D19" s="3002"/>
      <c r="E19" s="2998" t="e">
        <f t="shared" si="2"/>
        <v>#DIV/0!</v>
      </c>
      <c r="F19" s="2998" t="e">
        <f t="shared" si="3"/>
        <v>#DIV/0!</v>
      </c>
      <c r="G19" s="3002"/>
      <c r="H19" s="3002"/>
      <c r="I19" s="3002"/>
    </row>
    <row r="20" spans="1:9" ht="15.6">
      <c r="A20" s="3001" t="s">
        <v>2862</v>
      </c>
      <c r="B20" s="3002"/>
      <c r="C20" s="3002"/>
      <c r="D20" s="3002"/>
      <c r="E20" s="2998" t="e">
        <f t="shared" si="2"/>
        <v>#DIV/0!</v>
      </c>
      <c r="F20" s="2998" t="e">
        <f t="shared" si="3"/>
        <v>#DIV/0!</v>
      </c>
      <c r="G20" s="3002"/>
      <c r="H20" s="3002"/>
      <c r="I20" s="3002"/>
    </row>
    <row r="21" spans="1:9" ht="15.6">
      <c r="A21" s="3001" t="s">
        <v>2863</v>
      </c>
      <c r="B21" s="3002"/>
      <c r="C21" s="3002"/>
      <c r="D21" s="3002"/>
      <c r="E21" s="2998" t="e">
        <f t="shared" si="2"/>
        <v>#DIV/0!</v>
      </c>
      <c r="F21" s="2998" t="e">
        <f t="shared" si="3"/>
        <v>#DIV/0!</v>
      </c>
      <c r="G21" s="3002"/>
      <c r="H21" s="3002"/>
      <c r="I21" s="3002"/>
    </row>
    <row r="22" spans="1:9" ht="15.6">
      <c r="A22" s="3001" t="s">
        <v>2864</v>
      </c>
      <c r="B22" s="3002"/>
      <c r="C22" s="3002"/>
      <c r="D22" s="3002"/>
      <c r="E22" s="2998" t="e">
        <f t="shared" si="2"/>
        <v>#DIV/0!</v>
      </c>
      <c r="F22" s="2998" t="e">
        <f t="shared" si="3"/>
        <v>#DIV/0!</v>
      </c>
      <c r="G22" s="3002"/>
      <c r="H22" s="3002"/>
      <c r="I22" s="3002"/>
    </row>
    <row r="23" spans="1:9" ht="15.6">
      <c r="A23" s="3001" t="s">
        <v>2865</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7" zoomScaleNormal="100" zoomScaleSheetLayoutView="100" zoomScalePageLayoutView="80" workbookViewId="0">
      <selection activeCell="L17" sqref="L17"/>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58" t="s">
        <v>2052</v>
      </c>
      <c r="B1" s="1759"/>
      <c r="C1" s="1787" t="s">
        <v>2053</v>
      </c>
      <c r="D1" s="1788"/>
      <c r="E1" s="1787" t="s">
        <v>2054</v>
      </c>
      <c r="F1" s="1789" t="s">
        <v>3138</v>
      </c>
      <c r="G1" s="311"/>
      <c r="H1" s="311"/>
      <c r="I1" s="311"/>
      <c r="J1" s="2011"/>
      <c r="K1" s="2011"/>
      <c r="L1" s="2011"/>
      <c r="M1" s="2011"/>
      <c r="N1" s="2011"/>
      <c r="O1" s="2011"/>
      <c r="P1" s="2011"/>
      <c r="Q1" s="2011"/>
      <c r="R1" s="2011"/>
      <c r="S1" s="2011"/>
      <c r="T1" s="2011"/>
      <c r="U1" s="2011"/>
      <c r="V1" s="2011"/>
    </row>
    <row r="2" spans="1:22" ht="21.75" customHeight="1" thickBot="1">
      <c r="A2" s="3331" t="str">
        <f>项目基本情况!K2</f>
        <v>重庆市潼南区梓潼街道办凉风垭C2-3-04（1）号地块出让国有建设用地使用权</v>
      </c>
      <c r="B2" s="3332"/>
      <c r="C2" s="3333"/>
      <c r="D2" s="3333"/>
      <c r="E2" s="3333"/>
      <c r="F2" s="3333"/>
      <c r="G2" s="3332"/>
      <c r="H2" s="3332"/>
      <c r="I2" s="3334"/>
      <c r="J2" s="2012"/>
      <c r="K2" s="2011"/>
      <c r="L2" s="2011"/>
      <c r="M2" s="2011"/>
      <c r="N2" s="2011"/>
      <c r="O2" s="2011"/>
      <c r="P2" s="2011"/>
      <c r="Q2" s="2011"/>
      <c r="R2" s="2011"/>
      <c r="S2" s="2011"/>
      <c r="T2" s="2011"/>
      <c r="U2" s="2011"/>
      <c r="V2" s="2011"/>
    </row>
    <row r="3" spans="1:22" ht="13.8">
      <c r="A3" s="3324" t="s">
        <v>298</v>
      </c>
      <c r="B3" s="3325"/>
      <c r="C3" s="3325"/>
      <c r="D3" s="3325"/>
      <c r="E3" s="3325"/>
      <c r="F3" s="3325"/>
      <c r="G3" s="3325"/>
      <c r="H3" s="3325"/>
      <c r="I3" s="3325"/>
      <c r="J3" s="2012"/>
      <c r="K3" s="2011"/>
      <c r="L3" s="2011"/>
      <c r="M3" s="2011"/>
      <c r="N3" s="2011"/>
      <c r="O3" s="2011"/>
      <c r="P3" s="2011"/>
      <c r="Q3" s="2011"/>
      <c r="R3" s="2011"/>
      <c r="S3" s="2011"/>
      <c r="T3" s="2011"/>
      <c r="U3" s="2011"/>
      <c r="V3" s="2011"/>
    </row>
    <row r="4" spans="1:22" ht="14.4">
      <c r="A4" s="258" t="s">
        <v>299</v>
      </c>
      <c r="B4" s="259" t="s">
        <v>300</v>
      </c>
      <c r="C4" s="260" t="s">
        <v>3139</v>
      </c>
      <c r="D4" s="260" t="s">
        <v>3140</v>
      </c>
      <c r="E4" s="3296" t="s">
        <v>301</v>
      </c>
      <c r="F4" s="3297"/>
      <c r="G4" s="3297"/>
      <c r="H4" s="3297"/>
      <c r="I4" s="3326"/>
      <c r="J4" s="2012"/>
      <c r="K4" s="2011"/>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3.8">
      <c r="A5" s="3295" t="s">
        <v>302</v>
      </c>
      <c r="B5" s="3321">
        <v>25</v>
      </c>
      <c r="C5" s="3319"/>
      <c r="D5" s="3323"/>
      <c r="E5" s="261" t="s">
        <v>303</v>
      </c>
      <c r="F5" s="262"/>
      <c r="G5" s="262"/>
      <c r="H5" s="262"/>
      <c r="I5" s="263"/>
      <c r="J5" s="2012"/>
      <c r="K5" s="2011"/>
      <c r="L5" s="2011"/>
      <c r="M5" s="2011"/>
      <c r="N5" s="2011"/>
      <c r="O5" s="2011"/>
      <c r="P5" s="2011"/>
      <c r="Q5" s="2011"/>
      <c r="R5" s="2011"/>
      <c r="S5" s="2011"/>
      <c r="T5" s="2011"/>
      <c r="U5" s="2011"/>
      <c r="V5" s="2011"/>
    </row>
    <row r="6" spans="1:22" ht="13.8">
      <c r="A6" s="3295"/>
      <c r="B6" s="3321"/>
      <c r="C6" s="3322"/>
      <c r="D6" s="3323"/>
      <c r="E6" s="261" t="s">
        <v>304</v>
      </c>
      <c r="F6" s="262"/>
      <c r="G6" s="262"/>
      <c r="H6" s="262"/>
      <c r="I6" s="263"/>
      <c r="J6" s="2012"/>
      <c r="K6" s="2011"/>
      <c r="L6" s="2011"/>
      <c r="M6" s="2011"/>
      <c r="N6" s="2011"/>
      <c r="O6" s="2011"/>
      <c r="P6" s="2011"/>
      <c r="Q6" s="2011"/>
      <c r="R6" s="2011"/>
      <c r="S6" s="2011"/>
      <c r="T6" s="2011"/>
      <c r="U6" s="2011"/>
      <c r="V6" s="2011"/>
    </row>
    <row r="7" spans="1:22" ht="13.8">
      <c r="A7" s="3295"/>
      <c r="B7" s="3321"/>
      <c r="C7" s="3320"/>
      <c r="D7" s="3323"/>
      <c r="E7" s="261" t="s">
        <v>305</v>
      </c>
      <c r="F7" s="262"/>
      <c r="G7" s="262"/>
      <c r="H7" s="262"/>
      <c r="I7" s="263"/>
      <c r="J7" s="2012"/>
      <c r="K7" s="2011"/>
      <c r="L7" s="2011"/>
      <c r="M7" s="2011"/>
      <c r="N7" s="2011"/>
      <c r="O7" s="2011"/>
      <c r="P7" s="2011"/>
      <c r="Q7" s="2011"/>
      <c r="R7" s="2011"/>
      <c r="S7" s="2011"/>
      <c r="T7" s="2011"/>
      <c r="U7" s="2011"/>
      <c r="V7" s="2011"/>
    </row>
    <row r="8" spans="1:22" ht="13.8">
      <c r="A8" s="3295" t="s">
        <v>306</v>
      </c>
      <c r="B8" s="3321">
        <v>15</v>
      </c>
      <c r="C8" s="3319"/>
      <c r="D8" s="3323"/>
      <c r="E8" s="261" t="s">
        <v>307</v>
      </c>
      <c r="F8" s="262"/>
      <c r="G8" s="262"/>
      <c r="H8" s="262"/>
      <c r="I8" s="263"/>
      <c r="J8" s="2012"/>
      <c r="K8" s="2011"/>
      <c r="L8" s="2011"/>
      <c r="M8" s="2011"/>
      <c r="N8" s="2011"/>
      <c r="O8" s="2011"/>
      <c r="P8" s="2011"/>
      <c r="Q8" s="2011"/>
      <c r="R8" s="2011"/>
      <c r="S8" s="2011"/>
      <c r="T8" s="2011"/>
      <c r="U8" s="2011"/>
      <c r="V8" s="2011"/>
    </row>
    <row r="9" spans="1:22" ht="13.8">
      <c r="A9" s="3295"/>
      <c r="B9" s="3321"/>
      <c r="C9" s="3320"/>
      <c r="D9" s="3323"/>
      <c r="E9" s="261" t="s">
        <v>308</v>
      </c>
      <c r="F9" s="262"/>
      <c r="G9" s="262"/>
      <c r="H9" s="262"/>
      <c r="I9" s="263"/>
      <c r="J9" s="2012"/>
      <c r="K9" s="2011"/>
      <c r="L9" s="2011"/>
      <c r="M9" s="2011"/>
      <c r="N9" s="2011"/>
      <c r="O9" s="2011"/>
      <c r="P9" s="2011"/>
      <c r="Q9" s="2011"/>
      <c r="R9" s="2011"/>
      <c r="S9" s="2011"/>
      <c r="T9" s="2011"/>
      <c r="U9" s="2011"/>
      <c r="V9" s="2011"/>
    </row>
    <row r="10" spans="1:22" ht="13.8">
      <c r="A10" s="3295" t="s">
        <v>309</v>
      </c>
      <c r="B10" s="3321">
        <v>15</v>
      </c>
      <c r="C10" s="3319"/>
      <c r="D10" s="3323"/>
      <c r="E10" s="261" t="s">
        <v>310</v>
      </c>
      <c r="F10" s="262"/>
      <c r="G10" s="262"/>
      <c r="H10" s="262"/>
      <c r="I10" s="263"/>
      <c r="J10" s="2012"/>
      <c r="K10" s="2011"/>
      <c r="L10" s="2011"/>
      <c r="M10" s="2011"/>
      <c r="N10" s="2011"/>
      <c r="O10" s="2011"/>
      <c r="P10" s="2011"/>
      <c r="Q10" s="2011"/>
      <c r="R10" s="2011"/>
      <c r="S10" s="2011"/>
      <c r="T10" s="2011"/>
      <c r="U10" s="2011"/>
      <c r="V10" s="2011"/>
    </row>
    <row r="11" spans="1:22" ht="13.8">
      <c r="A11" s="3295"/>
      <c r="B11" s="3321"/>
      <c r="C11" s="3320"/>
      <c r="D11" s="3323"/>
      <c r="E11" s="261" t="s">
        <v>311</v>
      </c>
      <c r="F11" s="262"/>
      <c r="G11" s="262"/>
      <c r="H11" s="262"/>
      <c r="I11" s="263"/>
      <c r="J11" s="2012"/>
      <c r="K11" s="2011"/>
      <c r="L11" s="2011"/>
      <c r="M11" s="2011"/>
      <c r="N11" s="2011"/>
      <c r="O11" s="2011"/>
      <c r="P11" s="2011"/>
      <c r="Q11" s="2011"/>
      <c r="R11" s="2011"/>
      <c r="S11" s="2011"/>
      <c r="T11" s="2011"/>
      <c r="U11" s="2011"/>
      <c r="V11" s="2011"/>
    </row>
    <row r="12" spans="1:22" ht="13.8">
      <c r="A12" s="3295" t="s">
        <v>312</v>
      </c>
      <c r="B12" s="3321">
        <v>15</v>
      </c>
      <c r="C12" s="3319"/>
      <c r="D12" s="3323"/>
      <c r="E12" s="261" t="s">
        <v>313</v>
      </c>
      <c r="F12" s="262"/>
      <c r="G12" s="262"/>
      <c r="H12" s="262"/>
      <c r="I12" s="263"/>
      <c r="J12" s="2012"/>
      <c r="K12" s="2011"/>
      <c r="L12" s="2011"/>
      <c r="M12" s="2011"/>
      <c r="N12" s="2011"/>
      <c r="O12" s="2011"/>
      <c r="P12" s="2011"/>
      <c r="Q12" s="2011"/>
      <c r="R12" s="2011"/>
      <c r="S12" s="2011"/>
      <c r="T12" s="2011"/>
      <c r="U12" s="2011"/>
      <c r="V12" s="2011"/>
    </row>
    <row r="13" spans="1:22" ht="13.8">
      <c r="A13" s="3295"/>
      <c r="B13" s="3321"/>
      <c r="C13" s="3320"/>
      <c r="D13" s="3323"/>
      <c r="E13" s="261" t="s">
        <v>314</v>
      </c>
      <c r="F13" s="262"/>
      <c r="G13" s="262"/>
      <c r="H13" s="262"/>
      <c r="I13" s="263"/>
      <c r="J13" s="2012"/>
      <c r="K13" s="2011"/>
      <c r="L13" s="2011"/>
      <c r="M13" s="2011"/>
      <c r="N13" s="2011"/>
      <c r="O13" s="2011"/>
      <c r="P13" s="2011"/>
      <c r="Q13" s="2011"/>
      <c r="R13" s="2011"/>
      <c r="S13" s="2011"/>
      <c r="T13" s="2011"/>
      <c r="U13" s="2011"/>
      <c r="V13" s="2011"/>
    </row>
    <row r="14" spans="1:22" ht="13.8">
      <c r="A14" s="3295" t="s">
        <v>315</v>
      </c>
      <c r="B14" s="3321">
        <v>30</v>
      </c>
      <c r="C14" s="3319">
        <v>5</v>
      </c>
      <c r="D14" s="3323">
        <v>5</v>
      </c>
      <c r="E14" s="261" t="s">
        <v>316</v>
      </c>
      <c r="F14" s="262"/>
      <c r="G14" s="262"/>
      <c r="H14" s="262"/>
      <c r="I14" s="263"/>
      <c r="J14" s="2012"/>
      <c r="K14" s="2011"/>
      <c r="L14" s="2011"/>
      <c r="M14" s="2011"/>
      <c r="N14" s="2011"/>
      <c r="O14" s="2011"/>
      <c r="P14" s="2011"/>
      <c r="Q14" s="2011"/>
      <c r="R14" s="2011"/>
      <c r="S14" s="2011"/>
      <c r="T14" s="2011"/>
      <c r="U14" s="2011"/>
      <c r="V14" s="2011"/>
    </row>
    <row r="15" spans="1:22" ht="13.8">
      <c r="A15" s="3295"/>
      <c r="B15" s="3321"/>
      <c r="C15" s="3322"/>
      <c r="D15" s="3323"/>
      <c r="E15" s="261" t="s">
        <v>317</v>
      </c>
      <c r="F15" s="262"/>
      <c r="G15" s="262"/>
      <c r="H15" s="262"/>
      <c r="I15" s="263"/>
      <c r="J15" s="2012"/>
      <c r="K15" s="2011"/>
      <c r="L15" s="2011"/>
      <c r="M15" s="2011"/>
      <c r="N15" s="2011"/>
      <c r="O15" s="2011"/>
      <c r="P15" s="2011"/>
      <c r="Q15" s="2011"/>
      <c r="R15" s="2011"/>
      <c r="S15" s="2011"/>
      <c r="T15" s="2011"/>
      <c r="U15" s="2011"/>
      <c r="V15" s="2011"/>
    </row>
    <row r="16" spans="1:22" ht="13.8">
      <c r="A16" s="3295"/>
      <c r="B16" s="3321"/>
      <c r="C16" s="3320"/>
      <c r="D16" s="3323"/>
      <c r="E16" s="261" t="s">
        <v>318</v>
      </c>
      <c r="F16" s="262"/>
      <c r="G16" s="262"/>
      <c r="H16" s="262"/>
      <c r="I16" s="263"/>
      <c r="J16" s="2012"/>
      <c r="K16" s="2011"/>
      <c r="L16" s="2011"/>
      <c r="M16" s="2011"/>
      <c r="N16" s="2011"/>
      <c r="O16" s="2011"/>
      <c r="P16" s="2011"/>
      <c r="Q16" s="2011"/>
      <c r="R16" s="2011"/>
      <c r="S16" s="2011"/>
      <c r="T16" s="2011"/>
      <c r="U16" s="2011"/>
      <c r="V16" s="2011"/>
    </row>
    <row r="17" spans="1:26" ht="14.4">
      <c r="A17" s="264" t="s">
        <v>319</v>
      </c>
      <c r="B17" s="144"/>
      <c r="C17" s="265">
        <f>SUM(C5:C16)</f>
        <v>5</v>
      </c>
      <c r="D17" s="265">
        <f>SUM(D5:D16)</f>
        <v>5</v>
      </c>
      <c r="E17" s="311"/>
      <c r="F17" s="311"/>
      <c r="G17" s="311"/>
      <c r="H17" s="311"/>
      <c r="I17" s="311"/>
      <c r="J17" s="2012"/>
      <c r="K17" s="2011"/>
      <c r="L17" s="2011"/>
      <c r="M17" s="2011"/>
      <c r="N17" s="2011"/>
      <c r="O17" s="2011"/>
      <c r="P17" s="2011"/>
      <c r="Q17" s="2011"/>
      <c r="R17" s="2011"/>
      <c r="S17" s="2011"/>
      <c r="T17" s="2011"/>
      <c r="U17" s="2011"/>
      <c r="V17" s="2011"/>
    </row>
    <row r="18" spans="1:26" ht="15" thickBot="1">
      <c r="A18" s="266" t="s">
        <v>320</v>
      </c>
      <c r="B18" s="105"/>
      <c r="C18" s="267">
        <f>ROUND(C17/SUM(C17:D17),2)</f>
        <v>0.5</v>
      </c>
      <c r="D18" s="267">
        <f>1-C18</f>
        <v>0.5</v>
      </c>
      <c r="E18" s="311"/>
      <c r="F18" s="311"/>
      <c r="G18" s="311"/>
      <c r="H18" s="311"/>
      <c r="I18" s="311"/>
      <c r="J18" s="2011"/>
      <c r="K18" s="2011"/>
      <c r="L18" s="2011"/>
      <c r="M18" s="2011"/>
      <c r="N18" s="2011"/>
      <c r="O18" s="2011"/>
      <c r="P18" s="2011"/>
      <c r="Q18" s="2011"/>
      <c r="R18" s="2011"/>
      <c r="S18" s="2011"/>
      <c r="T18" s="2011"/>
      <c r="U18" s="2011"/>
      <c r="V18" s="2011"/>
    </row>
    <row r="19" spans="1:26" ht="14.4">
      <c r="A19" s="268" t="s">
        <v>321</v>
      </c>
      <c r="B19" s="269" t="s">
        <v>322</v>
      </c>
      <c r="C19" s="270">
        <f ca="1">SUMIF(INDIRECT("'"&amp;C4&amp;"'"&amp;"!A:A"),结果表!B19,INDIRECT("'"&amp;C4&amp;"'"&amp;"!B:B"))</f>
        <v>15828</v>
      </c>
      <c r="D19" s="271">
        <f ca="1">SUMIF(INDIRECT("'"&amp;D4&amp;"'"&amp;"!A:A"),结果表!B19,INDIRECT("'"&amp;D4&amp;"'"&amp;"!B:B"))</f>
        <v>17836</v>
      </c>
      <c r="E19" s="268" t="s">
        <v>323</v>
      </c>
      <c r="F19" s="269" t="s">
        <v>322</v>
      </c>
      <c r="G19" s="272">
        <f ca="1">ROUND(C19*$C$18+D19*$D$18,0)</f>
        <v>16832</v>
      </c>
      <c r="H19" s="273" t="s">
        <v>324</v>
      </c>
      <c r="I19" s="311"/>
      <c r="J19" s="2011"/>
      <c r="K19" s="2011"/>
      <c r="L19" s="2011"/>
      <c r="M19" s="2011"/>
      <c r="N19" s="2011"/>
      <c r="O19" s="2011"/>
      <c r="P19" s="2011"/>
      <c r="Q19" s="2011"/>
      <c r="R19" s="2011"/>
      <c r="S19" s="2011"/>
      <c r="T19" s="2011"/>
      <c r="U19" s="2011"/>
      <c r="V19" s="2011"/>
    </row>
    <row r="20" spans="1:26" ht="14.4">
      <c r="A20" s="274"/>
      <c r="B20" s="275" t="s">
        <v>325</v>
      </c>
      <c r="C20" s="276">
        <f ca="1">SUMIF(INDIRECT("'"&amp;C4&amp;"'"&amp;"!A:A"),结果表!B20,INDIRECT("'"&amp;C4&amp;"'"&amp;"!B:B"))</f>
        <v>1387</v>
      </c>
      <c r="D20" s="277">
        <f ca="1">SUMIF(INDIRECT("'"&amp;D4&amp;"'"&amp;"!A:A"),结果表!B20,INDIRECT("'"&amp;D4&amp;"'"&amp;"!B:B"))</f>
        <v>1563</v>
      </c>
      <c r="E20" s="274"/>
      <c r="F20" s="275" t="s">
        <v>325</v>
      </c>
      <c r="G20" s="278">
        <f ca="1">ROUND(C20*$C$18+D20*$D$18,0)</f>
        <v>1475</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7091</v>
      </c>
      <c r="D21" s="151">
        <f ca="1">SUMIF(INDIRECT("'"&amp;D4&amp;"'"&amp;"!A:A"),结果表!B21,INDIRECT("'"&amp;D4&amp;"'"&amp;"!B:B"))</f>
        <v>7990</v>
      </c>
      <c r="E21" s="274"/>
      <c r="F21" s="280" t="s">
        <v>327</v>
      </c>
      <c r="G21" s="282">
        <f ca="1">ROUND(C21*$C$18+D21*$D$18,0)</f>
        <v>7541</v>
      </c>
      <c r="H21" s="1247" t="s">
        <v>326</v>
      </c>
      <c r="I21" s="311"/>
      <c r="J21" s="2011"/>
      <c r="K21" s="2011"/>
      <c r="L21" s="2011"/>
      <c r="M21" s="2011"/>
      <c r="N21" s="2011"/>
      <c r="O21" s="2011"/>
      <c r="P21" s="2011"/>
      <c r="Q21" s="2011"/>
      <c r="R21" s="2011"/>
      <c r="S21" s="2011"/>
      <c r="T21" s="2011"/>
      <c r="U21" s="2011"/>
      <c r="V21" s="2011"/>
    </row>
    <row r="22" spans="1:26" ht="15" thickBot="1">
      <c r="A22" s="126" t="s">
        <v>328</v>
      </c>
      <c r="B22" s="1248"/>
      <c r="C22" s="1249"/>
      <c r="D22" s="283">
        <f ca="1">IF(C19&lt;D19,D19/C19-1,C19/D19-1)</f>
        <v>0.12686378569623447</v>
      </c>
      <c r="E22" s="284"/>
      <c r="F22" s="285"/>
      <c r="G22" s="286">
        <f ca="1">ROUND(G19/('数据-汇总表'!D3/666.67),0)</f>
        <v>503</v>
      </c>
      <c r="H22" s="287" t="s">
        <v>329</v>
      </c>
      <c r="I22" s="311"/>
      <c r="J22" s="2011"/>
      <c r="K22" s="2011"/>
      <c r="L22" s="2011"/>
      <c r="M22" s="2011"/>
      <c r="N22" s="2011"/>
      <c r="O22" s="2011"/>
      <c r="P22" s="2011"/>
      <c r="Q22" s="2011"/>
      <c r="R22" s="2011"/>
      <c r="S22" s="2011"/>
      <c r="T22" s="2011"/>
      <c r="U22" s="2011"/>
      <c r="V22" s="2011"/>
    </row>
    <row r="23" spans="1:26" ht="13.8"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301" t="s">
        <v>330</v>
      </c>
      <c r="B24" s="269" t="s">
        <v>322</v>
      </c>
      <c r="C24" s="288">
        <f>IF(B30=0,0,D30)</f>
        <v>0</v>
      </c>
      <c r="D24" s="289"/>
      <c r="E24" s="311"/>
      <c r="F24" s="311"/>
      <c r="G24" s="311"/>
      <c r="H24" s="311"/>
      <c r="I24" s="311"/>
      <c r="J24" s="2011"/>
      <c r="K24" s="2011"/>
      <c r="L24" s="2011"/>
      <c r="M24" s="2011"/>
      <c r="N24" s="2011"/>
      <c r="O24" s="2011"/>
      <c r="P24" s="2011"/>
      <c r="Q24" s="2011"/>
      <c r="R24" s="2011"/>
      <c r="S24" s="2011"/>
      <c r="T24" s="2011"/>
      <c r="U24" s="2011"/>
      <c r="V24" s="2011"/>
    </row>
    <row r="25" spans="1:26" ht="17.399999999999999">
      <c r="A25" s="3302"/>
      <c r="B25" s="1317" t="s">
        <v>331</v>
      </c>
      <c r="C25" s="290">
        <f>IF(B30=0,0,C30)</f>
        <v>0</v>
      </c>
      <c r="D25" s="291"/>
      <c r="E25" s="311"/>
      <c r="F25" s="311"/>
      <c r="G25" s="311"/>
      <c r="H25" s="311"/>
      <c r="I25" s="311"/>
      <c r="J25" s="2011"/>
      <c r="K25" s="1251" t="str">
        <f ca="1">项目基本情况!B16&amp;"国有建设用地使用权价格："&amp;O38&amp;"万元"</f>
        <v>出让国有建设用地使用权价格：16832万元</v>
      </c>
      <c r="L25" s="1252"/>
      <c r="M25" s="1252"/>
      <c r="N25" s="1252"/>
      <c r="O25" s="1253"/>
      <c r="P25" s="2011"/>
      <c r="Q25" s="2011"/>
      <c r="R25" s="2011"/>
      <c r="S25" s="2011"/>
      <c r="T25" s="2011"/>
      <c r="U25" s="2011"/>
      <c r="V25" s="2011"/>
    </row>
    <row r="26" spans="1:26" s="1250" customFormat="1" ht="17.399999999999999">
      <c r="A26" s="293" t="s">
        <v>332</v>
      </c>
      <c r="B26" s="294" t="s">
        <v>333</v>
      </c>
      <c r="C26" s="294" t="s">
        <v>334</v>
      </c>
      <c r="D26" s="295" t="s">
        <v>335</v>
      </c>
      <c r="E26" s="311"/>
      <c r="F26" s="311"/>
      <c r="G26" s="311"/>
      <c r="H26" s="311"/>
      <c r="I26" s="311"/>
      <c r="J26" s="2011"/>
      <c r="K26" s="1254" t="str">
        <f ca="1">"大写金额：人民币"&amp;NUMBERSTRING(INT(O38*10000),2)&amp;"元整"</f>
        <v>大写金额：人民币壹亿陆仟捌佰叁拾贰万元整</v>
      </c>
      <c r="L26" s="1248"/>
      <c r="M26" s="1248"/>
      <c r="N26" s="1248"/>
      <c r="O26" s="1247"/>
      <c r="P26" s="2011"/>
      <c r="Q26" s="2011"/>
      <c r="R26" s="2011"/>
      <c r="S26" s="2011"/>
      <c r="T26" s="2011"/>
      <c r="U26" s="2011"/>
      <c r="V26" s="2011"/>
      <c r="W26" s="292"/>
      <c r="X26" s="292"/>
      <c r="Y26" s="292"/>
      <c r="Z26" s="292"/>
    </row>
    <row r="27" spans="1:26" ht="17.399999999999999">
      <c r="A27" s="293"/>
      <c r="B27" s="294"/>
      <c r="C27" s="294"/>
      <c r="D27" s="295"/>
      <c r="E27" s="311"/>
      <c r="F27" s="311"/>
      <c r="G27" s="311"/>
      <c r="H27" s="311"/>
      <c r="I27" s="311"/>
      <c r="J27" s="2011"/>
      <c r="K27" s="1254" t="str">
        <f ca="1">"单位面积地价："&amp;M38&amp;"元/平方米"</f>
        <v>单位面积地价：7540元/平方米</v>
      </c>
      <c r="L27" s="1248"/>
      <c r="M27" s="1248"/>
      <c r="N27" s="1248"/>
      <c r="O27" s="1247"/>
      <c r="P27" s="2011"/>
      <c r="Q27" s="2011"/>
      <c r="R27" s="2011"/>
      <c r="S27" s="2011"/>
      <c r="T27" s="2011"/>
      <c r="U27" s="2011"/>
      <c r="V27" s="2011"/>
    </row>
    <row r="28" spans="1:26" ht="18.75" customHeight="1">
      <c r="A28" s="293"/>
      <c r="B28" s="294"/>
      <c r="C28" s="294"/>
      <c r="D28" s="295"/>
      <c r="E28" s="311"/>
      <c r="F28" s="311"/>
      <c r="G28" s="311"/>
      <c r="H28" s="311"/>
      <c r="I28" s="311"/>
      <c r="J28" s="2011"/>
      <c r="K28" s="1254" t="str">
        <f ca="1">"楼面地价："&amp;N38&amp;"元/平方米"</f>
        <v>楼面地价：1475元/平方米</v>
      </c>
      <c r="L28" s="1248"/>
      <c r="M28" s="1248"/>
      <c r="N28" s="1248"/>
      <c r="O28" s="1247"/>
      <c r="P28" s="2011"/>
      <c r="V28" s="2011"/>
    </row>
    <row r="29" spans="1:26" ht="17.399999999999999">
      <c r="A29" s="293"/>
      <c r="B29" s="294"/>
      <c r="C29" s="294"/>
      <c r="D29" s="295"/>
      <c r="E29" s="311"/>
      <c r="F29" s="311"/>
      <c r="G29" s="311"/>
      <c r="H29" s="311"/>
      <c r="I29" s="311"/>
      <c r="J29" s="2011"/>
      <c r="K29" s="1254" t="str">
        <f ca="1">IF(OR(项目基本情况!E8="抵押价格",项目基本情况!E8="已注销及未注销"),"抵押价格："&amp;O39&amp;"万元","——")</f>
        <v>抵押价格：16832万元</v>
      </c>
      <c r="L29" s="1248"/>
      <c r="M29" s="1248"/>
      <c r="N29" s="1248"/>
      <c r="O29" s="1247"/>
      <c r="P29" s="2011"/>
      <c r="V29" s="2011"/>
    </row>
    <row r="30" spans="1:26" ht="18" thickBot="1">
      <c r="A30" s="3077" t="s">
        <v>336</v>
      </c>
      <c r="B30" s="309"/>
      <c r="C30" s="309"/>
      <c r="D30" s="310"/>
      <c r="E30" s="3078" t="s">
        <v>2961</v>
      </c>
      <c r="F30" s="311"/>
      <c r="G30" s="311"/>
      <c r="H30" s="311"/>
      <c r="I30" s="311"/>
      <c r="J30" s="2011"/>
      <c r="K30" s="1254" t="str">
        <f ca="1">IF(K29="——","——","大写金额：人民币"&amp;NUMBERSTRING(INT(O39*10000),2)&amp;"元整")</f>
        <v>大写金额：人民币壹亿陆仟捌佰叁拾贰万元整</v>
      </c>
      <c r="L30" s="1248"/>
      <c r="M30" s="1248"/>
      <c r="N30" s="1248"/>
      <c r="O30" s="1247"/>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 thickBot="1">
      <c r="A32" s="268" t="s">
        <v>337</v>
      </c>
      <c r="B32" s="1377" t="s">
        <v>1687</v>
      </c>
      <c r="C32" s="1378">
        <f ca="1">G19-C24</f>
        <v>16832</v>
      </c>
      <c r="D32" s="1379" t="s">
        <v>1688</v>
      </c>
      <c r="E32" s="311"/>
      <c r="F32" s="311"/>
      <c r="G32" s="311"/>
      <c r="H32" s="311"/>
      <c r="I32" s="311"/>
      <c r="J32" s="2011"/>
      <c r="K32" s="2425" t="str">
        <f>IF(K31="——","——","大写金额：人民币"&amp;NUMBERSTRING(INT(O40*10000),2)&amp;"元整")</f>
        <v>——</v>
      </c>
      <c r="L32" s="2428"/>
      <c r="M32" s="2428"/>
      <c r="N32" s="2428"/>
      <c r="O32" s="2429"/>
      <c r="P32" s="2011"/>
      <c r="V32" s="2011"/>
    </row>
    <row r="33" spans="1:26" ht="18" thickBot="1">
      <c r="A33" s="298" t="s">
        <v>340</v>
      </c>
      <c r="B33" s="1380" t="s">
        <v>1689</v>
      </c>
      <c r="C33" s="264">
        <f ca="1">ROUND(C32*10000/'数据-汇总表'!E3,0)</f>
        <v>1475</v>
      </c>
      <c r="D33" s="1381" t="s">
        <v>1690</v>
      </c>
      <c r="E33" s="3301" t="s">
        <v>338</v>
      </c>
      <c r="F33" s="296" t="s">
        <v>339</v>
      </c>
      <c r="G33" s="297"/>
      <c r="H33" s="980"/>
      <c r="I33" s="1255"/>
      <c r="J33" s="2011"/>
      <c r="K33" s="1254" t="str">
        <f>IF(项目基本情况!E9="——","——","抵押净值："&amp;C46&amp;"万元")</f>
        <v>抵押净值：——万元</v>
      </c>
      <c r="L33" s="1248"/>
      <c r="M33" s="1248"/>
      <c r="N33" s="1248"/>
      <c r="O33" s="1247"/>
      <c r="P33" s="2011"/>
      <c r="V33" s="2011"/>
    </row>
    <row r="34" spans="1:26" s="1250" customFormat="1" ht="18" thickBot="1">
      <c r="A34" s="300"/>
      <c r="B34" s="1382" t="s">
        <v>1691</v>
      </c>
      <c r="C34" s="264">
        <f ca="1">ROUND(C32*10000/'数据-汇总表'!D3,0)</f>
        <v>7540</v>
      </c>
      <c r="D34" s="1383" t="s">
        <v>1690</v>
      </c>
      <c r="E34" s="3342"/>
      <c r="F34" s="127" t="s">
        <v>341</v>
      </c>
      <c r="G34" s="299"/>
      <c r="H34" s="105"/>
      <c r="I34" s="311"/>
      <c r="J34" s="2011"/>
      <c r="K34" s="1257" t="e">
        <f>IF(K33="——","——","大写金额：人民币"&amp;NUMBERSTRING(INT(O41*10000),2)&amp;"元整")</f>
        <v>#VALUE!</v>
      </c>
      <c r="L34" s="1258"/>
      <c r="M34" s="1258"/>
      <c r="N34" s="1258"/>
      <c r="O34" s="1259"/>
      <c r="P34" s="2011"/>
      <c r="Q34" s="292"/>
      <c r="R34" s="292"/>
      <c r="S34" s="292"/>
      <c r="T34" s="292"/>
      <c r="U34" s="292"/>
      <c r="V34" s="2011"/>
      <c r="W34" s="292"/>
      <c r="X34" s="292"/>
      <c r="Y34" s="292"/>
      <c r="Z34" s="292"/>
    </row>
    <row r="35" spans="1:26" ht="15" thickBot="1">
      <c r="A35" s="284"/>
      <c r="B35" s="1384"/>
      <c r="C35" s="1385">
        <f ca="1">ROUND(C32/('数据-汇总表'!D3/666.67),0)</f>
        <v>503</v>
      </c>
      <c r="D35" s="1386" t="s">
        <v>1692</v>
      </c>
      <c r="E35" s="3343"/>
      <c r="F35" s="301" t="s">
        <v>342</v>
      </c>
      <c r="G35" s="982"/>
      <c r="H35" s="981" t="s">
        <v>343</v>
      </c>
      <c r="I35" s="311"/>
      <c r="J35" s="2011"/>
      <c r="K35" s="3316" t="s">
        <v>350</v>
      </c>
      <c r="L35" s="3316" t="s">
        <v>351</v>
      </c>
      <c r="M35" s="1260" t="s">
        <v>352</v>
      </c>
      <c r="N35" s="3316" t="s">
        <v>353</v>
      </c>
      <c r="O35" s="3316" t="s">
        <v>354</v>
      </c>
      <c r="P35" s="2011"/>
      <c r="V35" s="2011"/>
    </row>
    <row r="36" spans="1:26" ht="16.5" customHeight="1">
      <c r="A36" s="303" t="s">
        <v>344</v>
      </c>
      <c r="B36" s="304" t="s">
        <v>333</v>
      </c>
      <c r="C36" s="305" t="s">
        <v>345</v>
      </c>
      <c r="D36" s="305" t="s">
        <v>346</v>
      </c>
      <c r="E36" s="306" t="s">
        <v>347</v>
      </c>
      <c r="F36" s="311"/>
      <c r="G36" s="311"/>
      <c r="H36" s="311"/>
      <c r="I36" s="311"/>
      <c r="J36" s="2013"/>
      <c r="K36" s="3317"/>
      <c r="L36" s="3317"/>
      <c r="M36" s="1262" t="s">
        <v>355</v>
      </c>
      <c r="N36" s="3317"/>
      <c r="O36" s="3317"/>
      <c r="P36" s="2011"/>
      <c r="V36" s="2011"/>
    </row>
    <row r="37" spans="1:26" ht="16.5" customHeight="1" thickBot="1">
      <c r="A37" s="1256" t="s">
        <v>348</v>
      </c>
      <c r="B37" s="307"/>
      <c r="C37" s="294"/>
      <c r="D37" s="294"/>
      <c r="E37" s="295"/>
      <c r="F37" s="311"/>
      <c r="G37" s="311"/>
      <c r="H37" s="311"/>
      <c r="I37" s="311"/>
      <c r="J37" s="2013"/>
      <c r="K37" s="3318"/>
      <c r="L37" s="3318"/>
      <c r="M37" s="1263"/>
      <c r="N37" s="3318"/>
      <c r="O37" s="3318"/>
      <c r="P37" s="2011"/>
      <c r="V37" s="2011"/>
    </row>
    <row r="38" spans="1:26" ht="16.5" customHeight="1" thickBot="1">
      <c r="A38" s="1256" t="s">
        <v>349</v>
      </c>
      <c r="B38" s="307"/>
      <c r="C38" s="294"/>
      <c r="D38" s="294"/>
      <c r="E38" s="295"/>
      <c r="F38" s="311"/>
      <c r="G38" s="311"/>
      <c r="H38" s="311"/>
      <c r="I38" s="311"/>
      <c r="J38" s="2013"/>
      <c r="K38" s="1264">
        <f>'数据-汇总表'!D3</f>
        <v>22322.400000000001</v>
      </c>
      <c r="L38" s="1265">
        <f>'数据-汇总表'!E3</f>
        <v>114120</v>
      </c>
      <c r="M38" s="1265">
        <f ca="1">C34</f>
        <v>7540</v>
      </c>
      <c r="N38" s="1265">
        <f ca="1">C33</f>
        <v>1475</v>
      </c>
      <c r="O38" s="1266">
        <f ca="1">C32</f>
        <v>16832</v>
      </c>
      <c r="P38" s="2011"/>
      <c r="V38" s="2011"/>
    </row>
    <row r="39" spans="1:26" ht="16.5" customHeight="1" thickBot="1">
      <c r="A39" s="1261"/>
      <c r="B39" s="308"/>
      <c r="C39" s="309"/>
      <c r="D39" s="309"/>
      <c r="E39" s="310"/>
      <c r="F39" s="311"/>
      <c r="G39" s="311"/>
      <c r="H39" s="311"/>
      <c r="I39" s="311"/>
      <c r="J39" s="2013"/>
      <c r="K39" s="3361" t="str">
        <f>MID(A44,3,LEN(A44)-2)</f>
        <v>抵押价格</v>
      </c>
      <c r="L39" s="3362"/>
      <c r="M39" s="3362"/>
      <c r="N39" s="3363"/>
      <c r="O39" s="1388">
        <f ca="1">C44</f>
        <v>16832</v>
      </c>
      <c r="P39" s="2011"/>
      <c r="V39" s="2011"/>
    </row>
    <row r="40" spans="1:26" ht="18" thickBot="1">
      <c r="A40" s="104" t="s">
        <v>873</v>
      </c>
      <c r="B40" s="311"/>
      <c r="C40" s="311"/>
      <c r="D40" s="311"/>
      <c r="E40" s="311"/>
      <c r="F40" s="311"/>
      <c r="G40" s="311"/>
      <c r="H40" s="311"/>
      <c r="I40" s="311"/>
      <c r="J40" s="2013"/>
      <c r="K40" s="3361" t="str">
        <f t="shared" ref="K40:K41" si="0">MID(A45,3,LEN(A45)-2)</f>
        <v/>
      </c>
      <c r="L40" s="3362"/>
      <c r="M40" s="3362"/>
      <c r="N40" s="3363"/>
      <c r="O40" s="1388" t="str">
        <f>C45</f>
        <v>——</v>
      </c>
      <c r="P40" s="2011"/>
      <c r="V40" s="2011"/>
    </row>
    <row r="41" spans="1:26" ht="16.2" thickBot="1">
      <c r="A41" s="312" t="s">
        <v>356</v>
      </c>
      <c r="B41" s="313"/>
      <c r="C41" s="314" t="s">
        <v>357</v>
      </c>
      <c r="D41" s="315" t="s">
        <v>358</v>
      </c>
      <c r="E41" s="315" t="s">
        <v>359</v>
      </c>
      <c r="F41" s="316" t="s">
        <v>360</v>
      </c>
      <c r="G41" s="311"/>
      <c r="H41" s="311"/>
      <c r="I41" s="311"/>
      <c r="J41" s="2013"/>
      <c r="K41" s="3361" t="str">
        <f t="shared" si="0"/>
        <v/>
      </c>
      <c r="L41" s="3362"/>
      <c r="M41" s="3362"/>
      <c r="N41" s="3363"/>
      <c r="O41" s="1388" t="str">
        <f>C46</f>
        <v>——</v>
      </c>
      <c r="P41" s="2011"/>
      <c r="V41" s="2011"/>
    </row>
    <row r="42" spans="1:26" ht="31.2">
      <c r="A42" s="3303" t="s">
        <v>2064</v>
      </c>
      <c r="B42" s="3304"/>
      <c r="C42" s="264">
        <f ca="1">C32</f>
        <v>16832</v>
      </c>
      <c r="D42" s="317">
        <f ca="1">C33</f>
        <v>1475</v>
      </c>
      <c r="E42" s="317">
        <f ca="1">C34</f>
        <v>7540</v>
      </c>
      <c r="F42" s="318">
        <f ca="1">C35</f>
        <v>503</v>
      </c>
      <c r="G42" s="311"/>
      <c r="H42" s="311"/>
      <c r="I42" s="319"/>
      <c r="J42" s="2013"/>
      <c r="K42" s="1267" t="s">
        <v>361</v>
      </c>
      <c r="L42" s="2030" t="s">
        <v>362</v>
      </c>
      <c r="M42" s="1268" t="s">
        <v>363</v>
      </c>
      <c r="N42" s="2031" t="s">
        <v>364</v>
      </c>
      <c r="O42" s="2032" t="s">
        <v>365</v>
      </c>
      <c r="P42" s="2011"/>
      <c r="V42" s="2011"/>
    </row>
    <row r="43" spans="1:26" ht="30">
      <c r="A43" s="3314" t="s">
        <v>2726</v>
      </c>
      <c r="B43" s="3315"/>
      <c r="C43" s="264">
        <f>IF(H33="正常操作",G33+G34+G35,G34+G35)</f>
        <v>0</v>
      </c>
      <c r="D43" s="317" t="s">
        <v>43</v>
      </c>
      <c r="E43" s="317" t="s">
        <v>44</v>
      </c>
      <c r="F43" s="318" t="s">
        <v>44</v>
      </c>
      <c r="G43" s="2819" t="s">
        <v>952</v>
      </c>
      <c r="H43" s="311"/>
      <c r="I43" s="319"/>
      <c r="J43" s="2013"/>
      <c r="K43" s="1269" t="str">
        <f>C4</f>
        <v>比较法-住宅、综合</v>
      </c>
      <c r="L43" s="1270">
        <f ca="1">IF(L42="估价结果/万元",C19,C20)</f>
        <v>15828</v>
      </c>
      <c r="M43" s="1271">
        <f>C18</f>
        <v>0.5</v>
      </c>
      <c r="N43" s="1272">
        <f ca="1">IF(N42="测算结果/万元",G19,G20)</f>
        <v>16832</v>
      </c>
      <c r="O43" s="1273">
        <f ca="1">IF(O42="最终结果/万元",C32,C33)</f>
        <v>16832</v>
      </c>
      <c r="P43" s="2011"/>
      <c r="V43" s="2011"/>
    </row>
    <row r="44" spans="1:26" ht="30.6" thickBot="1">
      <c r="A44" s="3303" t="str">
        <f>IF(OR(项目基本情况!E8="抵押价格",项目基本情况!E8="已注销及未注销"),"3.抵押价格","——")</f>
        <v>3.抵押价格</v>
      </c>
      <c r="B44" s="3304"/>
      <c r="C44" s="264">
        <f ca="1">IF(A44="——","——",C42-C43)</f>
        <v>16832</v>
      </c>
      <c r="D44" s="317">
        <f ca="1">ROUND(C44*10000/'数据-汇总表'!E3,0)</f>
        <v>1475</v>
      </c>
      <c r="E44" s="317">
        <f ca="1">ROUND(C44*10000/'数据-汇总表'!D3,0)</f>
        <v>7540</v>
      </c>
      <c r="F44" s="318">
        <f ca="1">ROUND(C44/('数据-汇总表'!D3/666.67),0)</f>
        <v>503</v>
      </c>
      <c r="G44" s="311"/>
      <c r="H44" s="311"/>
      <c r="I44" s="319"/>
      <c r="J44" s="2013"/>
      <c r="K44" s="1274" t="str">
        <f>D4</f>
        <v>剩余法-待开发</v>
      </c>
      <c r="L44" s="1275">
        <f ca="1">IF(L42="估价结果/万元",D19,D20)</f>
        <v>17836</v>
      </c>
      <c r="M44" s="1276">
        <f>D18</f>
        <v>0.5</v>
      </c>
      <c r="N44" s="1277"/>
      <c r="O44" s="1278"/>
      <c r="P44" s="2011"/>
      <c r="V44" s="2011"/>
    </row>
    <row r="45" spans="1:26" ht="13.8">
      <c r="A45" s="3309" t="str">
        <f>IF(项目基本情况!E8="已注销及未注销","4.抵押担保权已注销时的抵押价格",IF(项目基本情况!E8="已注销","3.抵押担保权已注销时的抵押价格","——"))</f>
        <v>——</v>
      </c>
      <c r="B45" s="3310"/>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4.4" thickBot="1">
      <c r="A46" s="3305" t="str">
        <f>IF(项目基本情况!E9="抵押净值",IF(A45="——","4.抵押净值","5.抵押净值"),"——")</f>
        <v>——</v>
      </c>
      <c r="B46" s="3306"/>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6">
      <c r="A47" s="321" t="s">
        <v>366</v>
      </c>
      <c r="B47" s="1279"/>
      <c r="C47" s="322" t="s">
        <v>367</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3.2">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3.2">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3.2">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3.2">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3.2">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3.2">
      <c r="A53" s="257"/>
      <c r="B53" s="257"/>
      <c r="C53" s="257"/>
      <c r="D53" s="257"/>
      <c r="E53" s="257"/>
      <c r="F53" s="336" t="s">
        <v>368</v>
      </c>
      <c r="G53" s="337"/>
      <c r="H53" s="337"/>
      <c r="I53" s="338" t="s">
        <v>369</v>
      </c>
      <c r="J53" s="2014"/>
      <c r="K53" s="2011"/>
      <c r="L53" s="2011"/>
      <c r="M53" s="2011"/>
      <c r="N53" s="2011"/>
      <c r="O53" s="2011"/>
      <c r="P53" s="2011"/>
      <c r="Q53" s="2011"/>
      <c r="R53" s="2011"/>
      <c r="S53" s="2011"/>
      <c r="T53" s="2011"/>
      <c r="U53" s="2011"/>
      <c r="V53" s="2011"/>
    </row>
    <row r="54" spans="1:22" ht="13.2">
      <c r="A54" s="257"/>
      <c r="B54" s="339" t="s">
        <v>370</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3.2">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3.2">
      <c r="A56" s="257"/>
      <c r="B56" s="337"/>
      <c r="C56" s="337"/>
      <c r="D56" s="337"/>
      <c r="E56" s="337"/>
      <c r="F56" s="337"/>
      <c r="G56" s="337"/>
      <c r="H56" s="337"/>
      <c r="I56" s="338" t="s">
        <v>371</v>
      </c>
      <c r="J56" s="2014"/>
      <c r="K56" s="2011"/>
      <c r="L56" s="2011"/>
      <c r="M56" s="2011"/>
      <c r="N56" s="2011"/>
      <c r="O56" s="2011"/>
      <c r="P56" s="2011"/>
      <c r="Q56" s="2011"/>
      <c r="R56" s="2011"/>
      <c r="S56" s="2011"/>
      <c r="T56" s="2011"/>
      <c r="U56" s="2011"/>
      <c r="V56" s="2011"/>
    </row>
    <row r="57" spans="1:22" ht="13.2">
      <c r="A57" s="257"/>
      <c r="B57" s="339" t="s">
        <v>372</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3.2">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3.2">
      <c r="A59" s="257"/>
      <c r="B59" s="337"/>
      <c r="C59" s="337"/>
      <c r="D59" s="337"/>
      <c r="E59" s="337"/>
      <c r="F59" s="337"/>
      <c r="G59" s="337"/>
      <c r="H59" s="337"/>
      <c r="I59" s="338" t="s">
        <v>371</v>
      </c>
      <c r="J59" s="2014"/>
      <c r="K59" s="2011"/>
      <c r="L59" s="2011"/>
      <c r="M59" s="2011"/>
      <c r="N59" s="2011"/>
      <c r="O59" s="2011"/>
      <c r="P59" s="2011"/>
      <c r="Q59" s="2011"/>
      <c r="R59" s="2011"/>
      <c r="S59" s="2011"/>
      <c r="T59" s="2011"/>
      <c r="U59" s="2011"/>
      <c r="V59" s="2011"/>
    </row>
    <row r="60" spans="1:22" ht="13.2">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3.2">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7.399999999999999">
      <c r="A62" s="1280" t="s">
        <v>373</v>
      </c>
      <c r="B62" s="1281"/>
      <c r="C62" s="1281"/>
      <c r="D62" s="1282"/>
      <c r="E62" s="1282"/>
      <c r="F62" s="1283"/>
      <c r="G62" s="1283"/>
      <c r="H62" s="1283"/>
      <c r="I62" s="1283"/>
      <c r="J62" s="2015"/>
      <c r="K62" s="2011"/>
      <c r="L62" s="2011"/>
      <c r="M62" s="2011"/>
      <c r="N62" s="2011"/>
      <c r="O62" s="2011"/>
      <c r="P62" s="2011"/>
      <c r="Q62" s="2011"/>
      <c r="R62" s="2011"/>
      <c r="S62" s="2011"/>
      <c r="T62" s="2011"/>
      <c r="U62" s="2011"/>
      <c r="V62" s="2011"/>
    </row>
    <row r="63" spans="1:22" ht="14.25" customHeight="1" thickBot="1">
      <c r="A63" s="3350" t="s">
        <v>374</v>
      </c>
      <c r="B63" s="3351"/>
      <c r="C63" s="3352"/>
      <c r="D63" s="341">
        <f ca="1">ROUND(C42*F63,0)</f>
        <v>10099</v>
      </c>
      <c r="E63" s="302" t="s">
        <v>375</v>
      </c>
      <c r="F63" s="342">
        <v>0.6</v>
      </c>
      <c r="G63" s="343" t="s">
        <v>376</v>
      </c>
      <c r="H63" s="311"/>
      <c r="I63" s="311"/>
      <c r="J63" s="2011"/>
      <c r="K63" s="2011"/>
      <c r="L63" s="2011"/>
      <c r="M63" s="2011"/>
      <c r="N63" s="2011"/>
      <c r="O63" s="2011"/>
      <c r="P63" s="311"/>
      <c r="Q63" s="2011"/>
      <c r="R63" s="2011"/>
      <c r="S63" s="2011"/>
      <c r="T63" s="2011"/>
      <c r="U63" s="2011"/>
      <c r="V63" s="2011"/>
    </row>
    <row r="64" spans="1:22" ht="14.25" customHeight="1">
      <c r="A64" s="3311" t="s">
        <v>378</v>
      </c>
      <c r="B64" s="3312"/>
      <c r="C64" s="3312"/>
      <c r="D64" s="3312"/>
      <c r="E64" s="3312"/>
      <c r="F64" s="3312"/>
      <c r="G64" s="3313"/>
      <c r="H64" s="1284"/>
      <c r="I64" s="948"/>
      <c r="J64" s="1973"/>
      <c r="K64" s="1547" t="s">
        <v>377</v>
      </c>
      <c r="L64" s="11"/>
      <c r="M64" s="11"/>
      <c r="N64" s="11"/>
      <c r="O64" s="11"/>
      <c r="P64" s="311"/>
      <c r="Q64" s="2011"/>
      <c r="R64" s="2011"/>
      <c r="S64" s="2011"/>
      <c r="T64" s="2011"/>
      <c r="U64" s="2011"/>
      <c r="V64" s="2011"/>
    </row>
    <row r="65" spans="1:22" ht="12" customHeight="1">
      <c r="A65" s="344" t="s">
        <v>380</v>
      </c>
      <c r="B65" s="345"/>
      <c r="C65" s="346"/>
      <c r="D65" s="347" t="s">
        <v>381</v>
      </c>
      <c r="E65" s="53" t="s">
        <v>382</v>
      </c>
      <c r="F65" s="348" t="s">
        <v>383</v>
      </c>
      <c r="G65" s="349" t="s">
        <v>384</v>
      </c>
      <c r="H65" s="1284"/>
      <c r="I65" s="948"/>
      <c r="J65" s="1973"/>
      <c r="K65" s="1285"/>
      <c r="L65" s="1286"/>
      <c r="M65" s="1286"/>
      <c r="N65" s="1318" t="s">
        <v>379</v>
      </c>
      <c r="O65" s="1319"/>
      <c r="P65" s="1320"/>
      <c r="Q65" s="2011"/>
      <c r="R65" s="2011"/>
      <c r="S65" s="2011"/>
      <c r="T65" s="2011"/>
      <c r="U65" s="2011"/>
      <c r="V65" s="2011"/>
    </row>
    <row r="66" spans="1:22" ht="26.4">
      <c r="A66" s="3307" t="s">
        <v>386</v>
      </c>
      <c r="B66" s="3308"/>
      <c r="C66" s="3308"/>
      <c r="D66" s="261">
        <f ca="1">IF(H66="情况1",0,IF(H66="情况2",D70,IF(H66="情况3",D71,IF(H66="情况4",D72))))</f>
        <v>529</v>
      </c>
      <c r="E66" s="993" t="str">
        <f>IF(H66="情况4","(销售额-原购置价)×税（费）率","销售额×税（费）率")</f>
        <v>销售额×税（费）率</v>
      </c>
      <c r="F66" s="350">
        <f>IF(H66="情况1","免征",'数据-取费表'!B41)</f>
        <v>5.5000000000000007E-2</v>
      </c>
      <c r="G66" s="351" t="s">
        <v>387</v>
      </c>
      <c r="H66" s="191" t="s">
        <v>388</v>
      </c>
      <c r="I66" s="1284"/>
      <c r="J66" s="2017"/>
      <c r="K66" s="1287">
        <v>1</v>
      </c>
      <c r="L66" s="3365" t="s">
        <v>385</v>
      </c>
      <c r="M66" s="3366"/>
      <c r="N66" s="2420"/>
      <c r="O66" s="2421"/>
      <c r="P66" s="2422"/>
      <c r="Q66" s="2011"/>
      <c r="R66" s="2011"/>
      <c r="S66" s="2011"/>
      <c r="T66" s="2011"/>
      <c r="U66" s="2011"/>
      <c r="V66" s="2011"/>
    </row>
    <row r="67" spans="1:22" ht="25.5" customHeight="1">
      <c r="A67" s="352" t="s">
        <v>390</v>
      </c>
      <c r="B67" s="3298" t="s">
        <v>391</v>
      </c>
      <c r="C67" s="3298"/>
      <c r="D67" s="353">
        <v>0</v>
      </c>
      <c r="E67" s="41" t="s">
        <v>392</v>
      </c>
      <c r="F67" s="62" t="s">
        <v>21</v>
      </c>
      <c r="G67" s="3353"/>
      <c r="H67" s="311"/>
      <c r="I67" s="1288"/>
      <c r="J67" s="2018"/>
      <c r="K67" s="1959">
        <v>2</v>
      </c>
      <c r="L67" s="3364" t="s">
        <v>389</v>
      </c>
      <c r="M67" s="3364"/>
      <c r="N67" s="1321">
        <f>'数据-取费表'!B2</f>
        <v>43889</v>
      </c>
      <c r="O67" s="1321"/>
      <c r="P67" s="1321"/>
      <c r="Q67" s="2011"/>
      <c r="R67" s="2011"/>
      <c r="S67" s="2011"/>
      <c r="T67" s="2011"/>
      <c r="U67" s="2011"/>
      <c r="V67" s="2011"/>
    </row>
    <row r="68" spans="1:22" ht="25.5" customHeight="1">
      <c r="A68" s="354"/>
      <c r="B68" s="3298" t="s">
        <v>394</v>
      </c>
      <c r="C68" s="3298"/>
      <c r="D68" s="355"/>
      <c r="E68" s="77"/>
      <c r="F68" s="356"/>
      <c r="G68" s="3354"/>
      <c r="H68" s="311"/>
      <c r="I68" s="1288"/>
      <c r="J68" s="2018"/>
      <c r="K68" s="1959">
        <v>3</v>
      </c>
      <c r="L68" s="3364" t="s">
        <v>393</v>
      </c>
      <c r="M68" s="3364"/>
      <c r="N68" s="1289">
        <f ca="1">C42</f>
        <v>16832</v>
      </c>
      <c r="O68" s="1289"/>
      <c r="P68" s="1289"/>
      <c r="Q68" s="2011"/>
      <c r="R68" s="2011"/>
      <c r="S68" s="2011"/>
      <c r="T68" s="2011"/>
      <c r="U68" s="2011"/>
      <c r="V68" s="2011"/>
    </row>
    <row r="69" spans="1:22" ht="12" customHeight="1">
      <c r="A69" s="357"/>
      <c r="B69" s="3298" t="s">
        <v>395</v>
      </c>
      <c r="C69" s="3298"/>
      <c r="D69" s="358"/>
      <c r="E69" s="73"/>
      <c r="F69" s="356"/>
      <c r="G69" s="3355"/>
      <c r="H69" s="311"/>
      <c r="I69" s="1288"/>
      <c r="J69" s="2018"/>
      <c r="K69" s="1290">
        <v>4</v>
      </c>
      <c r="L69" s="3369" t="s">
        <v>2879</v>
      </c>
      <c r="M69" s="3370"/>
      <c r="N69" s="1291">
        <f ca="1">C44</f>
        <v>16832</v>
      </c>
      <c r="O69" s="1291"/>
      <c r="P69" s="1291"/>
      <c r="Q69" s="2011"/>
      <c r="R69" s="2011"/>
      <c r="S69" s="2011"/>
      <c r="T69" s="2011"/>
      <c r="U69" s="2011"/>
      <c r="V69" s="2011"/>
    </row>
    <row r="70" spans="1:22" ht="24" customHeight="1">
      <c r="A70" s="359" t="s">
        <v>396</v>
      </c>
      <c r="B70" s="3298" t="s">
        <v>397</v>
      </c>
      <c r="C70" s="3298"/>
      <c r="D70" s="358">
        <f ca="1">ROUND(D63*'数据-取费表'!B41/(1+'数据-取费表'!C42),0)</f>
        <v>529</v>
      </c>
      <c r="E70" s="17" t="s">
        <v>398</v>
      </c>
      <c r="F70" s="360">
        <f>'数据-取费表'!B41</f>
        <v>5.5000000000000007E-2</v>
      </c>
      <c r="G70" s="361"/>
      <c r="H70" s="311"/>
      <c r="I70" s="1288"/>
      <c r="J70" s="2018"/>
      <c r="K70" s="3011"/>
      <c r="L70" s="3012"/>
      <c r="M70" s="3012"/>
      <c r="N70" s="3013" t="s">
        <v>2884</v>
      </c>
      <c r="O70" s="3012"/>
      <c r="P70" s="3014"/>
      <c r="Q70" s="2011"/>
      <c r="R70" s="2011"/>
      <c r="S70" s="2011"/>
      <c r="T70" s="2011"/>
      <c r="U70" s="2011"/>
      <c r="V70" s="2011"/>
    </row>
    <row r="71" spans="1:22" ht="12" customHeight="1">
      <c r="A71" s="359" t="s">
        <v>404</v>
      </c>
      <c r="B71" s="3299" t="s">
        <v>405</v>
      </c>
      <c r="C71" s="3300"/>
      <c r="D71" s="358">
        <f ca="1">ROUND(D63*'数据-取费表'!B41/(1+'数据-取费表'!C42),0)</f>
        <v>529</v>
      </c>
      <c r="E71" s="17" t="s">
        <v>398</v>
      </c>
      <c r="F71" s="360">
        <f>'数据-取费表'!B41</f>
        <v>5.5000000000000007E-2</v>
      </c>
      <c r="G71" s="361"/>
      <c r="H71" s="311"/>
      <c r="I71" s="1288"/>
      <c r="J71" s="2018"/>
      <c r="K71" s="3010" t="s">
        <v>399</v>
      </c>
      <c r="L71" s="3371" t="s">
        <v>400</v>
      </c>
      <c r="M71" s="3371"/>
      <c r="N71" s="3010" t="s">
        <v>401</v>
      </c>
      <c r="O71" s="3010" t="s">
        <v>402</v>
      </c>
      <c r="P71" s="3010" t="s">
        <v>403</v>
      </c>
      <c r="Q71" s="2011"/>
      <c r="R71" s="2011"/>
      <c r="S71" s="2011"/>
      <c r="T71" s="2011"/>
      <c r="U71" s="2011"/>
      <c r="V71" s="2011"/>
    </row>
    <row r="72" spans="1:22" ht="12" customHeight="1">
      <c r="A72" s="359" t="s">
        <v>407</v>
      </c>
      <c r="B72" s="3299" t="s">
        <v>408</v>
      </c>
      <c r="C72" s="3300"/>
      <c r="D72" s="358">
        <f ca="1">C86</f>
        <v>419</v>
      </c>
      <c r="E72" s="73" t="s">
        <v>409</v>
      </c>
      <c r="F72" s="360">
        <f>'数据-取费表'!B41</f>
        <v>5.5000000000000007E-2</v>
      </c>
      <c r="G72" s="361"/>
      <c r="H72" s="1294"/>
      <c r="I72" s="1288"/>
      <c r="J72" s="2018"/>
      <c r="K72" s="1959">
        <v>1</v>
      </c>
      <c r="L72" s="3346" t="s">
        <v>406</v>
      </c>
      <c r="M72" s="3346"/>
      <c r="N72" s="1292">
        <f ca="1">D66</f>
        <v>529</v>
      </c>
      <c r="O72" s="1842" t="str">
        <f>E66</f>
        <v>销售额×税（费）率</v>
      </c>
      <c r="P72" s="1293">
        <f>F66</f>
        <v>5.5000000000000007E-2</v>
      </c>
      <c r="Q72" s="2011"/>
      <c r="R72" s="2011"/>
      <c r="S72" s="2011"/>
      <c r="T72" s="2011"/>
      <c r="U72" s="2011"/>
      <c r="V72" s="2011"/>
    </row>
    <row r="73" spans="1:22" ht="24" customHeight="1">
      <c r="A73" s="3340" t="s">
        <v>411</v>
      </c>
      <c r="B73" s="3308"/>
      <c r="C73" s="3308"/>
      <c r="D73" s="362">
        <f>IF(H73="个人住宅",0,ROUND(D63*I73,0))</f>
        <v>0</v>
      </c>
      <c r="E73" s="17" t="s">
        <v>412</v>
      </c>
      <c r="F73" s="360" t="str">
        <f>IF(H73="正常",I73,"免征")</f>
        <v>免征</v>
      </c>
      <c r="G73" s="361"/>
      <c r="H73" s="191" t="s">
        <v>2452</v>
      </c>
      <c r="I73" s="360">
        <f>'数据-取费表'!B49</f>
        <v>5.0000000000000001E-4</v>
      </c>
      <c r="J73" s="2018"/>
      <c r="K73" s="1959">
        <v>2</v>
      </c>
      <c r="L73" s="3346" t="s">
        <v>410</v>
      </c>
      <c r="M73" s="3346"/>
      <c r="N73" s="1292">
        <f t="shared" ref="N73:P74" si="1">D73</f>
        <v>0</v>
      </c>
      <c r="O73" s="1842" t="str">
        <f t="shared" si="1"/>
        <v>销售额×税（费）率</v>
      </c>
      <c r="P73" s="1293" t="str">
        <f t="shared" si="1"/>
        <v>免征</v>
      </c>
      <c r="Q73" s="2011"/>
      <c r="R73" s="2011"/>
      <c r="S73" s="2011"/>
      <c r="T73" s="2011"/>
      <c r="U73" s="2011"/>
      <c r="V73" s="2011"/>
    </row>
    <row r="74" spans="1:22" ht="25.2">
      <c r="A74" s="3340" t="s">
        <v>415</v>
      </c>
      <c r="B74" s="3308"/>
      <c r="C74" s="3308"/>
      <c r="D74" s="362">
        <f ca="1">IF(H74="个人住宅",D75,D76)</f>
        <v>5070</v>
      </c>
      <c r="E74" s="17" t="s">
        <v>416</v>
      </c>
      <c r="F74" s="360" t="str">
        <f>IF(H74="正常",F76,"免征")</f>
        <v>——</v>
      </c>
      <c r="G74" s="983" t="s">
        <v>417</v>
      </c>
      <c r="H74" s="363" t="s">
        <v>413</v>
      </c>
      <c r="I74" s="42"/>
      <c r="J74" s="2018"/>
      <c r="K74" s="1959">
        <v>3</v>
      </c>
      <c r="L74" s="3346" t="s">
        <v>414</v>
      </c>
      <c r="M74" s="3346"/>
      <c r="N74" s="1292">
        <f t="shared" ca="1" si="1"/>
        <v>5070</v>
      </c>
      <c r="O74" s="1842" t="str">
        <f t="shared" si="1"/>
        <v>增值额×税（费）率</v>
      </c>
      <c r="P74" s="1295" t="str">
        <f t="shared" si="1"/>
        <v>——</v>
      </c>
      <c r="Q74" s="2011"/>
      <c r="R74" s="2011"/>
      <c r="S74" s="2011"/>
      <c r="T74" s="2011"/>
      <c r="U74" s="2011"/>
      <c r="V74" s="2011"/>
    </row>
    <row r="75" spans="1:22" ht="24">
      <c r="A75" s="359" t="s">
        <v>418</v>
      </c>
      <c r="B75" s="3296" t="s">
        <v>419</v>
      </c>
      <c r="C75" s="3326"/>
      <c r="D75" s="364">
        <v>0</v>
      </c>
      <c r="E75" s="41" t="s">
        <v>420</v>
      </c>
      <c r="F75" s="365"/>
      <c r="G75" s="361"/>
      <c r="H75" s="42"/>
      <c r="I75" s="42"/>
      <c r="J75" s="2018"/>
      <c r="K75" s="3003">
        <f>IF(H77="非个人房产","",4)</f>
        <v>4</v>
      </c>
      <c r="L75" s="3346" t="str">
        <f>IF(H77="非个人房产","——","个人所得税")</f>
        <v>个人所得税</v>
      </c>
      <c r="M75" s="3346"/>
      <c r="N75" s="1296">
        <f ca="1">D77</f>
        <v>101</v>
      </c>
      <c r="O75" s="1855" t="str">
        <f>E77</f>
        <v>销售额×税（费）率</v>
      </c>
      <c r="P75" s="1297">
        <f>F77</f>
        <v>0.01</v>
      </c>
      <c r="Q75" s="2011"/>
      <c r="R75" s="2011"/>
      <c r="S75" s="2011"/>
      <c r="T75" s="2011"/>
      <c r="U75" s="2011"/>
      <c r="V75" s="2011"/>
    </row>
    <row r="76" spans="1:22" ht="25.2">
      <c r="A76" s="359" t="s">
        <v>396</v>
      </c>
      <c r="B76" s="3296" t="s">
        <v>422</v>
      </c>
      <c r="C76" s="3297"/>
      <c r="D76" s="362">
        <f ca="1">IF(H76="转让取得",C99,C115)</f>
        <v>5070</v>
      </c>
      <c r="E76" s="17" t="s">
        <v>423</v>
      </c>
      <c r="F76" s="53" t="s">
        <v>21</v>
      </c>
      <c r="G76" s="361"/>
      <c r="H76" s="363" t="s">
        <v>424</v>
      </c>
      <c r="I76" s="42"/>
      <c r="J76" s="2018"/>
      <c r="K76" s="3003" t="str">
        <f>IF(项目基本情况!K6="上海银行",IF(K75="",4,K75+1),"")</f>
        <v/>
      </c>
      <c r="L76" s="3357" t="str">
        <f>IF(项目基本情况!K6="上海银行","其他处置费用","")</f>
        <v/>
      </c>
      <c r="M76" s="3358"/>
      <c r="N76" s="1292" t="str">
        <f>IF(项目基本情况!K6="上海银行",N89,"")</f>
        <v/>
      </c>
      <c r="O76" s="3359" t="str">
        <f>IF(项目基本情况!K6="上海银行","包含处置中涉及的律师、诉讼、拍卖、评估等费用","")</f>
        <v/>
      </c>
      <c r="P76" s="3360"/>
      <c r="Q76" s="2011"/>
      <c r="R76" s="2011"/>
      <c r="S76" s="2011"/>
      <c r="T76" s="2011"/>
      <c r="U76" s="2011"/>
      <c r="V76" s="2011"/>
    </row>
    <row r="77" spans="1:22" ht="27" thickBot="1">
      <c r="A77" s="3348" t="s">
        <v>426</v>
      </c>
      <c r="B77" s="3349"/>
      <c r="C77" s="3349"/>
      <c r="D77" s="366">
        <f ca="1">IF(H77="非个人房产","——",IF(H77="个人住宅",0,ROUND(D63*I77,0)))</f>
        <v>101</v>
      </c>
      <c r="E77" s="367" t="str">
        <f>IF(H77="非个人房产","——","销售额×税（费）率")</f>
        <v>销售额×税（费）率</v>
      </c>
      <c r="F77" s="368">
        <f>IF(H77="非个人房产","——",IF(H77="个人住宅","免征",I77))</f>
        <v>0.01</v>
      </c>
      <c r="G77" s="984" t="s">
        <v>417</v>
      </c>
      <c r="H77" s="363" t="s">
        <v>2880</v>
      </c>
      <c r="I77" s="369">
        <v>0.01</v>
      </c>
      <c r="J77" s="2018"/>
      <c r="K77" s="3347">
        <f>IF(AND(K75="",K76=""),4,IF(项目基本情况!K6="上海银行",K76+1,K75+1))</f>
        <v>5</v>
      </c>
      <c r="L77" s="3346" t="s">
        <v>2881</v>
      </c>
      <c r="M77" s="3009" t="s">
        <v>421</v>
      </c>
      <c r="N77" s="1298"/>
      <c r="O77" s="1299">
        <f ca="1">SUMIF(N72:N76,"&lt;9e307")</f>
        <v>5700</v>
      </c>
      <c r="P77" s="1300"/>
      <c r="Q77" s="3007">
        <f ca="1">O77/N69</f>
        <v>0.33864068441064638</v>
      </c>
      <c r="R77" s="2011"/>
      <c r="S77" s="2011"/>
      <c r="T77" s="2011"/>
      <c r="U77" s="2011"/>
      <c r="V77" s="2011"/>
    </row>
    <row r="78" spans="1:22" ht="12" customHeight="1">
      <c r="A78" s="1301"/>
      <c r="B78" s="311"/>
      <c r="C78" s="311"/>
      <c r="D78" s="311"/>
      <c r="E78" s="42"/>
      <c r="F78" s="42"/>
      <c r="G78" s="42"/>
      <c r="H78" s="1003"/>
      <c r="I78" s="311"/>
      <c r="J78" s="2018"/>
      <c r="K78" s="3347"/>
      <c r="L78" s="3346"/>
      <c r="M78" s="3009" t="s">
        <v>425</v>
      </c>
      <c r="N78" s="1298"/>
      <c r="O78" s="1299" t="str">
        <f ca="1">NUMBERSTRING(INT(O77*10000),2)&amp;"元整"</f>
        <v>伍仟柒佰万元整</v>
      </c>
      <c r="P78" s="1300"/>
      <c r="Q78" s="2011"/>
      <c r="R78" s="2011"/>
      <c r="S78" s="2011"/>
      <c r="T78" s="2011"/>
      <c r="U78" s="2011"/>
      <c r="V78" s="2011"/>
    </row>
    <row r="79" spans="1:22" ht="13.8" thickBot="1">
      <c r="A79" s="3341" t="s">
        <v>427</v>
      </c>
      <c r="B79" s="3341"/>
      <c r="C79" s="3341"/>
      <c r="D79" s="3341"/>
      <c r="E79" s="3341"/>
      <c r="F79" s="42"/>
      <c r="G79" s="42"/>
      <c r="H79" s="1003"/>
      <c r="I79" s="311"/>
      <c r="J79" s="2018"/>
      <c r="K79" s="3367">
        <f>K77+1</f>
        <v>6</v>
      </c>
      <c r="L79" s="3346" t="s">
        <v>2882</v>
      </c>
      <c r="M79" s="3009" t="s">
        <v>421</v>
      </c>
      <c r="N79" s="1298"/>
      <c r="O79" s="1299">
        <f ca="1">N69-O77</f>
        <v>11132</v>
      </c>
      <c r="P79" s="1300"/>
      <c r="Q79" s="2011"/>
      <c r="R79" s="2011"/>
      <c r="S79" s="2011"/>
      <c r="T79" s="2011"/>
      <c r="U79" s="2011"/>
      <c r="V79" s="2011"/>
    </row>
    <row r="80" spans="1:22" ht="26.4">
      <c r="A80" s="3336" t="s">
        <v>428</v>
      </c>
      <c r="B80" s="3337"/>
      <c r="C80" s="994"/>
      <c r="D80" s="994" t="s">
        <v>429</v>
      </c>
      <c r="E80" s="370" t="s">
        <v>430</v>
      </c>
      <c r="F80" s="42"/>
      <c r="G80" s="42"/>
      <c r="H80" s="1003"/>
      <c r="I80" s="311"/>
      <c r="J80" s="2011"/>
      <c r="K80" s="3368"/>
      <c r="L80" s="3346"/>
      <c r="M80" s="3009" t="s">
        <v>425</v>
      </c>
      <c r="N80" s="1298"/>
      <c r="O80" s="1299" t="str">
        <f ca="1">NUMBERSTRING(INT(O79*10000),2)&amp;"元整"</f>
        <v>壹亿壹仟壹佰叁拾贰万元整</v>
      </c>
      <c r="P80" s="1300"/>
      <c r="Q80" s="2011"/>
      <c r="R80" s="2011"/>
      <c r="S80" s="2011"/>
      <c r="T80" s="2011"/>
      <c r="U80" s="2011"/>
      <c r="V80" s="2011"/>
    </row>
    <row r="81" spans="1:26" ht="13.8" thickBot="1">
      <c r="A81" s="381" t="s">
        <v>1822</v>
      </c>
      <c r="B81" s="371" t="s">
        <v>431</v>
      </c>
      <c r="C81" s="372">
        <f ca="1">ROUND((C82+C83)/(1+'数据-取费表'!C42),0)</f>
        <v>9618</v>
      </c>
      <c r="D81" s="373"/>
      <c r="E81" s="374"/>
      <c r="F81" s="42"/>
      <c r="G81" s="42"/>
      <c r="H81" s="1003"/>
      <c r="I81" s="311"/>
      <c r="J81" s="2011"/>
      <c r="K81" s="3003">
        <f>K79+1</f>
        <v>7</v>
      </c>
      <c r="L81" s="3344" t="s">
        <v>2883</v>
      </c>
      <c r="M81" s="3345"/>
      <c r="N81" s="1302"/>
      <c r="O81" s="1303">
        <f ca="1">ROUND(O79*10000/'数据-汇总表'!E3,0)</f>
        <v>975</v>
      </c>
      <c r="P81" s="1304"/>
      <c r="Q81" s="2011"/>
      <c r="R81" s="2011"/>
      <c r="S81" s="2011"/>
      <c r="T81" s="2011"/>
      <c r="U81" s="2011"/>
      <c r="V81" s="2011"/>
    </row>
    <row r="82" spans="1:26" ht="13.8" thickTop="1">
      <c r="A82" s="375" t="s">
        <v>1823</v>
      </c>
      <c r="B82" s="376" t="s">
        <v>432</v>
      </c>
      <c r="C82" s="377">
        <f ca="1">D63</f>
        <v>10099</v>
      </c>
      <c r="D82" s="378" t="s">
        <v>19</v>
      </c>
      <c r="E82" s="379"/>
      <c r="F82" s="42"/>
      <c r="G82" s="42"/>
      <c r="H82" s="1003"/>
      <c r="I82" s="311"/>
      <c r="J82" s="2011"/>
      <c r="K82" s="2011"/>
      <c r="L82" s="2011"/>
      <c r="M82" s="2011"/>
      <c r="N82" s="2011"/>
      <c r="O82" s="2011"/>
      <c r="P82" s="2011"/>
      <c r="Q82" s="2011"/>
      <c r="R82" s="2011"/>
      <c r="S82" s="2011"/>
      <c r="T82" s="2011"/>
      <c r="U82" s="2011"/>
      <c r="V82" s="2011"/>
    </row>
    <row r="83" spans="1:26" ht="13.2">
      <c r="A83" s="375" t="s">
        <v>1824</v>
      </c>
      <c r="B83" s="376" t="s">
        <v>433</v>
      </c>
      <c r="C83" s="380">
        <v>0</v>
      </c>
      <c r="D83" s="378"/>
      <c r="E83" s="379"/>
      <c r="F83" s="42"/>
      <c r="G83" s="42"/>
      <c r="H83" s="1003"/>
      <c r="I83" s="311"/>
      <c r="J83" s="2011"/>
      <c r="K83" s="3356" t="s">
        <v>2870</v>
      </c>
      <c r="L83" s="3015" t="s">
        <v>2871</v>
      </c>
      <c r="M83" s="3005">
        <f ca="1">IF(N69&gt;10000,N69*0.5%,IF(AND(N69&gt;1000,N69&lt;=10000),N69*1%,IF(AND(N69&gt;100,N69&lt;=1000),N69*3%,IF(AND(N69&gt;10,N69&lt;=100),N69*5%,N69*8%))))</f>
        <v>84.16</v>
      </c>
      <c r="N83" s="53">
        <f ca="1">ROUND(M83,1)</f>
        <v>84.2</v>
      </c>
      <c r="O83" s="3008"/>
      <c r="P83" s="2011"/>
      <c r="Q83" s="2011"/>
      <c r="R83" s="2011"/>
      <c r="S83" s="2011"/>
      <c r="T83" s="2011"/>
      <c r="U83" s="2011"/>
      <c r="V83" s="2011"/>
    </row>
    <row r="84" spans="1:26" ht="25.2">
      <c r="A84" s="381" t="s">
        <v>1825</v>
      </c>
      <c r="B84" s="382" t="s">
        <v>434</v>
      </c>
      <c r="C84" s="383">
        <v>2000</v>
      </c>
      <c r="D84" s="384" t="s">
        <v>19</v>
      </c>
      <c r="E84" s="3048" t="s">
        <v>2934</v>
      </c>
      <c r="F84" s="42"/>
      <c r="G84" s="42"/>
      <c r="H84" s="1003"/>
      <c r="I84" s="311"/>
      <c r="J84" s="2011"/>
      <c r="K84" s="3356"/>
      <c r="L84" s="3015" t="s">
        <v>2872</v>
      </c>
      <c r="M84" s="3005">
        <f ca="1">IF(N69&gt;2000,N69*0.5%,IF(AND(N69&gt;1000,N69&lt;=2000),N69*0.6%,IF(AND(N69&gt;500,N69&lt;=1000),N69*0.7%,IF(AND(N69&gt;200,N69&lt;=500),N69*0.8%,IF(AND(N69&gt;100,N69&lt;=200),N69*0.9%,IF(AND(N69&gt;50,N69&lt;=100),N69*1%,IF(AND(N69&gt;20,N69&lt;=50),N69*1.5%,IF(AND(N69&gt;10,N69&lt;=20),N69*2%,IF(AND(N69&gt;1,N69&lt;=10),N69*2.5%)))))))))</f>
        <v>84.16</v>
      </c>
      <c r="N84" s="53">
        <f t="shared" ref="N84:N85" ca="1" si="2">ROUND(M84,1)</f>
        <v>84.2</v>
      </c>
      <c r="O84" s="2011" t="s">
        <v>2873</v>
      </c>
      <c r="P84" s="2011"/>
      <c r="Q84" s="2011"/>
      <c r="R84" s="2011"/>
      <c r="S84" s="2011"/>
      <c r="T84" s="2011"/>
      <c r="U84" s="2011"/>
      <c r="V84" s="2011"/>
    </row>
    <row r="85" spans="1:26" ht="13.2">
      <c r="A85" s="381" t="s">
        <v>1826</v>
      </c>
      <c r="B85" s="382" t="s">
        <v>435</v>
      </c>
      <c r="C85" s="385">
        <f ca="1">C81-C84</f>
        <v>7618</v>
      </c>
      <c r="D85" s="378" t="s">
        <v>19</v>
      </c>
      <c r="E85" s="379"/>
      <c r="F85" s="42"/>
      <c r="G85" s="42"/>
      <c r="H85" s="1003"/>
      <c r="I85" s="311"/>
      <c r="J85" s="2011"/>
      <c r="K85" s="3356"/>
      <c r="L85" s="3015" t="s">
        <v>2874</v>
      </c>
      <c r="M85" s="3005">
        <f ca="1">IF(N69&gt;1000,N69*0.1%,IF(AND(N69&gt;500,N69&lt;=1000),N69*0.5%,IF(AND(N69&gt;50,N69&lt;=500),N69*1%,IF(AND(N69&gt;1,N69&lt;=50),N69*1.5%))))</f>
        <v>16.832000000000001</v>
      </c>
      <c r="N85" s="53">
        <f t="shared" ca="1" si="2"/>
        <v>16.8</v>
      </c>
      <c r="O85" s="2011" t="s">
        <v>2873</v>
      </c>
      <c r="P85" s="2011"/>
      <c r="Q85" s="2011"/>
      <c r="R85" s="2011"/>
      <c r="S85" s="2011"/>
      <c r="T85" s="2011"/>
      <c r="U85" s="2011"/>
      <c r="V85" s="2011"/>
    </row>
    <row r="86" spans="1:26" ht="13.8" thickBot="1">
      <c r="A86" s="386" t="s">
        <v>1827</v>
      </c>
      <c r="B86" s="387" t="s">
        <v>436</v>
      </c>
      <c r="C86" s="388">
        <f ca="1">IF(C85&lt;=0,0,ROUND(C85*D86,0))</f>
        <v>419</v>
      </c>
      <c r="D86" s="389">
        <f>'数据-取费表'!B41</f>
        <v>5.5000000000000007E-2</v>
      </c>
      <c r="E86" s="390"/>
      <c r="F86" s="42"/>
      <c r="G86" s="42"/>
      <c r="H86" s="1003"/>
      <c r="I86" s="311"/>
      <c r="J86" s="2011"/>
      <c r="K86" s="3356"/>
      <c r="L86" s="3015" t="s">
        <v>2875</v>
      </c>
      <c r="M86" s="3005">
        <f ca="1">N69*0.5%</f>
        <v>84.16</v>
      </c>
      <c r="N86" s="53">
        <f ca="1">IF(M86&gt;0.5,0.5,ROUND(M86,0))</f>
        <v>0.5</v>
      </c>
      <c r="O86" s="2011" t="s">
        <v>2876</v>
      </c>
      <c r="P86" s="2011"/>
      <c r="Q86" s="2011"/>
      <c r="R86" s="2011"/>
      <c r="S86" s="2011"/>
      <c r="T86" s="2011"/>
      <c r="U86" s="2011"/>
      <c r="V86" s="2011"/>
    </row>
    <row r="87" spans="1:26" s="1250" customFormat="1" ht="14.25" customHeight="1">
      <c r="A87" s="1305"/>
      <c r="B87" s="1306"/>
      <c r="C87" s="1307"/>
      <c r="D87" s="1308"/>
      <c r="E87" s="1309"/>
      <c r="F87" s="42"/>
      <c r="G87" s="42"/>
      <c r="H87" s="1003"/>
      <c r="I87" s="311"/>
      <c r="J87" s="2011"/>
      <c r="K87" s="3356"/>
      <c r="L87" s="3015" t="s">
        <v>2877</v>
      </c>
      <c r="M87" s="3005">
        <f ca="1">IF(N69&gt;=10000,(8.25+(N69-10000)*0.01%),IF(AND(N69&gt;=8000,N69&lt;10000),(7.85+(N69-8000)*0.02%),IF(AND(N69&gt;=5000,N69&lt;8000),(6.65+(N69-5000)*0.04%),IF(AND(N69&gt;=2000,N69&lt;5000),(4.25+(PN69-2000)*0.08%),IF(AND(N69&gt;=1000,N69&lt;2000),(2.75+(N69-1000)*0.15%),IF(AND(N69&gt;=100,N69&lt;1000),(0.5+(N69-100)*0.25%),IF(AND(N69&gt;0,N69&lt;100),N69*0.5%)))))))</f>
        <v>8.9331999999999994</v>
      </c>
      <c r="N87" s="53">
        <f ca="1">ROUND(M87*0.9,1)</f>
        <v>8</v>
      </c>
      <c r="O87" s="3008"/>
      <c r="P87" s="311"/>
      <c r="Q87" s="2011"/>
      <c r="R87" s="2011"/>
      <c r="S87" s="2011"/>
      <c r="T87" s="2011"/>
      <c r="U87" s="2011"/>
      <c r="V87" s="2011"/>
      <c r="W87" s="292"/>
      <c r="X87" s="292"/>
      <c r="Y87" s="292"/>
      <c r="Z87" s="292"/>
    </row>
    <row r="88" spans="1:26" s="1310" customFormat="1" ht="14.4" thickBot="1">
      <c r="A88" s="3338" t="s">
        <v>437</v>
      </c>
      <c r="B88" s="3339"/>
      <c r="C88" s="3339"/>
      <c r="D88" s="3339"/>
      <c r="E88" s="3339"/>
      <c r="F88" s="3339"/>
      <c r="G88" s="3339"/>
      <c r="H88" s="3339"/>
      <c r="I88" s="1311"/>
      <c r="J88" s="2019"/>
      <c r="K88" s="3356"/>
      <c r="L88" s="3015" t="s">
        <v>2878</v>
      </c>
      <c r="M88" s="3005">
        <f ca="1">IF(N69&gt;10000,N69*0.5%,IF(AND(N69&gt;5000,N69&lt;=10000),N69*1%,IF(AND(N69&gt;1000,N69&lt;=5000),N69*2%,IF(AND(N69&gt;200,N69&lt;=1000),N69*3%,N69*5%))))</f>
        <v>84.16</v>
      </c>
      <c r="N88" s="53">
        <f ca="1">ROUND(M88,1)</f>
        <v>84.2</v>
      </c>
      <c r="O88" s="3008"/>
      <c r="P88" s="11"/>
      <c r="Q88" s="2016"/>
      <c r="R88" s="2016"/>
      <c r="S88" s="2016"/>
      <c r="T88" s="2016"/>
      <c r="U88" s="2016"/>
      <c r="V88" s="2016"/>
      <c r="W88" s="2020"/>
      <c r="X88" s="2020"/>
      <c r="Y88" s="2020"/>
      <c r="Z88" s="2020"/>
    </row>
    <row r="89" spans="1:26" s="1310" customFormat="1" ht="13.8">
      <c r="A89" s="3336" t="s">
        <v>428</v>
      </c>
      <c r="B89" s="3337"/>
      <c r="C89" s="994"/>
      <c r="D89" s="994" t="s">
        <v>429</v>
      </c>
      <c r="E89" s="391" t="s">
        <v>438</v>
      </c>
      <c r="F89" s="392"/>
      <c r="G89" s="392"/>
      <c r="H89" s="393"/>
      <c r="I89" s="1312"/>
      <c r="J89" s="2021"/>
      <c r="K89" s="3356"/>
      <c r="L89" s="3015" t="s">
        <v>27</v>
      </c>
      <c r="M89" s="3006"/>
      <c r="N89" s="53">
        <f ca="1">ROUND(SUM(N83:N88),0)</f>
        <v>278</v>
      </c>
      <c r="O89" s="3016">
        <f ca="1">N89/N69</f>
        <v>1.6516159695817489E-2</v>
      </c>
      <c r="P89" s="2016"/>
      <c r="Q89" s="2016"/>
      <c r="R89" s="2016"/>
      <c r="S89" s="2016"/>
      <c r="T89" s="2016"/>
      <c r="U89" s="2016"/>
      <c r="V89" s="2016"/>
      <c r="W89" s="2020"/>
      <c r="X89" s="2020"/>
      <c r="Y89" s="2020"/>
      <c r="Z89" s="2020"/>
    </row>
    <row r="90" spans="1:26" s="1310" customFormat="1" ht="13.8">
      <c r="A90" s="381" t="s">
        <v>1822</v>
      </c>
      <c r="B90" s="382" t="s">
        <v>439</v>
      </c>
      <c r="C90" s="385">
        <f ca="1">ROUND(D63/(1+'数据-取费表'!C42),0)</f>
        <v>9618</v>
      </c>
      <c r="D90" s="378" t="s">
        <v>19</v>
      </c>
      <c r="E90" s="991"/>
      <c r="F90" s="990"/>
      <c r="G90" s="990"/>
      <c r="H90" s="394"/>
      <c r="I90" s="1312"/>
      <c r="J90" s="2021"/>
      <c r="K90" s="2016"/>
      <c r="L90" s="2016"/>
      <c r="M90" s="2016"/>
      <c r="N90" s="2016"/>
      <c r="O90" s="2016"/>
      <c r="P90" s="2016"/>
      <c r="Q90" s="2016"/>
      <c r="R90" s="2016"/>
      <c r="S90" s="2016"/>
      <c r="T90" s="2016"/>
      <c r="U90" s="2016"/>
      <c r="V90" s="2016"/>
      <c r="W90" s="2020"/>
      <c r="X90" s="2020"/>
      <c r="Y90" s="2020"/>
      <c r="Z90" s="2020"/>
    </row>
    <row r="91" spans="1:26" s="1310" customFormat="1" ht="13.8">
      <c r="A91" s="381" t="s">
        <v>1828</v>
      </c>
      <c r="B91" s="348" t="s">
        <v>440</v>
      </c>
      <c r="C91" s="385">
        <f ca="1">C92+C96</f>
        <v>2609</v>
      </c>
      <c r="D91" s="378" t="s">
        <v>19</v>
      </c>
      <c r="E91" s="991"/>
      <c r="F91" s="990"/>
      <c r="G91" s="990"/>
      <c r="H91" s="394"/>
      <c r="I91" s="1312"/>
      <c r="J91" s="2021"/>
      <c r="K91" s="2016"/>
      <c r="L91" s="2016"/>
      <c r="M91" s="2016"/>
      <c r="N91" s="2016"/>
      <c r="O91" s="2016"/>
      <c r="P91" s="2016"/>
      <c r="Q91" s="2016"/>
      <c r="R91" s="2016"/>
      <c r="S91" s="2016"/>
      <c r="T91" s="2016"/>
      <c r="U91" s="2016"/>
      <c r="V91" s="2016"/>
      <c r="W91" s="2020"/>
      <c r="X91" s="2020"/>
      <c r="Y91" s="2020"/>
      <c r="Z91" s="2020"/>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1"/>
      <c r="K92" s="2016"/>
      <c r="L92" s="2016"/>
      <c r="M92" s="2016"/>
      <c r="N92" s="2016"/>
      <c r="O92" s="2016"/>
      <c r="P92" s="2016"/>
      <c r="Q92" s="2016"/>
      <c r="R92" s="2016"/>
      <c r="S92" s="2016"/>
      <c r="T92" s="2016"/>
      <c r="U92" s="2016"/>
      <c r="V92" s="2016"/>
      <c r="W92" s="2020"/>
      <c r="X92" s="2020"/>
      <c r="Y92" s="2020"/>
      <c r="Z92" s="2020"/>
    </row>
    <row r="93" spans="1:26" s="1310" customFormat="1" ht="14.4">
      <c r="A93" s="395" t="s">
        <v>1830</v>
      </c>
      <c r="B93" s="376" t="s">
        <v>442</v>
      </c>
      <c r="C93" s="396">
        <v>2000</v>
      </c>
      <c r="D93" s="378" t="s">
        <v>19</v>
      </c>
      <c r="E93" s="397" t="s">
        <v>443</v>
      </c>
      <c r="F93" s="398" t="s">
        <v>444</v>
      </c>
      <c r="G93" s="397" t="s">
        <v>445</v>
      </c>
      <c r="H93" s="399">
        <v>5</v>
      </c>
      <c r="I93" s="11"/>
      <c r="J93" s="2016"/>
      <c r="K93" s="2016"/>
      <c r="L93" s="2016"/>
      <c r="M93" s="2016"/>
      <c r="N93" s="2016"/>
      <c r="O93" s="2016"/>
      <c r="P93" s="2016"/>
      <c r="Q93" s="2016"/>
      <c r="R93" s="2016"/>
      <c r="S93" s="2016"/>
      <c r="T93" s="2016"/>
      <c r="U93" s="2016"/>
      <c r="V93" s="2016"/>
      <c r="W93" s="2020"/>
      <c r="X93" s="2020"/>
      <c r="Y93" s="2020"/>
      <c r="Z93" s="2020"/>
    </row>
    <row r="94" spans="1:26" s="1310" customFormat="1" ht="24.75" customHeight="1">
      <c r="A94" s="395" t="s">
        <v>1831</v>
      </c>
      <c r="B94" s="400" t="s">
        <v>446</v>
      </c>
      <c r="C94" s="378">
        <f>IF(F93="购房发票",ROUND(C93*H93*5%,0),0)</f>
        <v>500</v>
      </c>
      <c r="D94" s="401">
        <v>0.05</v>
      </c>
      <c r="E94" s="3299" t="s">
        <v>447</v>
      </c>
      <c r="F94" s="3298"/>
      <c r="G94" s="3298"/>
      <c r="H94" s="3335"/>
      <c r="I94" s="1312"/>
      <c r="J94" s="2021"/>
      <c r="K94" s="2016"/>
      <c r="L94" s="2016"/>
      <c r="M94" s="2016"/>
      <c r="N94" s="2016"/>
      <c r="O94" s="2016"/>
      <c r="P94" s="2016"/>
      <c r="Q94" s="2016"/>
      <c r="R94" s="2016"/>
      <c r="S94" s="2016"/>
      <c r="T94" s="2016"/>
      <c r="U94" s="2016"/>
      <c r="V94" s="2016"/>
      <c r="W94" s="2020"/>
      <c r="X94" s="2020"/>
      <c r="Y94" s="2020"/>
      <c r="Z94" s="2020"/>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1"/>
      <c r="K95" s="2016"/>
      <c r="L95" s="2016"/>
      <c r="M95" s="2016"/>
      <c r="N95" s="2016"/>
      <c r="O95" s="2016"/>
      <c r="P95" s="2016"/>
      <c r="Q95" s="2016"/>
      <c r="R95" s="2016"/>
      <c r="S95" s="2016"/>
      <c r="T95" s="2016"/>
      <c r="U95" s="2016"/>
      <c r="V95" s="2016"/>
      <c r="W95" s="2020"/>
      <c r="X95" s="2020"/>
      <c r="Y95" s="2020"/>
      <c r="Z95" s="2020"/>
    </row>
    <row r="96" spans="1:26" s="1310" customFormat="1" ht="24.75" customHeight="1">
      <c r="A96" s="395" t="s">
        <v>1833</v>
      </c>
      <c r="B96" s="376" t="s">
        <v>450</v>
      </c>
      <c r="C96" s="405">
        <f ca="1">ROUND(D63*D96/(1+'数据-取费表'!C42),0)</f>
        <v>48</v>
      </c>
      <c r="D96" s="406">
        <f>'数据-取费表'!B43</f>
        <v>5.000000000000001E-3</v>
      </c>
      <c r="E96" s="3327" t="s">
        <v>2425</v>
      </c>
      <c r="F96" s="3328"/>
      <c r="G96" s="3328"/>
      <c r="H96" s="3329"/>
      <c r="I96" s="1313"/>
      <c r="J96" s="2022"/>
      <c r="K96" s="2016"/>
      <c r="L96" s="2016"/>
      <c r="M96" s="2016"/>
      <c r="N96" s="2016"/>
      <c r="O96" s="2016"/>
      <c r="P96" s="2016"/>
      <c r="Q96" s="2016"/>
      <c r="R96" s="2016"/>
      <c r="S96" s="2016"/>
      <c r="T96" s="2016"/>
      <c r="U96" s="2016"/>
      <c r="V96" s="2016"/>
      <c r="W96" s="2020"/>
      <c r="X96" s="2020"/>
      <c r="Y96" s="2020"/>
      <c r="Z96" s="2020"/>
    </row>
    <row r="97" spans="1:26" s="1310" customFormat="1" ht="13.8">
      <c r="A97" s="1602" t="s">
        <v>1834</v>
      </c>
      <c r="B97" s="382" t="s">
        <v>451</v>
      </c>
      <c r="C97" s="385">
        <f ca="1">C90-C91</f>
        <v>7009</v>
      </c>
      <c r="D97" s="378" t="s">
        <v>19</v>
      </c>
      <c r="E97" s="991"/>
      <c r="F97" s="990"/>
      <c r="G97" s="990"/>
      <c r="H97" s="394"/>
      <c r="I97" s="1312"/>
      <c r="J97" s="2021"/>
      <c r="K97" s="2016"/>
      <c r="L97" s="2016"/>
      <c r="M97" s="2016"/>
      <c r="N97" s="2016"/>
      <c r="O97" s="2016"/>
      <c r="P97" s="2016"/>
      <c r="Q97" s="2016"/>
      <c r="R97" s="2016"/>
      <c r="S97" s="2016"/>
      <c r="T97" s="2016"/>
      <c r="U97" s="2016"/>
      <c r="V97" s="2016"/>
      <c r="W97" s="2020"/>
      <c r="X97" s="2020"/>
      <c r="Y97" s="2020"/>
      <c r="Z97" s="2020"/>
    </row>
    <row r="98" spans="1:26" s="1310" customFormat="1" ht="24">
      <c r="A98" s="1602" t="s">
        <v>1835</v>
      </c>
      <c r="B98" s="382" t="s">
        <v>452</v>
      </c>
      <c r="C98" s="407">
        <f ca="1">IF(C97&lt;=0,0,C97/C91)</f>
        <v>2.6864699118436182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1"/>
      <c r="K98" s="2016"/>
      <c r="L98" s="2016"/>
      <c r="M98" s="2016"/>
      <c r="N98" s="2016"/>
      <c r="O98" s="2016"/>
      <c r="P98" s="2016"/>
      <c r="Q98" s="2016"/>
      <c r="R98" s="2016"/>
      <c r="S98" s="2016"/>
      <c r="T98" s="2016"/>
      <c r="U98" s="2016"/>
      <c r="V98" s="2016"/>
      <c r="W98" s="2020"/>
      <c r="X98" s="2020"/>
      <c r="Y98" s="2020"/>
      <c r="Z98" s="2020"/>
    </row>
    <row r="99" spans="1:26" s="1310" customFormat="1" ht="24.6" thickBot="1">
      <c r="A99" s="1603" t="s">
        <v>1836</v>
      </c>
      <c r="B99" s="387" t="s">
        <v>453</v>
      </c>
      <c r="C99" s="408">
        <f ca="1">ROUND(IF(C97&lt;=0,0,IF(C98&gt;=200%,C97*60%-C91*35%,IF(C98&gt;=100%,C97*50%-C91*15%,IF(C98&gt;=50%,C97*40%-C91*5%,IF(C98&lt;50%,C97*30%,0))))),0)</f>
        <v>3292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1"/>
      <c r="K99" s="2016"/>
      <c r="L99" s="2016"/>
      <c r="M99" s="2016"/>
      <c r="N99" s="2016"/>
      <c r="O99" s="2016"/>
      <c r="P99" s="2016"/>
      <c r="Q99" s="2016"/>
      <c r="R99" s="2016"/>
      <c r="S99" s="2016"/>
      <c r="T99" s="2016"/>
      <c r="U99" s="2016"/>
      <c r="V99" s="2016"/>
      <c r="W99" s="2020"/>
      <c r="X99" s="2020"/>
      <c r="Y99" s="2020"/>
      <c r="Z99" s="2020"/>
    </row>
    <row r="100" spans="1:26" s="1310" customFormat="1" ht="7.5" customHeight="1">
      <c r="A100" s="1314"/>
      <c r="B100" s="1315"/>
      <c r="C100" s="11"/>
      <c r="D100" s="11"/>
      <c r="E100" s="1315"/>
      <c r="F100" s="1315"/>
      <c r="G100" s="1315"/>
      <c r="H100" s="1316"/>
      <c r="I100" s="1313"/>
      <c r="J100" s="2022"/>
      <c r="K100" s="2016"/>
      <c r="L100" s="2016"/>
      <c r="M100" s="2016"/>
      <c r="N100" s="2016"/>
      <c r="O100" s="2016"/>
      <c r="P100" s="2016"/>
      <c r="Q100" s="2016"/>
      <c r="R100" s="2016"/>
      <c r="S100" s="2016"/>
      <c r="T100" s="2016"/>
      <c r="U100" s="2016"/>
      <c r="V100" s="2016"/>
      <c r="W100" s="2020"/>
      <c r="X100" s="2020"/>
      <c r="Y100" s="2020"/>
      <c r="Z100" s="2020"/>
    </row>
    <row r="101" spans="1:26" s="1310" customFormat="1" ht="14.4" thickBot="1">
      <c r="A101" s="3338" t="s">
        <v>454</v>
      </c>
      <c r="B101" s="3339"/>
      <c r="C101" s="3339"/>
      <c r="D101" s="3339"/>
      <c r="E101" s="3339"/>
      <c r="F101" s="3339"/>
      <c r="G101" s="3339"/>
      <c r="H101" s="3339"/>
      <c r="I101" s="11"/>
      <c r="J101" s="2016"/>
      <c r="K101" s="2016"/>
      <c r="L101" s="2016"/>
      <c r="M101" s="2016"/>
      <c r="N101" s="2016"/>
      <c r="O101" s="2016"/>
      <c r="P101" s="2016"/>
      <c r="Q101" s="2016"/>
      <c r="R101" s="2016"/>
      <c r="S101" s="2016"/>
      <c r="T101" s="2016"/>
      <c r="U101" s="2016"/>
      <c r="V101" s="2016"/>
      <c r="W101" s="2020"/>
      <c r="X101" s="2020"/>
      <c r="Y101" s="2020"/>
      <c r="Z101" s="2020"/>
    </row>
    <row r="102" spans="1:26" s="1310" customFormat="1" ht="13.8">
      <c r="A102" s="3336" t="s">
        <v>428</v>
      </c>
      <c r="B102" s="3337"/>
      <c r="C102" s="994"/>
      <c r="D102" s="994" t="s">
        <v>429</v>
      </c>
      <c r="E102" s="391" t="s">
        <v>438</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10" customFormat="1" ht="13.8">
      <c r="A103" s="381" t="s">
        <v>1822</v>
      </c>
      <c r="B103" s="382" t="s">
        <v>439</v>
      </c>
      <c r="C103" s="385">
        <f ca="1">ROUND(D63/(1+'数据-取费表'!C42),0)</f>
        <v>9618</v>
      </c>
      <c r="D103" s="378" t="s">
        <v>19</v>
      </c>
      <c r="E103" s="991"/>
      <c r="F103" s="990"/>
      <c r="G103" s="990"/>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10" customFormat="1" ht="13.8">
      <c r="A104" s="381" t="s">
        <v>1828</v>
      </c>
      <c r="B104" s="348" t="s">
        <v>440</v>
      </c>
      <c r="C104" s="385">
        <f ca="1">IF(H106="仅含出让金",C105+C108+C109+C110+C111+C112,C105+C109+C110+C111+C112)</f>
        <v>738</v>
      </c>
      <c r="D104" s="415"/>
      <c r="E104" s="991"/>
      <c r="F104" s="990"/>
      <c r="G104" s="990"/>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10" customFormat="1" ht="13.8">
      <c r="A105" s="395" t="s">
        <v>1829</v>
      </c>
      <c r="B105" s="376" t="s">
        <v>455</v>
      </c>
      <c r="C105" s="405">
        <f>C106+C107</f>
        <v>572</v>
      </c>
      <c r="D105" s="406"/>
      <c r="E105" s="985"/>
      <c r="F105" s="986"/>
      <c r="G105" s="986"/>
      <c r="H105" s="987"/>
      <c r="I105" s="11"/>
      <c r="J105" s="2016"/>
      <c r="K105" s="2016"/>
      <c r="L105" s="2016"/>
      <c r="M105" s="2016"/>
      <c r="N105" s="2016"/>
      <c r="O105" s="2016"/>
      <c r="P105" s="2016"/>
      <c r="Q105" s="2016"/>
      <c r="R105" s="2016"/>
      <c r="S105" s="2016"/>
      <c r="T105" s="2016"/>
      <c r="U105" s="2016"/>
      <c r="V105" s="2016"/>
      <c r="W105" s="2020"/>
      <c r="X105" s="2020"/>
      <c r="Y105" s="2020"/>
      <c r="Z105" s="2020"/>
    </row>
    <row r="106" spans="1:26" s="1310" customFormat="1" ht="26.4">
      <c r="A106" s="395" t="s">
        <v>1830</v>
      </c>
      <c r="B106" s="376" t="s">
        <v>456</v>
      </c>
      <c r="C106" s="416">
        <v>555</v>
      </c>
      <c r="D106" s="406"/>
      <c r="E106" s="417" t="s">
        <v>457</v>
      </c>
      <c r="F106" s="986"/>
      <c r="G106" s="418" t="s">
        <v>458</v>
      </c>
      <c r="H106" s="419" t="s">
        <v>2436</v>
      </c>
      <c r="I106" s="11"/>
      <c r="J106" s="2016"/>
      <c r="K106" s="2016"/>
      <c r="L106" s="2016"/>
      <c r="M106" s="2016"/>
      <c r="N106" s="2016"/>
      <c r="O106" s="2016"/>
      <c r="P106" s="2016"/>
      <c r="Q106" s="2016"/>
      <c r="R106" s="2016"/>
      <c r="S106" s="2016"/>
      <c r="T106" s="2016"/>
      <c r="U106" s="2016"/>
      <c r="V106" s="2016"/>
      <c r="W106" s="2020"/>
      <c r="X106" s="2020"/>
      <c r="Y106" s="2020"/>
      <c r="Z106" s="2020"/>
    </row>
    <row r="107" spans="1:26" s="1310" customFormat="1" ht="13.8">
      <c r="A107" s="395" t="s">
        <v>1831</v>
      </c>
      <c r="B107" s="376" t="s">
        <v>448</v>
      </c>
      <c r="C107" s="405">
        <f>ROUND(C106*D107,0)</f>
        <v>17</v>
      </c>
      <c r="D107" s="406">
        <f>'数据-取费表'!B48+'数据-取费表'!B49</f>
        <v>3.0499999999999999E-2</v>
      </c>
      <c r="E107" s="417" t="s">
        <v>459</v>
      </c>
      <c r="F107" s="986"/>
      <c r="G107" s="986"/>
      <c r="H107" s="987"/>
      <c r="I107" s="11"/>
      <c r="J107" s="2016"/>
      <c r="K107" s="2016"/>
      <c r="L107" s="2016"/>
      <c r="M107" s="2016"/>
      <c r="N107" s="2016"/>
      <c r="O107" s="2016"/>
      <c r="P107" s="2016"/>
      <c r="Q107" s="2016"/>
      <c r="R107" s="2016"/>
      <c r="S107" s="2016"/>
      <c r="T107" s="2016"/>
      <c r="U107" s="2016"/>
      <c r="V107" s="2016"/>
      <c r="W107" s="2020"/>
      <c r="X107" s="2020"/>
      <c r="Y107" s="2020"/>
      <c r="Z107" s="2020"/>
    </row>
    <row r="108" spans="1:26" s="1310" customFormat="1" ht="13.8">
      <c r="A108" s="395" t="s">
        <v>1833</v>
      </c>
      <c r="B108" s="376" t="s">
        <v>460</v>
      </c>
      <c r="C108" s="416"/>
      <c r="D108" s="406"/>
      <c r="E108" s="417" t="str">
        <f>IF(H106="-","土地取得成本中已包含该笔费用"," ")</f>
        <v xml:space="preserve"> </v>
      </c>
      <c r="F108" s="986"/>
      <c r="G108" s="986"/>
      <c r="H108" s="987"/>
      <c r="I108" s="11"/>
      <c r="J108" s="2016"/>
      <c r="K108" s="2016"/>
      <c r="L108" s="2016"/>
      <c r="M108" s="2016"/>
      <c r="N108" s="2016"/>
      <c r="O108" s="2016"/>
      <c r="P108" s="2016"/>
      <c r="Q108" s="2016"/>
      <c r="R108" s="2016"/>
      <c r="S108" s="2016"/>
      <c r="T108" s="2016"/>
      <c r="U108" s="2016"/>
      <c r="V108" s="2016"/>
      <c r="W108" s="2020"/>
      <c r="X108" s="2020"/>
      <c r="Y108" s="2020"/>
      <c r="Z108" s="2020"/>
    </row>
    <row r="109" spans="1:26" s="1310" customFormat="1" ht="24" customHeight="1">
      <c r="A109" s="1604" t="s">
        <v>1837</v>
      </c>
      <c r="B109" s="376" t="s">
        <v>461</v>
      </c>
      <c r="C109" s="405">
        <f>IF(H109="——",IF(F1="现房",'剩余法-现房'!C18,'剩余法-待开发'!C18),I109)</f>
        <v>55</v>
      </c>
      <c r="D109" s="406"/>
      <c r="E109" s="3330" t="s">
        <v>462</v>
      </c>
      <c r="F109" s="3328"/>
      <c r="G109" s="3328"/>
      <c r="H109" s="1924" t="s">
        <v>2276</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10" customFormat="1" ht="25.5" customHeight="1">
      <c r="A110" s="1604" t="s">
        <v>1838</v>
      </c>
      <c r="B110" s="376" t="s">
        <v>463</v>
      </c>
      <c r="C110" s="405">
        <f>ROUND((C105+C108+C109)*D110,0)</f>
        <v>63</v>
      </c>
      <c r="D110" s="406">
        <v>0.1</v>
      </c>
      <c r="E110" s="3330" t="s">
        <v>464</v>
      </c>
      <c r="F110" s="3328"/>
      <c r="G110" s="3328"/>
      <c r="H110" s="3329"/>
      <c r="I110" s="11"/>
      <c r="J110" s="2016"/>
      <c r="K110" s="2016"/>
      <c r="L110" s="2016"/>
      <c r="M110" s="2016"/>
      <c r="N110" s="2016"/>
      <c r="O110" s="2016"/>
      <c r="P110" s="2016"/>
      <c r="Q110" s="2016"/>
      <c r="R110" s="2016"/>
      <c r="S110" s="2016"/>
      <c r="T110" s="2016"/>
      <c r="U110" s="2016"/>
      <c r="V110" s="2016"/>
      <c r="W110" s="2020"/>
      <c r="X110" s="2020"/>
      <c r="Y110" s="2020"/>
      <c r="Z110" s="2020"/>
    </row>
    <row r="111" spans="1:26" s="1310" customFormat="1" ht="25.5" customHeight="1">
      <c r="A111" s="1604" t="s">
        <v>1839</v>
      </c>
      <c r="B111" s="376" t="s">
        <v>450</v>
      </c>
      <c r="C111" s="405">
        <f ca="1">ROUND(D63*D111/(1+'数据-取费表'!C42),0)</f>
        <v>48</v>
      </c>
      <c r="D111" s="406">
        <f>'数据-取费表'!B43</f>
        <v>5.000000000000001E-3</v>
      </c>
      <c r="E111" s="3327" t="s">
        <v>2425</v>
      </c>
      <c r="F111" s="3328"/>
      <c r="G111" s="3328"/>
      <c r="H111" s="3329"/>
      <c r="I111" s="11"/>
      <c r="J111" s="2016"/>
      <c r="K111" s="2016"/>
      <c r="L111" s="2016"/>
      <c r="M111" s="2016"/>
      <c r="N111" s="2016"/>
      <c r="O111" s="2016"/>
      <c r="P111" s="2016"/>
      <c r="Q111" s="2016"/>
      <c r="R111" s="2016"/>
      <c r="S111" s="2016"/>
      <c r="T111" s="2016"/>
      <c r="U111" s="2016"/>
      <c r="V111" s="2016"/>
      <c r="W111" s="2020"/>
      <c r="X111" s="2020"/>
      <c r="Y111" s="2020"/>
      <c r="Z111" s="2020"/>
    </row>
    <row r="112" spans="1:26" s="1310" customFormat="1" ht="25.5" customHeight="1">
      <c r="A112" s="1604" t="s">
        <v>1840</v>
      </c>
      <c r="B112" s="376" t="s">
        <v>465</v>
      </c>
      <c r="C112" s="405">
        <f>ROUND(C108*D112,0)</f>
        <v>0</v>
      </c>
      <c r="D112" s="406">
        <v>0.2</v>
      </c>
      <c r="E112" s="3330" t="s">
        <v>2450</v>
      </c>
      <c r="F112" s="3328"/>
      <c r="G112" s="3328"/>
      <c r="H112" s="3329"/>
      <c r="I112" s="11"/>
      <c r="J112" s="2016"/>
      <c r="K112" s="2016"/>
      <c r="L112" s="2016"/>
      <c r="M112" s="2016"/>
      <c r="N112" s="2016"/>
      <c r="O112" s="2016"/>
      <c r="P112" s="2016"/>
      <c r="Q112" s="2016"/>
      <c r="R112" s="2016"/>
      <c r="S112" s="2016"/>
      <c r="T112" s="2016"/>
      <c r="U112" s="2016"/>
      <c r="V112" s="2016"/>
      <c r="W112" s="2020"/>
      <c r="X112" s="2020"/>
      <c r="Y112" s="2020"/>
      <c r="Z112" s="2020"/>
    </row>
    <row r="113" spans="1:26" s="1310" customFormat="1" ht="13.8">
      <c r="A113" s="1602" t="s">
        <v>1834</v>
      </c>
      <c r="B113" s="382" t="s">
        <v>451</v>
      </c>
      <c r="C113" s="385">
        <f ca="1">ROUND(C103-C104,0)</f>
        <v>8880</v>
      </c>
      <c r="D113" s="378" t="s">
        <v>19</v>
      </c>
      <c r="E113" s="991"/>
      <c r="F113" s="990"/>
      <c r="G113" s="990"/>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10" customFormat="1" ht="24">
      <c r="A114" s="1602" t="s">
        <v>1835</v>
      </c>
      <c r="B114" s="382" t="s">
        <v>452</v>
      </c>
      <c r="C114" s="407">
        <f ca="1">IF(C113&lt;=0,0,C113/C104)</f>
        <v>12.032520325203253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10" customFormat="1" ht="24.6" thickBot="1">
      <c r="A115" s="1603" t="s">
        <v>1836</v>
      </c>
      <c r="B115" s="387" t="s">
        <v>453</v>
      </c>
      <c r="C115" s="408">
        <f ca="1">ROUND(IF(C113&lt;=0,0,IF(C114&gt;=200%,C113*60%-C104*35%,IF(C114&gt;=100%,C113*50%-C104*15%,IF(C114&gt;=50%,C113*40%-C104*5%,IF(C114&lt;50%,C113*30%,0))))),0)</f>
        <v>5070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10" zoomScale="80" zoomScaleNormal="95" zoomScaleSheetLayoutView="80" workbookViewId="0">
      <selection activeCell="M17" sqref="M17"/>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15828</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c r="AD2" s="1331"/>
    </row>
    <row r="3" spans="1:30" s="1332" customFormat="1" ht="28.5" customHeight="1">
      <c r="A3" s="1375" t="s">
        <v>1683</v>
      </c>
      <c r="B3" s="510">
        <f>ROUND(B2*10000/'数据-汇总表'!E3,0)</f>
        <v>1387</v>
      </c>
      <c r="C3" s="2044"/>
      <c r="D3" s="2532"/>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7091</v>
      </c>
      <c r="C4" s="2044"/>
      <c r="D4" s="2532"/>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473</v>
      </c>
      <c r="C5" s="431" t="s">
        <v>469</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0"/>
      <c r="AC5" s="428"/>
    </row>
    <row r="6" spans="1:30" ht="21">
      <c r="A6" s="512" t="s">
        <v>521</v>
      </c>
      <c r="B6" s="513"/>
      <c r="C6" s="3381" t="s">
        <v>522</v>
      </c>
      <c r="D6" s="3382"/>
      <c r="E6" s="3381" t="s">
        <v>523</v>
      </c>
      <c r="F6" s="3382"/>
      <c r="G6" s="3381" t="s">
        <v>524</v>
      </c>
      <c r="H6" s="3382"/>
      <c r="I6" s="3381" t="s">
        <v>525</v>
      </c>
      <c r="J6" s="3382"/>
      <c r="K6" s="514" t="s">
        <v>526</v>
      </c>
      <c r="L6" s="2116"/>
      <c r="M6" s="2115"/>
      <c r="N6" s="2115"/>
      <c r="O6" s="2117"/>
      <c r="P6" s="3383" t="s">
        <v>527</v>
      </c>
      <c r="Q6" s="3384"/>
      <c r="R6" s="3389" t="s">
        <v>523</v>
      </c>
      <c r="S6" s="3390"/>
      <c r="T6" s="3389" t="s">
        <v>524</v>
      </c>
      <c r="U6" s="3390"/>
      <c r="V6" s="3376" t="s">
        <v>525</v>
      </c>
      <c r="W6" s="3376"/>
      <c r="X6" s="1553"/>
      <c r="Y6" s="3389" t="s">
        <v>527</v>
      </c>
      <c r="Z6" s="3390"/>
      <c r="AA6" s="3378" t="s">
        <v>523</v>
      </c>
      <c r="AB6" s="3379" t="s">
        <v>524</v>
      </c>
      <c r="AC6" s="3378" t="s">
        <v>525</v>
      </c>
    </row>
    <row r="7" spans="1:30" ht="21">
      <c r="A7" s="515"/>
      <c r="B7" s="516"/>
      <c r="C7" s="3397" t="s">
        <v>2923</v>
      </c>
      <c r="D7" s="3398"/>
      <c r="E7" s="3397" t="str">
        <f>土地案例!A3</f>
        <v>潼南金福新区A8号地块</v>
      </c>
      <c r="F7" s="3398"/>
      <c r="G7" s="3397" t="str">
        <f>土地案例!$A$8</f>
        <v>潼南工业园区南区创意大道(规划地块编号:潼南工业园区(南区)F-69-06号地块</v>
      </c>
      <c r="H7" s="3398"/>
      <c r="I7" s="3397" t="str">
        <f>土地案例!$A$14</f>
        <v>工业园区南区G9-02/01(规划编号E-53-02)地块</v>
      </c>
      <c r="J7" s="3398"/>
      <c r="K7" s="514"/>
      <c r="L7" s="2116"/>
      <c r="M7" s="2115"/>
      <c r="N7" s="2115"/>
      <c r="O7" s="2117"/>
      <c r="P7" s="3385"/>
      <c r="Q7" s="3386"/>
      <c r="R7" s="3391"/>
      <c r="S7" s="3392"/>
      <c r="T7" s="3391"/>
      <c r="U7" s="3392"/>
      <c r="V7" s="3376"/>
      <c r="W7" s="3376"/>
      <c r="X7" s="1553"/>
      <c r="Y7" s="3391"/>
      <c r="Z7" s="3392"/>
      <c r="AA7" s="3379"/>
      <c r="AB7" s="3379"/>
      <c r="AC7" s="3379"/>
    </row>
    <row r="8" spans="1:30" ht="21.6" thickBot="1">
      <c r="A8" s="515"/>
      <c r="B8" s="516"/>
      <c r="C8" s="3399" t="s">
        <v>2927</v>
      </c>
      <c r="D8" s="3400"/>
      <c r="E8" s="3399" t="s">
        <v>2927</v>
      </c>
      <c r="F8" s="3400"/>
      <c r="G8" s="3395" t="s">
        <v>2927</v>
      </c>
      <c r="H8" s="3396"/>
      <c r="I8" s="3395" t="s">
        <v>2927</v>
      </c>
      <c r="J8" s="3396"/>
      <c r="K8" s="514" t="s">
        <v>528</v>
      </c>
      <c r="L8" s="2116"/>
      <c r="M8" s="2115"/>
      <c r="N8" s="2115"/>
      <c r="O8" s="2117"/>
      <c r="P8" s="3387"/>
      <c r="Q8" s="3388"/>
      <c r="R8" s="3391"/>
      <c r="S8" s="3392"/>
      <c r="T8" s="3393"/>
      <c r="U8" s="3394"/>
      <c r="V8" s="3376"/>
      <c r="W8" s="3376"/>
      <c r="X8" s="1553"/>
      <c r="Y8" s="3393"/>
      <c r="Z8" s="3394"/>
      <c r="AA8" s="3380"/>
      <c r="AB8" s="3380"/>
      <c r="AC8" s="3380"/>
    </row>
    <row r="9" spans="1:30" s="1216" customFormat="1" ht="21.6" thickBot="1">
      <c r="A9" s="2865"/>
      <c r="B9" s="2872" t="s">
        <v>529</v>
      </c>
      <c r="C9" s="2864">
        <f>'数据-取费表'!B2</f>
        <v>43889</v>
      </c>
      <c r="D9" s="520">
        <v>100</v>
      </c>
      <c r="E9" s="521" t="str">
        <f>土地案例!H3</f>
        <v>2019-12-19</v>
      </c>
      <c r="F9" s="522">
        <f>SUMIF(72:72,YEAR(E9)&amp;"-"&amp;INT((MONTH(E9)+2)/3),73:73)</f>
        <v>99</v>
      </c>
      <c r="G9" s="523" t="str">
        <f>土地案例!$H$8</f>
        <v>2019-11-13</v>
      </c>
      <c r="H9" s="520">
        <f>SUMIF(72:72,YEAR(G9)&amp;"-"&amp;INT((MONTH(G9)+2)/3),73:73)</f>
        <v>99</v>
      </c>
      <c r="I9" s="523" t="str">
        <f>土地案例!$H$14</f>
        <v>2019-06-25</v>
      </c>
      <c r="J9" s="520">
        <f>SUMIF(72:72,YEAR(I9)&amp;"-"&amp;INT((MONTH(I9)+2)/3),73:73)</f>
        <v>97</v>
      </c>
      <c r="K9" s="524"/>
      <c r="L9" s="2118"/>
      <c r="M9" s="2115"/>
      <c r="N9" s="2115"/>
      <c r="O9" s="2119"/>
      <c r="P9" s="3406" t="s">
        <v>530</v>
      </c>
      <c r="Q9" s="3408"/>
      <c r="R9" s="1554" t="s">
        <v>8</v>
      </c>
      <c r="S9" s="1555">
        <f t="shared" ref="S9:S17" si="0">F9</f>
        <v>99</v>
      </c>
      <c r="T9" s="1554" t="s">
        <v>8</v>
      </c>
      <c r="U9" s="1555">
        <f t="shared" ref="U9:U17" si="1">H9</f>
        <v>99</v>
      </c>
      <c r="V9" s="1554" t="s">
        <v>8</v>
      </c>
      <c r="W9" s="1555">
        <f t="shared" ref="W9:W17" si="2">J9</f>
        <v>97</v>
      </c>
      <c r="X9" s="1556"/>
      <c r="Y9" s="3406" t="s">
        <v>530</v>
      </c>
      <c r="Z9" s="3407"/>
      <c r="AA9" s="1557">
        <f>D9/F9</f>
        <v>1.0101010101010102</v>
      </c>
      <c r="AB9" s="1557">
        <f>D9/H9</f>
        <v>1.0101010101010102</v>
      </c>
      <c r="AC9" s="1557">
        <f>D9/J9</f>
        <v>1.0309278350515463</v>
      </c>
    </row>
    <row r="10" spans="1:30" s="1216" customFormat="1" ht="21.6" thickBot="1">
      <c r="A10" s="2866"/>
      <c r="B10" s="2873" t="s">
        <v>531</v>
      </c>
      <c r="C10" s="856" t="s">
        <v>532</v>
      </c>
      <c r="D10" s="520">
        <v>100</v>
      </c>
      <c r="E10" s="525" t="s">
        <v>3141</v>
      </c>
      <c r="F10" s="522">
        <f>SUMIF(75:75,E10,76:76)-SUMIF(75:75,C10,76:76)+100</f>
        <v>100</v>
      </c>
      <c r="G10" s="525" t="s">
        <v>3141</v>
      </c>
      <c r="H10" s="520">
        <f>SUMIF(75:75,G10,76:76)-SUMIF(75:75,C10,76:76)+100</f>
        <v>100</v>
      </c>
      <c r="I10" s="525" t="s">
        <v>3141</v>
      </c>
      <c r="J10" s="520">
        <f>SUMIF(75:75,I10,76:76)-SUMIF(75:75,C10,76:76)+100</f>
        <v>100</v>
      </c>
      <c r="K10" s="524"/>
      <c r="L10" s="2118"/>
      <c r="M10" s="2115"/>
      <c r="N10" s="2115"/>
      <c r="O10" s="2119"/>
      <c r="P10" s="3406" t="s">
        <v>533</v>
      </c>
      <c r="Q10" s="3407"/>
      <c r="R10" s="1554" t="s">
        <v>8</v>
      </c>
      <c r="S10" s="1555">
        <f t="shared" si="0"/>
        <v>100</v>
      </c>
      <c r="T10" s="1554" t="s">
        <v>8</v>
      </c>
      <c r="U10" s="1555">
        <f t="shared" si="1"/>
        <v>100</v>
      </c>
      <c r="V10" s="1554" t="s">
        <v>8</v>
      </c>
      <c r="W10" s="1555">
        <f t="shared" si="2"/>
        <v>100</v>
      </c>
      <c r="X10" s="1556"/>
      <c r="Y10" s="3406" t="s">
        <v>533</v>
      </c>
      <c r="Z10" s="3407"/>
      <c r="AA10" s="1557">
        <f t="shared" ref="AA10:AA47" si="3">D10/F10</f>
        <v>1</v>
      </c>
      <c r="AB10" s="1557">
        <f t="shared" ref="AB10:AB47" si="4">D10/H10</f>
        <v>1</v>
      </c>
      <c r="AC10" s="1557">
        <f t="shared" ref="AC10:AC47" si="5">D10/J10</f>
        <v>1</v>
      </c>
    </row>
    <row r="11" spans="1:30" s="1216" customFormat="1" ht="21">
      <c r="A11" s="2867"/>
      <c r="B11" s="2874" t="s">
        <v>2752</v>
      </c>
      <c r="C11" s="2861" t="s">
        <v>923</v>
      </c>
      <c r="D11" s="254">
        <v>100</v>
      </c>
      <c r="E11" s="2861" t="s">
        <v>923</v>
      </c>
      <c r="F11" s="254">
        <f>SUMIF(77:77,E11,78:78)-SUMIF(77:77,C11,78:78)+100</f>
        <v>100</v>
      </c>
      <c r="G11" s="2861" t="s">
        <v>923</v>
      </c>
      <c r="H11" s="254">
        <f>SUMIF(77:77,G11,78:78)-SUMIF(77:77,C11,78:78)+100</f>
        <v>100</v>
      </c>
      <c r="I11" s="2861" t="s">
        <v>923</v>
      </c>
      <c r="J11" s="254">
        <f>SUMIF(77:77,I11,78:78)-SUMIF(77:77,C11,78:78)+100</f>
        <v>100</v>
      </c>
      <c r="K11" s="524"/>
      <c r="L11" s="2118"/>
      <c r="M11" s="2115"/>
      <c r="N11" s="2115"/>
      <c r="O11" s="2120"/>
      <c r="P11" s="3375" t="s">
        <v>535</v>
      </c>
      <c r="Q11" s="1147" t="str">
        <f t="shared" ref="Q11:Q17" si="6">B11</f>
        <v>用途</v>
      </c>
      <c r="R11" s="1554" t="s">
        <v>8</v>
      </c>
      <c r="S11" s="1555">
        <f t="shared" si="0"/>
        <v>100</v>
      </c>
      <c r="T11" s="1554" t="s">
        <v>8</v>
      </c>
      <c r="U11" s="1555">
        <f t="shared" si="1"/>
        <v>100</v>
      </c>
      <c r="V11" s="1554" t="s">
        <v>8</v>
      </c>
      <c r="W11" s="1555">
        <f t="shared" si="2"/>
        <v>100</v>
      </c>
      <c r="X11" s="1556"/>
      <c r="Y11" s="3321" t="s">
        <v>536</v>
      </c>
      <c r="Z11" s="1146" t="str">
        <f t="shared" ref="Z11:Z17" si="7">Q11</f>
        <v>用途</v>
      </c>
      <c r="AA11" s="1557">
        <f t="shared" si="3"/>
        <v>1</v>
      </c>
      <c r="AB11" s="1557">
        <f t="shared" si="4"/>
        <v>1</v>
      </c>
      <c r="AC11" s="1557">
        <f t="shared" si="5"/>
        <v>1</v>
      </c>
    </row>
    <row r="12" spans="1:30" s="1334" customFormat="1" ht="28.8">
      <c r="A12" s="2868"/>
      <c r="B12" s="2873" t="s">
        <v>2753</v>
      </c>
      <c r="C12" s="910">
        <f>项目基本情况!D19</f>
        <v>43.79</v>
      </c>
      <c r="D12" s="255">
        <v>100</v>
      </c>
      <c r="E12" s="529" t="s">
        <v>3142</v>
      </c>
      <c r="F12" s="255">
        <f>ROUND(100/'数据-取费表'!G16,0)</f>
        <v>104</v>
      </c>
      <c r="G12" s="530" t="s">
        <v>3142</v>
      </c>
      <c r="H12" s="255">
        <f>ROUND(100/'数据-取费表'!G16,0)</f>
        <v>104</v>
      </c>
      <c r="I12" s="530" t="s">
        <v>3142</v>
      </c>
      <c r="J12" s="255">
        <f>ROUND(100/'数据-取费表'!G16,0)</f>
        <v>104</v>
      </c>
      <c r="K12" s="531"/>
      <c r="L12" s="2121"/>
      <c r="M12" s="2115"/>
      <c r="N12" s="2115"/>
      <c r="O12" s="2122"/>
      <c r="P12" s="3375"/>
      <c r="Q12" s="1147" t="str">
        <f t="shared" si="6"/>
        <v>土地使用年限（年）</v>
      </c>
      <c r="R12" s="1554" t="s">
        <v>8</v>
      </c>
      <c r="S12" s="1555">
        <f t="shared" si="0"/>
        <v>104</v>
      </c>
      <c r="T12" s="1554" t="s">
        <v>8</v>
      </c>
      <c r="U12" s="1555">
        <f t="shared" si="1"/>
        <v>104</v>
      </c>
      <c r="V12" s="1554" t="s">
        <v>8</v>
      </c>
      <c r="W12" s="1555">
        <f t="shared" si="2"/>
        <v>104</v>
      </c>
      <c r="X12" s="1556"/>
      <c r="Y12" s="3321"/>
      <c r="Z12" s="1146" t="str">
        <f t="shared" si="7"/>
        <v>土地使用年限（年）</v>
      </c>
      <c r="AA12" s="1557">
        <f t="shared" si="3"/>
        <v>0.96153846153846156</v>
      </c>
      <c r="AB12" s="1557">
        <f t="shared" si="4"/>
        <v>0.96153846153846156</v>
      </c>
      <c r="AC12" s="1557">
        <f t="shared" si="5"/>
        <v>0.96153846153846156</v>
      </c>
    </row>
    <row r="13" spans="1:30" ht="21">
      <c r="A13" s="2869"/>
      <c r="B13" s="2873" t="s">
        <v>2754</v>
      </c>
      <c r="C13" s="534">
        <f>'数据-汇总表'!I6</f>
        <v>5.1100000000000003</v>
      </c>
      <c r="D13" s="255">
        <v>100</v>
      </c>
      <c r="E13" s="533">
        <v>1.8</v>
      </c>
      <c r="F13" s="255">
        <f>LOOKUP(E13,82:82,83:83)-LOOKUP(C13,82:82,83:83)+100</f>
        <v>106</v>
      </c>
      <c r="G13" s="534">
        <v>1.2</v>
      </c>
      <c r="H13" s="255">
        <f>LOOKUP(G13,82:82,83:83)-LOOKUP(C13,82:82,83:83)+100</f>
        <v>106</v>
      </c>
      <c r="I13" s="533">
        <v>1.5</v>
      </c>
      <c r="J13" s="255">
        <f>LOOKUP(I13,82:82,83:83)-LOOKUP(C13,82:82,83:83)+100</f>
        <v>106</v>
      </c>
      <c r="K13" s="535">
        <v>2</v>
      </c>
      <c r="L13" s="2123"/>
      <c r="M13" s="2115"/>
      <c r="N13" s="2115"/>
      <c r="O13" s="2124"/>
      <c r="P13" s="3375"/>
      <c r="Q13" s="1147" t="str">
        <f t="shared" si="6"/>
        <v>容积率</v>
      </c>
      <c r="R13" s="1554" t="s">
        <v>8</v>
      </c>
      <c r="S13" s="1555">
        <f t="shared" si="0"/>
        <v>106</v>
      </c>
      <c r="T13" s="1554" t="s">
        <v>8</v>
      </c>
      <c r="U13" s="1555">
        <f t="shared" si="1"/>
        <v>106</v>
      </c>
      <c r="V13" s="1554" t="s">
        <v>8</v>
      </c>
      <c r="W13" s="1555">
        <f t="shared" si="2"/>
        <v>106</v>
      </c>
      <c r="X13" s="1556"/>
      <c r="Y13" s="3321"/>
      <c r="Z13" s="1146" t="str">
        <f t="shared" si="7"/>
        <v>容积率</v>
      </c>
      <c r="AA13" s="1557">
        <f t="shared" si="3"/>
        <v>0.94339622641509435</v>
      </c>
      <c r="AB13" s="1557">
        <f t="shared" si="4"/>
        <v>0.94339622641509435</v>
      </c>
      <c r="AC13" s="1557">
        <f t="shared" si="5"/>
        <v>0.94339622641509435</v>
      </c>
    </row>
    <row r="14" spans="1:30" s="1216" customFormat="1" ht="21">
      <c r="A14" s="2866"/>
      <c r="B14" s="2875" t="s">
        <v>2755</v>
      </c>
      <c r="C14" s="2862"/>
      <c r="D14" s="538">
        <v>100</v>
      </c>
      <c r="E14" s="1370"/>
      <c r="F14" s="255">
        <f>SUMIF(84:84,E14,85:85)-SUMIF(84:84,C14,85:85)+100</f>
        <v>100</v>
      </c>
      <c r="G14" s="530"/>
      <c r="H14" s="255">
        <f>SUMIF(84:84,G14,85:85)-SUMIF(84:84,C14,85:85)+100</f>
        <v>100</v>
      </c>
      <c r="I14" s="529"/>
      <c r="J14" s="255">
        <f>SUMIF(84:84,I14,85:85)-SUMIF(84:84,C14,85:85)+100</f>
        <v>100</v>
      </c>
      <c r="K14" s="531"/>
      <c r="L14" s="2118"/>
      <c r="M14" s="2115"/>
      <c r="N14" s="2115"/>
      <c r="O14" s="2120"/>
      <c r="P14" s="3375"/>
      <c r="Q14" s="1147" t="str">
        <f t="shared" si="6"/>
        <v>配建</v>
      </c>
      <c r="R14" s="1554" t="s">
        <v>8</v>
      </c>
      <c r="S14" s="1555">
        <f t="shared" si="0"/>
        <v>100</v>
      </c>
      <c r="T14" s="1554" t="s">
        <v>8</v>
      </c>
      <c r="U14" s="1555">
        <f t="shared" si="1"/>
        <v>100</v>
      </c>
      <c r="V14" s="1554" t="s">
        <v>8</v>
      </c>
      <c r="W14" s="1555">
        <f t="shared" si="2"/>
        <v>100</v>
      </c>
      <c r="X14" s="1556"/>
      <c r="Y14" s="3321"/>
      <c r="Z14" s="1146" t="str">
        <f t="shared" si="7"/>
        <v>配建</v>
      </c>
      <c r="AA14" s="1557">
        <f>D14/F14</f>
        <v>1</v>
      </c>
      <c r="AB14" s="1557">
        <f>D14/H14</f>
        <v>1</v>
      </c>
      <c r="AC14" s="1557">
        <f>D14/J14</f>
        <v>1</v>
      </c>
    </row>
    <row r="15" spans="1:30" ht="21">
      <c r="A15" s="2870"/>
      <c r="B15" s="2876">
        <v>111</v>
      </c>
      <c r="C15" s="912"/>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375"/>
      <c r="Q15" s="1147">
        <f t="shared" si="6"/>
        <v>111</v>
      </c>
      <c r="R15" s="1554" t="s">
        <v>8</v>
      </c>
      <c r="S15" s="1555">
        <f t="shared" si="0"/>
        <v>100</v>
      </c>
      <c r="T15" s="1554" t="s">
        <v>8</v>
      </c>
      <c r="U15" s="1555">
        <f t="shared" si="1"/>
        <v>100</v>
      </c>
      <c r="V15" s="1554" t="s">
        <v>8</v>
      </c>
      <c r="W15" s="1555">
        <f t="shared" si="2"/>
        <v>100</v>
      </c>
      <c r="X15" s="1556"/>
      <c r="Y15" s="3321"/>
      <c r="Z15" s="1146">
        <f t="shared" si="7"/>
        <v>111</v>
      </c>
      <c r="AA15" s="1557">
        <f>D15/F15</f>
        <v>1</v>
      </c>
      <c r="AB15" s="1557">
        <f>D15/H15</f>
        <v>1</v>
      </c>
      <c r="AC15" s="1557">
        <f>D15/J15</f>
        <v>1</v>
      </c>
    </row>
    <row r="16" spans="1:30" ht="21.6"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375"/>
      <c r="Q16" s="1147">
        <f t="shared" si="6"/>
        <v>111</v>
      </c>
      <c r="R16" s="1554" t="s">
        <v>8</v>
      </c>
      <c r="S16" s="1555">
        <f t="shared" si="0"/>
        <v>100</v>
      </c>
      <c r="T16" s="1554" t="s">
        <v>8</v>
      </c>
      <c r="U16" s="1555">
        <f t="shared" si="1"/>
        <v>100</v>
      </c>
      <c r="V16" s="1554" t="s">
        <v>8</v>
      </c>
      <c r="W16" s="1555">
        <f t="shared" si="2"/>
        <v>100</v>
      </c>
      <c r="X16" s="1556"/>
      <c r="Y16" s="3321"/>
      <c r="Z16" s="1146">
        <f t="shared" si="7"/>
        <v>111</v>
      </c>
      <c r="AA16" s="1557">
        <f>D16/F16</f>
        <v>1</v>
      </c>
      <c r="AB16" s="1557">
        <f>D16/H16</f>
        <v>1</v>
      </c>
      <c r="AC16" s="1557">
        <f>D16/J16</f>
        <v>1</v>
      </c>
    </row>
    <row r="17" spans="1:29" ht="21">
      <c r="A17" s="2863" t="s">
        <v>2750</v>
      </c>
      <c r="B17" s="578" t="s">
        <v>295</v>
      </c>
      <c r="C17" s="548" t="str">
        <f>估价对象房地状况!C15</f>
        <v>较好</v>
      </c>
      <c r="D17" s="551">
        <v>100</v>
      </c>
      <c r="E17" s="552"/>
      <c r="F17" s="549">
        <f>SUMIF(90:90,E18,91:91)-SUMIF(90:90,C18,91:91)+100</f>
        <v>100</v>
      </c>
      <c r="G17" s="550"/>
      <c r="H17" s="549">
        <f>SUMIF(90:90,G18,91:91)-SUMIF(90:90,C18,91:91)+100</f>
        <v>100</v>
      </c>
      <c r="I17" s="552"/>
      <c r="J17" s="549">
        <f>SUMIF(90:90,I18,91:91)-SUMIF(90:90,C18,91:91)+100</f>
        <v>100</v>
      </c>
      <c r="K17" s="535">
        <v>2</v>
      </c>
      <c r="L17" s="2125"/>
      <c r="M17" s="2115"/>
      <c r="N17" s="2115"/>
      <c r="O17" s="2124"/>
      <c r="P17" s="3409" t="s">
        <v>540</v>
      </c>
      <c r="Q17" s="1558" t="str">
        <f t="shared" si="6"/>
        <v>居住社区成熟度</v>
      </c>
      <c r="R17" s="1559" t="s">
        <v>8</v>
      </c>
      <c r="S17" s="1560">
        <f t="shared" si="0"/>
        <v>100</v>
      </c>
      <c r="T17" s="1559" t="s">
        <v>8</v>
      </c>
      <c r="U17" s="1560">
        <f t="shared" si="1"/>
        <v>100</v>
      </c>
      <c r="V17" s="1559" t="s">
        <v>8</v>
      </c>
      <c r="W17" s="1560">
        <f t="shared" si="2"/>
        <v>100</v>
      </c>
      <c r="X17" s="1553"/>
      <c r="Y17" s="3409" t="s">
        <v>540</v>
      </c>
      <c r="Z17" s="1561" t="str">
        <f t="shared" si="7"/>
        <v>居住社区成熟度</v>
      </c>
      <c r="AA17" s="1562">
        <f t="shared" si="3"/>
        <v>1</v>
      </c>
      <c r="AB17" s="1562">
        <f t="shared" si="4"/>
        <v>1</v>
      </c>
      <c r="AC17" s="1562">
        <f t="shared" si="5"/>
        <v>1</v>
      </c>
    </row>
    <row r="18" spans="1:29" ht="21">
      <c r="A18" s="532"/>
      <c r="B18" s="553"/>
      <c r="C18" s="554" t="s">
        <v>3134</v>
      </c>
      <c r="D18" s="557"/>
      <c r="E18" s="554" t="s">
        <v>3134</v>
      </c>
      <c r="F18" s="555"/>
      <c r="G18" s="554" t="s">
        <v>3134</v>
      </c>
      <c r="H18" s="559"/>
      <c r="I18" s="554" t="s">
        <v>3134</v>
      </c>
      <c r="J18" s="555"/>
      <c r="K18" s="531"/>
      <c r="L18" s="2125"/>
      <c r="M18" s="2115"/>
      <c r="N18" s="2115"/>
      <c r="O18" s="2124"/>
      <c r="P18" s="3410"/>
      <c r="Q18" s="1558"/>
      <c r="R18" s="1559"/>
      <c r="S18" s="1560"/>
      <c r="T18" s="1559"/>
      <c r="U18" s="1560"/>
      <c r="V18" s="1559"/>
      <c r="W18" s="1560"/>
      <c r="X18" s="1553"/>
      <c r="Y18" s="3410"/>
      <c r="Z18" s="1561"/>
      <c r="AA18" s="1562">
        <v>1</v>
      </c>
      <c r="AB18" s="1562">
        <v>1</v>
      </c>
      <c r="AC18" s="1562">
        <v>1</v>
      </c>
    </row>
    <row r="19" spans="1:29" ht="21">
      <c r="A19" s="532"/>
      <c r="B19" s="560" t="s">
        <v>541</v>
      </c>
      <c r="C19" s="561" t="str">
        <f>估价对象房地状况!C16</f>
        <v>较好</v>
      </c>
      <c r="D19" s="563">
        <v>100</v>
      </c>
      <c r="E19" s="564"/>
      <c r="F19" s="559">
        <f>SUMIF(92:92,E20,93:93)-SUMIF(92:92,C20,93:93)+100</f>
        <v>100</v>
      </c>
      <c r="G19" s="562"/>
      <c r="H19" s="565">
        <f>SUMIF(92:92,G20,93:93)-SUMIF(92:92,C20,93:93)+100</f>
        <v>100</v>
      </c>
      <c r="I19" s="564"/>
      <c r="J19" s="565">
        <f>SUMIF(92:92,I20,93:93)-SUMIF(92:92,C20,93:93)+100</f>
        <v>100</v>
      </c>
      <c r="K19" s="535"/>
      <c r="L19" s="2125"/>
      <c r="M19" s="2115"/>
      <c r="N19" s="2115"/>
      <c r="O19" s="2124"/>
      <c r="P19" s="3410"/>
      <c r="Q19" s="1558" t="str">
        <f>B19</f>
        <v>商业繁华度</v>
      </c>
      <c r="R19" s="1559" t="s">
        <v>8</v>
      </c>
      <c r="S19" s="1560">
        <f>F19</f>
        <v>100</v>
      </c>
      <c r="T19" s="1559" t="s">
        <v>8</v>
      </c>
      <c r="U19" s="1560">
        <f>H19</f>
        <v>100</v>
      </c>
      <c r="V19" s="1559" t="s">
        <v>8</v>
      </c>
      <c r="W19" s="1560">
        <f>J19</f>
        <v>100</v>
      </c>
      <c r="X19" s="1553"/>
      <c r="Y19" s="3410"/>
      <c r="Z19" s="1561" t="str">
        <f>Q19</f>
        <v>商业繁华度</v>
      </c>
      <c r="AA19" s="1562">
        <f t="shared" si="3"/>
        <v>1</v>
      </c>
      <c r="AB19" s="1562">
        <f t="shared" si="4"/>
        <v>1</v>
      </c>
      <c r="AC19" s="1562">
        <f t="shared" si="5"/>
        <v>1</v>
      </c>
    </row>
    <row r="20" spans="1:29" ht="21">
      <c r="A20" s="532"/>
      <c r="B20" s="566"/>
      <c r="C20" s="567"/>
      <c r="D20" s="563"/>
      <c r="E20" s="569"/>
      <c r="F20" s="559"/>
      <c r="G20" s="568"/>
      <c r="H20" s="555"/>
      <c r="I20" s="569"/>
      <c r="J20" s="555"/>
      <c r="K20" s="531"/>
      <c r="L20" s="2125"/>
      <c r="M20" s="2115"/>
      <c r="N20" s="2115"/>
      <c r="O20" s="2124"/>
      <c r="P20" s="3410"/>
      <c r="Q20" s="1558"/>
      <c r="R20" s="1559"/>
      <c r="S20" s="1560"/>
      <c r="T20" s="1559"/>
      <c r="U20" s="1560"/>
      <c r="V20" s="1559"/>
      <c r="W20" s="1560"/>
      <c r="X20" s="1553"/>
      <c r="Y20" s="3410"/>
      <c r="Z20" s="1561"/>
      <c r="AA20" s="1562">
        <v>1</v>
      </c>
      <c r="AB20" s="1562">
        <v>1</v>
      </c>
      <c r="AC20" s="1562">
        <v>1</v>
      </c>
    </row>
    <row r="21" spans="1:29" ht="2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5"/>
      <c r="M21" s="2115"/>
      <c r="N21" s="2115"/>
      <c r="O21" s="2124"/>
      <c r="P21" s="3410"/>
      <c r="Q21" s="1558" t="str">
        <f>B21</f>
        <v>办公集聚程度</v>
      </c>
      <c r="R21" s="1559" t="s">
        <v>8</v>
      </c>
      <c r="S21" s="1560">
        <f>F21</f>
        <v>100</v>
      </c>
      <c r="T21" s="1559" t="s">
        <v>8</v>
      </c>
      <c r="U21" s="1560">
        <f>H21</f>
        <v>100</v>
      </c>
      <c r="V21" s="1559" t="s">
        <v>8</v>
      </c>
      <c r="W21" s="1560">
        <f>J21</f>
        <v>100</v>
      </c>
      <c r="X21" s="1553"/>
      <c r="Y21" s="3410"/>
      <c r="Z21" s="1561" t="str">
        <f>Q21</f>
        <v>办公集聚程度</v>
      </c>
      <c r="AA21" s="1562">
        <f t="shared" si="3"/>
        <v>1</v>
      </c>
      <c r="AB21" s="1562">
        <f t="shared" si="4"/>
        <v>1</v>
      </c>
      <c r="AC21" s="1562">
        <f t="shared" si="5"/>
        <v>1</v>
      </c>
    </row>
    <row r="22" spans="1:29" ht="21">
      <c r="A22" s="532"/>
      <c r="B22" s="566"/>
      <c r="C22" s="554"/>
      <c r="D22" s="557"/>
      <c r="E22" s="558"/>
      <c r="F22" s="555"/>
      <c r="G22" s="556"/>
      <c r="H22" s="555"/>
      <c r="I22" s="558"/>
      <c r="J22" s="555"/>
      <c r="K22" s="531"/>
      <c r="L22" s="2125"/>
      <c r="M22" s="2115"/>
      <c r="N22" s="2115"/>
      <c r="O22" s="2124"/>
      <c r="P22" s="3410"/>
      <c r="Q22" s="1558"/>
      <c r="R22" s="1559"/>
      <c r="S22" s="1560"/>
      <c r="T22" s="1559"/>
      <c r="U22" s="1560"/>
      <c r="V22" s="1559"/>
      <c r="W22" s="1560"/>
      <c r="X22" s="1553"/>
      <c r="Y22" s="3410"/>
      <c r="Z22" s="1561"/>
      <c r="AA22" s="1562">
        <v>1</v>
      </c>
      <c r="AB22" s="1562">
        <v>1</v>
      </c>
      <c r="AC22" s="1562">
        <v>1</v>
      </c>
    </row>
    <row r="23" spans="1:29" ht="21">
      <c r="A23" s="532"/>
      <c r="B23" s="560" t="s">
        <v>543</v>
      </c>
      <c r="C23" s="573" t="str">
        <f>估价对象房地状况!C18</f>
        <v>较好</v>
      </c>
      <c r="D23" s="563">
        <v>100</v>
      </c>
      <c r="E23" s="564"/>
      <c r="F23" s="565">
        <f>SUMIF(96:96,E24,97:97)-SUMIF(96:96,C24,97:97)+100</f>
        <v>100</v>
      </c>
      <c r="G23" s="562"/>
      <c r="H23" s="559">
        <f>SUMIF(96:96,G24,97:97)-SUMIF(96:96,C24,97:97)+100</f>
        <v>100</v>
      </c>
      <c r="I23" s="564"/>
      <c r="J23" s="559">
        <f>SUMIF(96:96,I24,97:97)-SUMIF(96:96,C24,97:97)+100</f>
        <v>100</v>
      </c>
      <c r="K23" s="535">
        <v>2</v>
      </c>
      <c r="L23" s="2125"/>
      <c r="M23" s="2115"/>
      <c r="N23" s="2115"/>
      <c r="O23" s="2124"/>
      <c r="P23" s="3410"/>
      <c r="Q23" s="1558" t="str">
        <f>B23</f>
        <v>交通便捷度</v>
      </c>
      <c r="R23" s="1559" t="s">
        <v>8</v>
      </c>
      <c r="S23" s="1560">
        <f>F23</f>
        <v>100</v>
      </c>
      <c r="T23" s="1559" t="s">
        <v>8</v>
      </c>
      <c r="U23" s="1560">
        <f>H23</f>
        <v>100</v>
      </c>
      <c r="V23" s="1559" t="s">
        <v>8</v>
      </c>
      <c r="W23" s="1560">
        <f>J23</f>
        <v>100</v>
      </c>
      <c r="X23" s="1553"/>
      <c r="Y23" s="3410"/>
      <c r="Z23" s="1561" t="str">
        <f>Q23</f>
        <v>交通便捷度</v>
      </c>
      <c r="AA23" s="1562">
        <f t="shared" si="3"/>
        <v>1</v>
      </c>
      <c r="AB23" s="1562">
        <f t="shared" si="4"/>
        <v>1</v>
      </c>
      <c r="AC23" s="1562">
        <f t="shared" si="5"/>
        <v>1</v>
      </c>
    </row>
    <row r="24" spans="1:29" ht="21">
      <c r="A24" s="532"/>
      <c r="B24" s="578"/>
      <c r="C24" s="554" t="s">
        <v>3134</v>
      </c>
      <c r="D24" s="557"/>
      <c r="E24" s="554" t="s">
        <v>3134</v>
      </c>
      <c r="F24" s="555"/>
      <c r="G24" s="554" t="s">
        <v>3134</v>
      </c>
      <c r="H24" s="555"/>
      <c r="I24" s="554" t="s">
        <v>3134</v>
      </c>
      <c r="J24" s="555"/>
      <c r="K24" s="531"/>
      <c r="L24" s="2125"/>
      <c r="M24" s="2115"/>
      <c r="N24" s="2115"/>
      <c r="O24" s="2124"/>
      <c r="P24" s="3410"/>
      <c r="Q24" s="1558"/>
      <c r="R24" s="1559"/>
      <c r="S24" s="1560"/>
      <c r="T24" s="1559"/>
      <c r="U24" s="1560"/>
      <c r="V24" s="1559"/>
      <c r="W24" s="1560"/>
      <c r="X24" s="1553"/>
      <c r="Y24" s="3410"/>
      <c r="Z24" s="1561"/>
      <c r="AA24" s="1562">
        <v>1</v>
      </c>
      <c r="AB24" s="1562">
        <v>1</v>
      </c>
      <c r="AC24" s="1562">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5"/>
      <c r="M25" s="2115"/>
      <c r="N25" s="2115"/>
      <c r="O25" s="2124"/>
      <c r="P25" s="3410"/>
      <c r="Q25" s="1558" t="str">
        <f t="shared" ref="Q25:Q39" si="8">B25</f>
        <v>区域土地利用方向</v>
      </c>
      <c r="R25" s="1559" t="s">
        <v>8</v>
      </c>
      <c r="S25" s="1560">
        <f>F25</f>
        <v>100</v>
      </c>
      <c r="T25" s="1559" t="s">
        <v>8</v>
      </c>
      <c r="U25" s="1560">
        <f>H25</f>
        <v>100</v>
      </c>
      <c r="V25" s="1559" t="s">
        <v>8</v>
      </c>
      <c r="W25" s="1560">
        <f>J25</f>
        <v>100</v>
      </c>
      <c r="X25" s="1553"/>
      <c r="Y25" s="3410"/>
      <c r="Z25" s="1561" t="str">
        <f>Q25</f>
        <v>区域土地利用方向</v>
      </c>
      <c r="AA25" s="1562">
        <f t="shared" si="3"/>
        <v>1</v>
      </c>
      <c r="AB25" s="1562">
        <f t="shared" si="4"/>
        <v>1</v>
      </c>
      <c r="AC25" s="1562">
        <f t="shared" si="5"/>
        <v>1</v>
      </c>
    </row>
    <row r="26" spans="1:29" ht="21">
      <c r="A26" s="515"/>
      <c r="B26" s="1007"/>
      <c r="C26" s="554" t="s">
        <v>3134</v>
      </c>
      <c r="D26" s="557"/>
      <c r="E26" s="554" t="s">
        <v>3134</v>
      </c>
      <c r="F26" s="555"/>
      <c r="G26" s="554" t="s">
        <v>3134</v>
      </c>
      <c r="H26" s="555"/>
      <c r="I26" s="554" t="s">
        <v>3134</v>
      </c>
      <c r="J26" s="555"/>
      <c r="K26" s="531"/>
      <c r="L26" s="2125"/>
      <c r="M26" s="2115"/>
      <c r="N26" s="2115"/>
      <c r="O26" s="2124"/>
      <c r="P26" s="3410"/>
      <c r="Q26" s="1558"/>
      <c r="R26" s="1559"/>
      <c r="S26" s="1560"/>
      <c r="T26" s="1559"/>
      <c r="U26" s="1560"/>
      <c r="V26" s="1559"/>
      <c r="W26" s="1560"/>
      <c r="X26" s="1553"/>
      <c r="Y26" s="3410"/>
      <c r="Z26" s="1561"/>
      <c r="AA26" s="1562"/>
      <c r="AB26" s="1562"/>
      <c r="AC26" s="1562"/>
    </row>
    <row r="27" spans="1:29" ht="28.8">
      <c r="A27" s="515"/>
      <c r="B27" s="578" t="s">
        <v>545</v>
      </c>
      <c r="C27" s="561" t="str">
        <f>估价对象房地状况!C20</f>
        <v>较好</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5"/>
      <c r="M27" s="2115"/>
      <c r="N27" s="2115"/>
      <c r="O27" s="2124"/>
      <c r="P27" s="3410"/>
      <c r="Q27" s="1558" t="str">
        <f t="shared" si="8"/>
        <v>自然及人文环境状况</v>
      </c>
      <c r="R27" s="1559" t="s">
        <v>8</v>
      </c>
      <c r="S27" s="1560">
        <f>F27</f>
        <v>100</v>
      </c>
      <c r="T27" s="1559" t="s">
        <v>8</v>
      </c>
      <c r="U27" s="1560">
        <f>H27</f>
        <v>100</v>
      </c>
      <c r="V27" s="1559" t="s">
        <v>8</v>
      </c>
      <c r="W27" s="1560">
        <f>J27</f>
        <v>100</v>
      </c>
      <c r="X27" s="1553"/>
      <c r="Y27" s="3410"/>
      <c r="Z27" s="1561" t="str">
        <f>Q27</f>
        <v>自然及人文环境状况</v>
      </c>
      <c r="AA27" s="1562">
        <f t="shared" si="3"/>
        <v>1</v>
      </c>
      <c r="AB27" s="1562">
        <f t="shared" si="4"/>
        <v>1</v>
      </c>
      <c r="AC27" s="1562">
        <f t="shared" si="5"/>
        <v>1</v>
      </c>
    </row>
    <row r="28" spans="1:29" ht="21">
      <c r="A28" s="515"/>
      <c r="B28" s="566"/>
      <c r="C28" s="554" t="s">
        <v>3134</v>
      </c>
      <c r="D28" s="557"/>
      <c r="E28" s="554" t="s">
        <v>3134</v>
      </c>
      <c r="F28" s="555"/>
      <c r="G28" s="554" t="s">
        <v>3134</v>
      </c>
      <c r="H28" s="555"/>
      <c r="I28" s="554" t="s">
        <v>3134</v>
      </c>
      <c r="J28" s="555"/>
      <c r="K28" s="531"/>
      <c r="L28" s="2125"/>
      <c r="M28" s="2115"/>
      <c r="N28" s="2115"/>
      <c r="O28" s="2124"/>
      <c r="P28" s="3410"/>
      <c r="Q28" s="1558"/>
      <c r="R28" s="1559"/>
      <c r="S28" s="1560"/>
      <c r="T28" s="1559"/>
      <c r="U28" s="1560"/>
      <c r="V28" s="1559"/>
      <c r="W28" s="1560"/>
      <c r="X28" s="1553"/>
      <c r="Y28" s="3410"/>
      <c r="Z28" s="1561"/>
      <c r="AA28" s="1562">
        <v>1</v>
      </c>
      <c r="AB28" s="1562">
        <v>1</v>
      </c>
      <c r="AC28" s="1562">
        <v>1</v>
      </c>
    </row>
    <row r="29" spans="1:29" s="1216" customFormat="1" ht="21">
      <c r="A29" s="577"/>
      <c r="B29" s="2553" t="s">
        <v>2545</v>
      </c>
      <c r="C29" s="573" t="str">
        <f>估价对象房地状况!C21</f>
        <v>较好</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18"/>
      <c r="M29" s="2115"/>
      <c r="N29" s="2115"/>
      <c r="O29" s="2120"/>
      <c r="P29" s="3410"/>
      <c r="Q29" s="1147" t="str">
        <f t="shared" si="8"/>
        <v>公共配套设施</v>
      </c>
      <c r="R29" s="1554" t="s">
        <v>8</v>
      </c>
      <c r="S29" s="1555">
        <f>F29</f>
        <v>100</v>
      </c>
      <c r="T29" s="1554" t="s">
        <v>8</v>
      </c>
      <c r="U29" s="1555">
        <f>H29</f>
        <v>100</v>
      </c>
      <c r="V29" s="1554" t="s">
        <v>8</v>
      </c>
      <c r="W29" s="1555">
        <f>J29</f>
        <v>100</v>
      </c>
      <c r="X29" s="1556"/>
      <c r="Y29" s="3410"/>
      <c r="Z29" s="1146" t="str">
        <f>Q29</f>
        <v>公共配套设施</v>
      </c>
      <c r="AA29" s="1562">
        <f>D29/F29</f>
        <v>1</v>
      </c>
      <c r="AB29" s="1562">
        <f>D29/H29</f>
        <v>1</v>
      </c>
      <c r="AC29" s="1562">
        <f>D29/J29</f>
        <v>1</v>
      </c>
    </row>
    <row r="30" spans="1:29" s="1216" customFormat="1" ht="21">
      <c r="A30" s="577"/>
      <c r="B30" s="566"/>
      <c r="C30" s="579" t="s">
        <v>3134</v>
      </c>
      <c r="D30" s="557"/>
      <c r="E30" s="579" t="s">
        <v>3134</v>
      </c>
      <c r="F30" s="555"/>
      <c r="G30" s="579" t="s">
        <v>3134</v>
      </c>
      <c r="H30" s="555"/>
      <c r="I30" s="579" t="s">
        <v>3134</v>
      </c>
      <c r="J30" s="555"/>
      <c r="K30" s="531"/>
      <c r="L30" s="2118"/>
      <c r="M30" s="2115"/>
      <c r="N30" s="2115"/>
      <c r="O30" s="2120"/>
      <c r="P30" s="3410"/>
      <c r="Q30" s="1147"/>
      <c r="R30" s="1554"/>
      <c r="S30" s="1555"/>
      <c r="T30" s="1554"/>
      <c r="U30" s="1555"/>
      <c r="V30" s="1554"/>
      <c r="W30" s="1555"/>
      <c r="X30" s="1556"/>
      <c r="Y30" s="3410"/>
      <c r="Z30" s="1146"/>
      <c r="AA30" s="1562">
        <v>1</v>
      </c>
      <c r="AB30" s="1562">
        <v>1</v>
      </c>
      <c r="AC30" s="1562">
        <v>1</v>
      </c>
    </row>
    <row r="31" spans="1:29" s="1216" customFormat="1" ht="21">
      <c r="A31" s="577"/>
      <c r="B31" s="2553" t="s">
        <v>2546</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8"/>
      <c r="M31" s="2115"/>
      <c r="N31" s="2115"/>
      <c r="O31" s="2120"/>
      <c r="P31" s="3410"/>
      <c r="Q31" s="2540" t="str">
        <f t="shared" ref="Q31" si="9">B31</f>
        <v>基础设施水平</v>
      </c>
      <c r="R31" s="1554" t="s">
        <v>8</v>
      </c>
      <c r="S31" s="1555">
        <f>F31</f>
        <v>100</v>
      </c>
      <c r="T31" s="1554" t="s">
        <v>8</v>
      </c>
      <c r="U31" s="1555">
        <f>H31</f>
        <v>100</v>
      </c>
      <c r="V31" s="1554" t="s">
        <v>8</v>
      </c>
      <c r="W31" s="1555">
        <f>J31</f>
        <v>100</v>
      </c>
      <c r="X31" s="1556"/>
      <c r="Y31" s="3410"/>
      <c r="Z31" s="2537" t="str">
        <f>Q31</f>
        <v>基础设施水平</v>
      </c>
      <c r="AA31" s="1562">
        <f>D31/F31</f>
        <v>1</v>
      </c>
      <c r="AB31" s="1562">
        <f>D31/H31</f>
        <v>1</v>
      </c>
      <c r="AC31" s="1562">
        <f>D31/J31</f>
        <v>1</v>
      </c>
    </row>
    <row r="32" spans="1:29" s="1216" customFormat="1" ht="21">
      <c r="A32" s="577"/>
      <c r="B32" s="566"/>
      <c r="C32" s="579" t="s">
        <v>3136</v>
      </c>
      <c r="D32" s="557"/>
      <c r="E32" s="579" t="s">
        <v>3136</v>
      </c>
      <c r="F32" s="555"/>
      <c r="G32" s="579" t="s">
        <v>3136</v>
      </c>
      <c r="H32" s="555"/>
      <c r="I32" s="579" t="s">
        <v>3136</v>
      </c>
      <c r="J32" s="555"/>
      <c r="K32" s="531"/>
      <c r="L32" s="2118"/>
      <c r="M32" s="2115"/>
      <c r="N32" s="2115"/>
      <c r="O32" s="2120"/>
      <c r="P32" s="3410"/>
      <c r="Q32" s="2540"/>
      <c r="R32" s="1554"/>
      <c r="S32" s="1555"/>
      <c r="T32" s="1554"/>
      <c r="U32" s="1555"/>
      <c r="V32" s="1554"/>
      <c r="W32" s="1555"/>
      <c r="X32" s="1556"/>
      <c r="Y32" s="3410"/>
      <c r="Z32" s="2537"/>
      <c r="AA32" s="1562">
        <v>1</v>
      </c>
      <c r="AB32" s="1562">
        <v>1</v>
      </c>
      <c r="AC32" s="1562">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5"/>
      <c r="M33" s="2115"/>
      <c r="N33" s="2115"/>
      <c r="O33" s="2124"/>
      <c r="P33" s="3410"/>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10"/>
      <c r="Z33" s="1561" t="str">
        <f t="shared" ref="Z33:Z47" si="13">Q33</f>
        <v>临街状况</v>
      </c>
      <c r="AA33" s="1562">
        <f t="shared" si="3"/>
        <v>1</v>
      </c>
      <c r="AB33" s="1562">
        <f t="shared" si="4"/>
        <v>1</v>
      </c>
      <c r="AC33" s="1562">
        <f t="shared" si="5"/>
        <v>1</v>
      </c>
    </row>
    <row r="34" spans="1:29" ht="28.8">
      <c r="A34" s="532"/>
      <c r="B34" s="578" t="s">
        <v>548</v>
      </c>
      <c r="C34" s="3191" t="s">
        <v>3143</v>
      </c>
      <c r="D34" s="563">
        <v>100</v>
      </c>
      <c r="E34" s="3191" t="s">
        <v>3143</v>
      </c>
      <c r="F34" s="559">
        <f>SUMIF(108:108,E35,109:109)-SUMIF(108:108,C35,109:109)+100</f>
        <v>100</v>
      </c>
      <c r="G34" s="3191" t="s">
        <v>3144</v>
      </c>
      <c r="H34" s="559">
        <f>SUMIF(108:108,G35,109:109)-SUMIF(108:108,C35,109:109)+100</f>
        <v>100</v>
      </c>
      <c r="I34" s="3191" t="s">
        <v>3143</v>
      </c>
      <c r="J34" s="559">
        <f>SUMIF(108:108,I35,109:109)-SUMIF(108:108,C35,109:109)+100</f>
        <v>100</v>
      </c>
      <c r="K34" s="535">
        <v>2</v>
      </c>
      <c r="L34" s="2125"/>
      <c r="M34" s="2115"/>
      <c r="N34" s="2115"/>
      <c r="O34" s="2124"/>
      <c r="P34" s="3410"/>
      <c r="Q34" s="1558" t="str">
        <f t="shared" si="8"/>
        <v>毗邻道路的类型与等级</v>
      </c>
      <c r="R34" s="1559" t="s">
        <v>8</v>
      </c>
      <c r="S34" s="1560">
        <f t="shared" si="10"/>
        <v>100</v>
      </c>
      <c r="T34" s="1559" t="s">
        <v>8</v>
      </c>
      <c r="U34" s="1560">
        <f t="shared" si="11"/>
        <v>100</v>
      </c>
      <c r="V34" s="1559" t="s">
        <v>8</v>
      </c>
      <c r="W34" s="1560">
        <f t="shared" si="12"/>
        <v>100</v>
      </c>
      <c r="X34" s="1553"/>
      <c r="Y34" s="3410"/>
      <c r="Z34" s="1561" t="str">
        <f t="shared" si="13"/>
        <v>毗邻道路的类型与等级</v>
      </c>
      <c r="AA34" s="1562">
        <f t="shared" si="3"/>
        <v>1</v>
      </c>
      <c r="AB34" s="1562">
        <f t="shared" si="4"/>
        <v>1</v>
      </c>
      <c r="AC34" s="1562">
        <f t="shared" si="5"/>
        <v>1</v>
      </c>
    </row>
    <row r="35" spans="1:29" ht="21">
      <c r="A35" s="532"/>
      <c r="B35" s="566"/>
      <c r="C35" s="554" t="s">
        <v>3120</v>
      </c>
      <c r="D35" s="557"/>
      <c r="E35" s="554" t="s">
        <v>3120</v>
      </c>
      <c r="F35" s="555"/>
      <c r="G35" s="554" t="s">
        <v>3120</v>
      </c>
      <c r="H35" s="555"/>
      <c r="I35" s="554" t="s">
        <v>3120</v>
      </c>
      <c r="J35" s="555"/>
      <c r="K35" s="581"/>
      <c r="L35" s="2125"/>
      <c r="M35" s="2115"/>
      <c r="N35" s="2115"/>
      <c r="O35" s="2124"/>
      <c r="P35" s="3410"/>
      <c r="Q35" s="1558"/>
      <c r="R35" s="1559"/>
      <c r="S35" s="1560"/>
      <c r="T35" s="1559"/>
      <c r="U35" s="1560"/>
      <c r="V35" s="1559"/>
      <c r="W35" s="1560"/>
      <c r="X35" s="1553"/>
      <c r="Y35" s="3410"/>
      <c r="Z35" s="1561"/>
      <c r="AA35" s="1562">
        <v>1</v>
      </c>
      <c r="AB35" s="1562">
        <v>1</v>
      </c>
      <c r="AC35" s="1562">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5"/>
      <c r="M36" s="2115"/>
      <c r="N36" s="2115"/>
      <c r="O36" s="2124"/>
      <c r="P36" s="3410"/>
      <c r="Q36" s="1558" t="str">
        <f t="shared" si="8"/>
        <v>土地级别</v>
      </c>
      <c r="R36" s="1559" t="s">
        <v>8</v>
      </c>
      <c r="S36" s="1560">
        <f t="shared" si="10"/>
        <v>100</v>
      </c>
      <c r="T36" s="1559" t="s">
        <v>8</v>
      </c>
      <c r="U36" s="1560">
        <f t="shared" si="11"/>
        <v>100</v>
      </c>
      <c r="V36" s="1559" t="s">
        <v>8</v>
      </c>
      <c r="W36" s="1560">
        <f t="shared" si="12"/>
        <v>100</v>
      </c>
      <c r="X36" s="1553"/>
      <c r="Y36" s="3410"/>
      <c r="Z36" s="1561" t="str">
        <f t="shared" si="13"/>
        <v>土地级别</v>
      </c>
      <c r="AA36" s="1562">
        <f t="shared" si="3"/>
        <v>1</v>
      </c>
      <c r="AB36" s="1562">
        <f t="shared" si="4"/>
        <v>1</v>
      </c>
      <c r="AC36" s="1562">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410"/>
      <c r="Q37" s="1558">
        <f t="shared" si="8"/>
        <v>111</v>
      </c>
      <c r="R37" s="1559" t="s">
        <v>8</v>
      </c>
      <c r="S37" s="1560">
        <f t="shared" si="10"/>
        <v>100</v>
      </c>
      <c r="T37" s="1559" t="s">
        <v>8</v>
      </c>
      <c r="U37" s="1560">
        <f t="shared" si="11"/>
        <v>100</v>
      </c>
      <c r="V37" s="1559" t="s">
        <v>8</v>
      </c>
      <c r="W37" s="1560">
        <f t="shared" si="12"/>
        <v>100</v>
      </c>
      <c r="X37" s="1553"/>
      <c r="Y37" s="3410"/>
      <c r="Z37" s="1561">
        <f t="shared" si="13"/>
        <v>111</v>
      </c>
      <c r="AA37" s="1562">
        <f t="shared" si="3"/>
        <v>1</v>
      </c>
      <c r="AB37" s="1562">
        <f t="shared" si="4"/>
        <v>1</v>
      </c>
      <c r="AC37" s="1562">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411" t="s">
        <v>550</v>
      </c>
      <c r="Q38" s="1558">
        <f t="shared" si="8"/>
        <v>111</v>
      </c>
      <c r="R38" s="1559" t="s">
        <v>8</v>
      </c>
      <c r="S38" s="1560">
        <f t="shared" si="10"/>
        <v>100</v>
      </c>
      <c r="T38" s="1559" t="s">
        <v>8</v>
      </c>
      <c r="U38" s="1560">
        <f t="shared" si="11"/>
        <v>100</v>
      </c>
      <c r="V38" s="1559" t="s">
        <v>8</v>
      </c>
      <c r="W38" s="1560">
        <f t="shared" si="12"/>
        <v>100</v>
      </c>
      <c r="X38" s="1553"/>
      <c r="Y38" s="3412" t="s">
        <v>550</v>
      </c>
      <c r="Z38" s="1561">
        <f t="shared" si="13"/>
        <v>111</v>
      </c>
      <c r="AA38" s="1562">
        <f t="shared" si="3"/>
        <v>1</v>
      </c>
      <c r="AB38" s="1562">
        <f t="shared" si="4"/>
        <v>1</v>
      </c>
      <c r="AC38" s="1562">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412"/>
      <c r="Q39" s="1558">
        <f t="shared" si="8"/>
        <v>111</v>
      </c>
      <c r="R39" s="1563" t="s">
        <v>8</v>
      </c>
      <c r="S39" s="1564">
        <f t="shared" si="10"/>
        <v>100</v>
      </c>
      <c r="T39" s="1563" t="s">
        <v>8</v>
      </c>
      <c r="U39" s="1564">
        <f t="shared" si="11"/>
        <v>100</v>
      </c>
      <c r="V39" s="1563" t="s">
        <v>8</v>
      </c>
      <c r="W39" s="1564">
        <f t="shared" si="12"/>
        <v>100</v>
      </c>
      <c r="X39" s="1565"/>
      <c r="Y39" s="3412"/>
      <c r="Z39" s="1566">
        <f t="shared" si="13"/>
        <v>111</v>
      </c>
      <c r="AA39" s="1562">
        <f t="shared" si="3"/>
        <v>1</v>
      </c>
      <c r="AB39" s="1562">
        <f t="shared" si="4"/>
        <v>1</v>
      </c>
      <c r="AC39" s="1562">
        <f t="shared" si="5"/>
        <v>1</v>
      </c>
    </row>
    <row r="40" spans="1:29" ht="21">
      <c r="A40" s="2860" t="s">
        <v>2751</v>
      </c>
      <c r="B40" s="595" t="s">
        <v>552</v>
      </c>
      <c r="C40" s="596">
        <f>'数据-基础表'!A3</f>
        <v>22322.400000000001</v>
      </c>
      <c r="D40" s="597">
        <v>100</v>
      </c>
      <c r="E40" s="596">
        <f>土地案例!D3</f>
        <v>56226.32</v>
      </c>
      <c r="F40" s="597">
        <f>LOOKUP(E40,119:119,120:120)-LOOKUP(C40,119:119,120:120)+100</f>
        <v>104</v>
      </c>
      <c r="G40" s="596">
        <f>土地案例!$D$8</f>
        <v>3795.12</v>
      </c>
      <c r="H40" s="597">
        <f>LOOKUP(G40,119:119,120:120)-LOOKUP(C40,119:119,120:120)+100</f>
        <v>96</v>
      </c>
      <c r="I40" s="598">
        <f>土地案例!$D$14</f>
        <v>26682.38</v>
      </c>
      <c r="J40" s="597">
        <f>LOOKUP(I40,119:119,120:120)-LOOKUP(C40,119:119,120:120)+100</f>
        <v>100</v>
      </c>
      <c r="K40" s="581"/>
      <c r="L40" s="2125"/>
      <c r="M40" s="2115"/>
      <c r="N40" s="2115"/>
      <c r="O40" s="2124"/>
      <c r="P40" s="3412"/>
      <c r="Q40" s="1558" t="str">
        <f>B40</f>
        <v>宗地面积</v>
      </c>
      <c r="R40" s="1559" t="s">
        <v>8</v>
      </c>
      <c r="S40" s="1560">
        <f t="shared" si="10"/>
        <v>104</v>
      </c>
      <c r="T40" s="1559" t="s">
        <v>8</v>
      </c>
      <c r="U40" s="1560">
        <f t="shared" si="11"/>
        <v>96</v>
      </c>
      <c r="V40" s="1559" t="s">
        <v>8</v>
      </c>
      <c r="W40" s="1560">
        <f t="shared" si="12"/>
        <v>100</v>
      </c>
      <c r="X40" s="1553"/>
      <c r="Y40" s="3412"/>
      <c r="Z40" s="1561" t="str">
        <f t="shared" si="13"/>
        <v>宗地面积</v>
      </c>
      <c r="AA40" s="1562">
        <f t="shared" si="3"/>
        <v>0.96153846153846156</v>
      </c>
      <c r="AB40" s="1562">
        <f t="shared" si="4"/>
        <v>1.0416666666666667</v>
      </c>
      <c r="AC40" s="1562">
        <f t="shared" si="5"/>
        <v>1</v>
      </c>
    </row>
    <row r="41" spans="1:29" ht="21">
      <c r="A41" s="594"/>
      <c r="B41" s="527" t="s">
        <v>553</v>
      </c>
      <c r="C41" s="599" t="s">
        <v>3145</v>
      </c>
      <c r="D41" s="540">
        <v>100</v>
      </c>
      <c r="E41" s="599" t="s">
        <v>3145</v>
      </c>
      <c r="F41" s="540">
        <f>SUMIF(121:121,E41,122:122)-SUMIF(121:121,C41,122:122)+100</f>
        <v>100</v>
      </c>
      <c r="G41" s="599" t="s">
        <v>3145</v>
      </c>
      <c r="H41" s="540">
        <f>SUMIF(121:121,G41,122:122)-SUMIF(121:121,C41,122:122)+100</f>
        <v>100</v>
      </c>
      <c r="I41" s="599" t="s">
        <v>3145</v>
      </c>
      <c r="J41" s="540">
        <f>SUMIF(121:121,I41,122:122)-SUMIF(121:121,C41,122:122)+100</f>
        <v>100</v>
      </c>
      <c r="K41" s="584">
        <v>2</v>
      </c>
      <c r="L41" s="2125"/>
      <c r="M41" s="2115"/>
      <c r="N41" s="2115"/>
      <c r="O41" s="2124"/>
      <c r="P41" s="3412"/>
      <c r="Q41" s="1558" t="str">
        <f t="shared" ref="Q41:Q47" si="14">B41</f>
        <v>宗地形状</v>
      </c>
      <c r="R41" s="1559" t="s">
        <v>8</v>
      </c>
      <c r="S41" s="1560">
        <f t="shared" si="10"/>
        <v>100</v>
      </c>
      <c r="T41" s="1559" t="s">
        <v>8</v>
      </c>
      <c r="U41" s="1560">
        <f t="shared" si="11"/>
        <v>100</v>
      </c>
      <c r="V41" s="1559" t="s">
        <v>8</v>
      </c>
      <c r="W41" s="1560">
        <f t="shared" si="12"/>
        <v>100</v>
      </c>
      <c r="X41" s="1553"/>
      <c r="Y41" s="3412"/>
      <c r="Z41" s="1561" t="str">
        <f t="shared" si="13"/>
        <v>宗地形状</v>
      </c>
      <c r="AA41" s="1562">
        <f t="shared" si="3"/>
        <v>1</v>
      </c>
      <c r="AB41" s="1562">
        <f t="shared" si="4"/>
        <v>1</v>
      </c>
      <c r="AC41" s="1562">
        <f t="shared" si="5"/>
        <v>1</v>
      </c>
    </row>
    <row r="42" spans="1:29" ht="21">
      <c r="A42" s="594"/>
      <c r="B42" s="527" t="s">
        <v>554</v>
      </c>
      <c r="C42" s="599" t="s">
        <v>3150</v>
      </c>
      <c r="D42" s="540">
        <v>100</v>
      </c>
      <c r="E42" s="599" t="s">
        <v>3150</v>
      </c>
      <c r="F42" s="540">
        <f>SUMIF(123:123,E42,124:124)-SUMIF(123:123,C42,124:124)+100</f>
        <v>100</v>
      </c>
      <c r="G42" s="599" t="s">
        <v>3150</v>
      </c>
      <c r="H42" s="540">
        <f>SUMIF(123:123,G42,124:124)-SUMIF(123:123,C42,124:124)+100</f>
        <v>100</v>
      </c>
      <c r="I42" s="599" t="s">
        <v>3150</v>
      </c>
      <c r="J42" s="540">
        <f>SUMIF(123:123,I42,124:124)-SUMIF(123:123,C42,124:124)+100</f>
        <v>100</v>
      </c>
      <c r="K42" s="584">
        <v>2</v>
      </c>
      <c r="L42" s="2125"/>
      <c r="M42" s="2115"/>
      <c r="N42" s="2115"/>
      <c r="O42" s="2124"/>
      <c r="P42" s="3412"/>
      <c r="Q42" s="1558" t="str">
        <f t="shared" si="14"/>
        <v>临街宽度及深度</v>
      </c>
      <c r="R42" s="1559" t="s">
        <v>8</v>
      </c>
      <c r="S42" s="1560">
        <f t="shared" si="10"/>
        <v>100</v>
      </c>
      <c r="T42" s="1559" t="s">
        <v>8</v>
      </c>
      <c r="U42" s="1560">
        <f t="shared" si="11"/>
        <v>100</v>
      </c>
      <c r="V42" s="1559" t="s">
        <v>8</v>
      </c>
      <c r="W42" s="1560">
        <f t="shared" si="12"/>
        <v>100</v>
      </c>
      <c r="X42" s="1553"/>
      <c r="Y42" s="3412"/>
      <c r="Z42" s="1561" t="str">
        <f t="shared" si="13"/>
        <v>临街宽度及深度</v>
      </c>
      <c r="AA42" s="1562">
        <f t="shared" si="3"/>
        <v>1</v>
      </c>
      <c r="AB42" s="1562">
        <f t="shared" si="4"/>
        <v>1</v>
      </c>
      <c r="AC42" s="1562">
        <f t="shared" si="5"/>
        <v>1</v>
      </c>
    </row>
    <row r="43" spans="1:29" s="1216" customFormat="1" ht="21">
      <c r="A43" s="600"/>
      <c r="B43" s="1878" t="s">
        <v>2421</v>
      </c>
      <c r="C43" s="601" t="s">
        <v>3148</v>
      </c>
      <c r="D43" s="255">
        <v>100</v>
      </c>
      <c r="E43" s="601" t="s">
        <v>3148</v>
      </c>
      <c r="F43" s="540">
        <f>SUMIF(125:125,E43,126:126)-SUMIF(125:125,C43,126:126)+100</f>
        <v>100</v>
      </c>
      <c r="G43" s="601" t="s">
        <v>3148</v>
      </c>
      <c r="H43" s="540">
        <f>SUMIF(125:125,G43,126:126)-SUMIF(125:125,C43,126:126)+100</f>
        <v>100</v>
      </c>
      <c r="I43" s="601" t="s">
        <v>3148</v>
      </c>
      <c r="J43" s="540">
        <f>SUMIF(125:125,I43,126:126)-SUMIF(125:125,C43,126:126)+100</f>
        <v>100</v>
      </c>
      <c r="K43" s="584">
        <v>2</v>
      </c>
      <c r="L43" s="2118"/>
      <c r="M43" s="2115"/>
      <c r="N43" s="2115"/>
      <c r="O43" s="2120"/>
      <c r="P43" s="3412"/>
      <c r="Q43" s="1558" t="str">
        <f t="shared" si="14"/>
        <v>宗地开发程度</v>
      </c>
      <c r="R43" s="1554" t="s">
        <v>8</v>
      </c>
      <c r="S43" s="1555">
        <f t="shared" si="10"/>
        <v>100</v>
      </c>
      <c r="T43" s="1554" t="s">
        <v>8</v>
      </c>
      <c r="U43" s="1555">
        <f t="shared" si="11"/>
        <v>100</v>
      </c>
      <c r="V43" s="1554" t="s">
        <v>8</v>
      </c>
      <c r="W43" s="1555">
        <f t="shared" si="12"/>
        <v>100</v>
      </c>
      <c r="X43" s="1556"/>
      <c r="Y43" s="3412"/>
      <c r="Z43" s="1146" t="str">
        <f t="shared" si="13"/>
        <v>宗地开发程度</v>
      </c>
      <c r="AA43" s="1557">
        <f t="shared" si="3"/>
        <v>1</v>
      </c>
      <c r="AB43" s="1557">
        <f t="shared" si="4"/>
        <v>1</v>
      </c>
      <c r="AC43" s="1557">
        <f t="shared" si="5"/>
        <v>1</v>
      </c>
    </row>
    <row r="44" spans="1:29" ht="21">
      <c r="A44" s="594"/>
      <c r="B44" s="527" t="s">
        <v>555</v>
      </c>
      <c r="C44" s="599" t="s">
        <v>3134</v>
      </c>
      <c r="D44" s="540">
        <v>100</v>
      </c>
      <c r="E44" s="599" t="s">
        <v>3134</v>
      </c>
      <c r="F44" s="540">
        <f>SUMIF(127:127,E44,128:128)-SUMIF(127:127,C44,128:128)+100</f>
        <v>100</v>
      </c>
      <c r="G44" s="599" t="s">
        <v>3134</v>
      </c>
      <c r="H44" s="540">
        <f>SUMIF(127:127,G44,128:128)-SUMIF(127:127,C44,128:128)+100</f>
        <v>100</v>
      </c>
      <c r="I44" s="599" t="s">
        <v>3134</v>
      </c>
      <c r="J44" s="540">
        <f>SUMIF(127:127,I44,128:128)-SUMIF(127:127,C44,128:128)+100</f>
        <v>100</v>
      </c>
      <c r="K44" s="584">
        <v>2</v>
      </c>
      <c r="L44" s="2125"/>
      <c r="M44" s="2115"/>
      <c r="N44" s="2115"/>
      <c r="O44" s="2124"/>
      <c r="P44" s="3412" t="s">
        <v>550</v>
      </c>
      <c r="Q44" s="1558" t="str">
        <f t="shared" si="14"/>
        <v>工程地质条件</v>
      </c>
      <c r="R44" s="1559" t="s">
        <v>8</v>
      </c>
      <c r="S44" s="1560">
        <f t="shared" si="10"/>
        <v>100</v>
      </c>
      <c r="T44" s="1559" t="s">
        <v>8</v>
      </c>
      <c r="U44" s="1560">
        <f t="shared" si="11"/>
        <v>100</v>
      </c>
      <c r="V44" s="1559" t="s">
        <v>8</v>
      </c>
      <c r="W44" s="1560">
        <f t="shared" si="12"/>
        <v>100</v>
      </c>
      <c r="X44" s="1553"/>
      <c r="Y44" s="3412" t="s">
        <v>550</v>
      </c>
      <c r="Z44" s="1561" t="str">
        <f t="shared" si="13"/>
        <v>工程地质条件</v>
      </c>
      <c r="AA44" s="1562">
        <f t="shared" si="3"/>
        <v>1</v>
      </c>
      <c r="AB44" s="1562">
        <f t="shared" si="4"/>
        <v>1</v>
      </c>
      <c r="AC44" s="1562">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412"/>
      <c r="Q45" s="1558">
        <f t="shared" si="14"/>
        <v>111</v>
      </c>
      <c r="R45" s="1559" t="s">
        <v>8</v>
      </c>
      <c r="S45" s="1560">
        <f t="shared" si="10"/>
        <v>100</v>
      </c>
      <c r="T45" s="1559" t="s">
        <v>8</v>
      </c>
      <c r="U45" s="1560">
        <f t="shared" si="11"/>
        <v>100</v>
      </c>
      <c r="V45" s="1559" t="s">
        <v>8</v>
      </c>
      <c r="W45" s="1560">
        <f t="shared" si="12"/>
        <v>100</v>
      </c>
      <c r="X45" s="1553"/>
      <c r="Y45" s="3412"/>
      <c r="Z45" s="1561">
        <f t="shared" si="13"/>
        <v>111</v>
      </c>
      <c r="AA45" s="1562">
        <f t="shared" si="3"/>
        <v>1</v>
      </c>
      <c r="AB45" s="1562">
        <f t="shared" si="4"/>
        <v>1</v>
      </c>
      <c r="AC45" s="1562">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412"/>
      <c r="Q46" s="1558">
        <f t="shared" si="14"/>
        <v>111</v>
      </c>
      <c r="R46" s="1559" t="s">
        <v>8</v>
      </c>
      <c r="S46" s="1560">
        <f t="shared" si="10"/>
        <v>100</v>
      </c>
      <c r="T46" s="1559" t="s">
        <v>8</v>
      </c>
      <c r="U46" s="1560">
        <f t="shared" si="11"/>
        <v>100</v>
      </c>
      <c r="V46" s="1559" t="s">
        <v>8</v>
      </c>
      <c r="W46" s="1560">
        <f t="shared" si="12"/>
        <v>100</v>
      </c>
      <c r="X46" s="1553"/>
      <c r="Y46" s="3412"/>
      <c r="Z46" s="1561">
        <f t="shared" si="13"/>
        <v>111</v>
      </c>
      <c r="AA46" s="1562">
        <f t="shared" si="3"/>
        <v>1</v>
      </c>
      <c r="AB46" s="1562">
        <f t="shared" si="4"/>
        <v>1</v>
      </c>
      <c r="AC46" s="1562">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412"/>
      <c r="Q47" s="1558">
        <f t="shared" si="14"/>
        <v>111</v>
      </c>
      <c r="R47" s="1563" t="s">
        <v>8</v>
      </c>
      <c r="S47" s="1564">
        <f t="shared" si="10"/>
        <v>100</v>
      </c>
      <c r="T47" s="1563" t="s">
        <v>8</v>
      </c>
      <c r="U47" s="1564">
        <f t="shared" si="11"/>
        <v>100</v>
      </c>
      <c r="V47" s="1563" t="s">
        <v>8</v>
      </c>
      <c r="W47" s="1564">
        <f t="shared" si="12"/>
        <v>100</v>
      </c>
      <c r="X47" s="1565"/>
      <c r="Y47" s="3412"/>
      <c r="Z47" s="1566">
        <f t="shared" si="13"/>
        <v>111</v>
      </c>
      <c r="AA47" s="1562">
        <f t="shared" si="3"/>
        <v>1</v>
      </c>
      <c r="AB47" s="1562">
        <f t="shared" si="4"/>
        <v>1</v>
      </c>
      <c r="AC47" s="1562">
        <f t="shared" si="5"/>
        <v>1</v>
      </c>
    </row>
    <row r="48" spans="1:29" ht="21">
      <c r="A48" s="607" t="s">
        <v>556</v>
      </c>
      <c r="B48" s="608" t="s">
        <v>3115</v>
      </c>
      <c r="C48" s="609" t="s">
        <v>1</v>
      </c>
      <c r="D48" s="610"/>
      <c r="E48" s="611">
        <f>土地案例!$K$3</f>
        <v>1708.33</v>
      </c>
      <c r="F48" s="612"/>
      <c r="G48" s="613">
        <f>土地案例!$K$8</f>
        <v>1351.74</v>
      </c>
      <c r="H48" s="614"/>
      <c r="I48" s="611">
        <f>土地案例!$K$14</f>
        <v>1459.86</v>
      </c>
      <c r="J48" s="614"/>
      <c r="K48" s="1336"/>
      <c r="L48" s="2127"/>
      <c r="M48" s="2115"/>
      <c r="N48" s="2115"/>
      <c r="O48" s="2128"/>
      <c r="P48" s="3375" t="str">
        <f>A48</f>
        <v>成交单价</v>
      </c>
      <c r="Q48" s="3375"/>
      <c r="R48" s="3376">
        <f>E48</f>
        <v>1708.33</v>
      </c>
      <c r="S48" s="3376"/>
      <c r="T48" s="3376">
        <f>G48</f>
        <v>1351.74</v>
      </c>
      <c r="U48" s="3376"/>
      <c r="V48" s="3376">
        <f>I48</f>
        <v>1459.86</v>
      </c>
      <c r="W48" s="3376"/>
      <c r="X48" s="1545"/>
      <c r="Y48" s="1567"/>
      <c r="Z48" s="1545"/>
      <c r="AA48" s="1545"/>
      <c r="AB48" s="1545"/>
      <c r="AC48" s="1545"/>
    </row>
    <row r="49" spans="1:29" ht="21.6" thickBot="1">
      <c r="A49" s="615" t="s">
        <v>2689</v>
      </c>
      <c r="B49" s="616"/>
      <c r="C49" s="617">
        <f>R50</f>
        <v>1387</v>
      </c>
      <c r="D49" s="618"/>
      <c r="E49" s="617">
        <f>R49</f>
        <v>1505</v>
      </c>
      <c r="F49" s="619"/>
      <c r="G49" s="620">
        <f>T49</f>
        <v>1290</v>
      </c>
      <c r="H49" s="618"/>
      <c r="I49" s="617">
        <f>V49</f>
        <v>1365</v>
      </c>
      <c r="J49" s="618"/>
      <c r="K49" s="1337"/>
      <c r="L49" s="2127"/>
      <c r="M49" s="2115"/>
      <c r="N49" s="2115"/>
      <c r="O49" s="2128"/>
      <c r="P49" s="3375" t="str">
        <f>A49</f>
        <v>比较价格（元/平方米）</v>
      </c>
      <c r="Q49" s="3375"/>
      <c r="R49" s="3377">
        <f>ROUND(PRODUCT(R48,AA9:AA47),0)</f>
        <v>1505</v>
      </c>
      <c r="S49" s="3377"/>
      <c r="T49" s="3377">
        <f>ROUND(PRODUCT(T48,AB9:AB47),0)</f>
        <v>1290</v>
      </c>
      <c r="U49" s="3377"/>
      <c r="V49" s="3377">
        <f>ROUND(PRODUCT(V48,AC9:AC47),0)</f>
        <v>1365</v>
      </c>
      <c r="W49" s="3377"/>
      <c r="X49" s="1545"/>
      <c r="Y49" s="1545"/>
      <c r="Z49" s="1545"/>
      <c r="AA49" s="1545"/>
      <c r="AB49" s="1545"/>
      <c r="AC49" s="1545"/>
    </row>
    <row r="50" spans="1:29" ht="21.6" thickBot="1">
      <c r="A50" s="621" t="s">
        <v>2929</v>
      </c>
      <c r="B50" s="622"/>
      <c r="C50" s="623">
        <f>R50</f>
        <v>1387</v>
      </c>
      <c r="D50" s="623"/>
      <c r="E50" s="623"/>
      <c r="F50" s="623"/>
      <c r="G50" s="623"/>
      <c r="H50" s="623"/>
      <c r="I50" s="623"/>
      <c r="J50" s="623"/>
      <c r="K50" s="1338"/>
      <c r="L50" s="2127"/>
      <c r="M50" s="2115"/>
      <c r="N50" s="2115"/>
      <c r="O50" s="2128"/>
      <c r="P50" s="3372" t="str">
        <f>A50</f>
        <v>估价对象XX用房的比较价格（楼面单价，元/平方米）</v>
      </c>
      <c r="Q50" s="3373"/>
      <c r="R50" s="3374">
        <f>ROUND(AVERAGE(R49:V49),0)</f>
        <v>1387</v>
      </c>
      <c r="S50" s="3374"/>
      <c r="T50" s="3374"/>
      <c r="U50" s="3374"/>
      <c r="V50" s="3374"/>
      <c r="W50" s="3374"/>
      <c r="X50" s="1545"/>
      <c r="Y50" s="1545"/>
      <c r="Z50" s="1545"/>
      <c r="AA50" s="1545"/>
      <c r="AB50" s="1545"/>
      <c r="AC50" s="1545"/>
    </row>
    <row r="51" spans="1:29" ht="21">
      <c r="A51" s="2128"/>
      <c r="B51" s="2128"/>
      <c r="C51" s="2128"/>
      <c r="D51" s="2128"/>
      <c r="E51" s="2128"/>
      <c r="F51" s="2128"/>
      <c r="G51" s="2131"/>
      <c r="H51" s="2128"/>
      <c r="I51" s="2128"/>
      <c r="J51" s="2128"/>
      <c r="K51" s="2132"/>
      <c r="L51" s="2133"/>
      <c r="M51" s="2115"/>
      <c r="N51" s="2115"/>
      <c r="O51" s="2128"/>
      <c r="P51" s="1545"/>
      <c r="Q51" s="2128"/>
      <c r="R51" s="2128"/>
      <c r="S51" s="2128"/>
      <c r="T51" s="2128"/>
      <c r="U51" s="2128"/>
      <c r="V51" s="2128"/>
      <c r="W51" s="2128"/>
      <c r="X51" s="2128"/>
      <c r="Y51" s="2128"/>
      <c r="Z51" s="2128"/>
      <c r="AA51" s="2128"/>
      <c r="AB51" s="2128"/>
      <c r="AC51" s="2128"/>
    </row>
    <row r="52" spans="1:29" ht="21">
      <c r="A52" s="2128"/>
      <c r="B52" s="2128"/>
      <c r="C52" s="2128"/>
      <c r="D52" s="2128"/>
      <c r="E52" s="2128"/>
      <c r="F52" s="2128"/>
      <c r="G52" s="2128"/>
      <c r="H52" s="2128"/>
      <c r="I52" s="2128"/>
      <c r="J52" s="2128"/>
      <c r="K52" s="2132"/>
      <c r="L52" s="2133"/>
      <c r="M52" s="2115"/>
      <c r="N52" s="2115"/>
      <c r="O52" s="2128"/>
      <c r="P52" s="1545"/>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f>IF(E48&lt;E49,E49/E48-1,E48/E49-1)</f>
        <v>0.13510299003322257</v>
      </c>
      <c r="F53" s="627" t="str">
        <f>IF(OR(E53&gt;=0.3,E53&lt;=-0.3),"超过30%","")</f>
        <v/>
      </c>
      <c r="G53" s="626">
        <f>IF(G48&lt;G49,G49/G48-1,G48/G49-1)</f>
        <v>4.7860465116279061E-2</v>
      </c>
      <c r="H53" s="627" t="str">
        <f>IF(OR(G53&gt;=0.3,G53&lt;=-0.3),"超过30%","")</f>
        <v/>
      </c>
      <c r="I53" s="626">
        <f>IF(I48&lt;I49,I49/I48-1,I48/I49-1)</f>
        <v>6.9494505494505532E-2</v>
      </c>
      <c r="J53" s="627" t="str">
        <f>IF(OR(I53&gt;=0.3,I53&lt;=-0.3),"超过30%","")</f>
        <v/>
      </c>
      <c r="K53" s="2132"/>
      <c r="L53" s="2133"/>
      <c r="M53" s="2115"/>
      <c r="N53" s="2115"/>
      <c r="O53" s="2128"/>
      <c r="P53" s="1545"/>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f>IF(E49&lt;G49,G49/E49-1,E49/G49-1)</f>
        <v>0.16666666666666674</v>
      </c>
      <c r="F54" s="627" t="str">
        <f>IF(OR(E54&gt;=0.2,E54&lt;=-0.2),"超过20%","")</f>
        <v/>
      </c>
      <c r="G54" s="626">
        <f>IF(G49&lt;I49,I49/G49-1,G49/I49-1)</f>
        <v>5.8139534883721034E-2</v>
      </c>
      <c r="H54" s="627" t="str">
        <f>IF(OR(G54&gt;=0.2,G54&lt;=-0.2),"超过20%","")</f>
        <v/>
      </c>
      <c r="I54" s="626">
        <f>IF(I49&lt;E49,E49/I49-1,I49/E49-1)</f>
        <v>0.10256410256410264</v>
      </c>
      <c r="J54" s="627" t="str">
        <f>IF(OR(I54&gt;=0.2,I54&lt;=-0.2),"超过20%","")</f>
        <v/>
      </c>
      <c r="K54" s="2132"/>
      <c r="L54" s="2133"/>
      <c r="M54" s="2115"/>
      <c r="N54" s="2115"/>
      <c r="O54" s="2128"/>
      <c r="P54" s="1545"/>
      <c r="Q54" s="2128"/>
      <c r="R54" s="2128"/>
      <c r="S54" s="2128"/>
      <c r="T54" s="2128"/>
      <c r="U54" s="2128"/>
      <c r="V54" s="2128"/>
      <c r="W54" s="2128"/>
      <c r="X54" s="2128"/>
      <c r="Y54" s="2128"/>
      <c r="Z54" s="2128"/>
      <c r="AA54" s="2128"/>
      <c r="AB54" s="2128"/>
      <c r="AC54" s="2128"/>
    </row>
    <row r="55" spans="1:29" s="1341" customFormat="1" ht="13.5" customHeight="1">
      <c r="A55" s="2129"/>
      <c r="B55" s="2129"/>
      <c r="C55" s="624" t="s">
        <v>559</v>
      </c>
      <c r="D55" s="628"/>
      <c r="E55" s="626">
        <f>IF(E48&lt;G48,G48/E48-1,E48/G48-1)</f>
        <v>0.26380073090979028</v>
      </c>
      <c r="F55" s="627" t="str">
        <f>IF(OR(E55&gt;=0.3,E55&lt;=-0.3),"超过30%","")</f>
        <v/>
      </c>
      <c r="G55" s="626">
        <f>IF(G48&lt;I48,I48/G48-1,G48/I48-1)</f>
        <v>7.9985796085045857E-2</v>
      </c>
      <c r="H55" s="627" t="str">
        <f>IF(OR(G55&gt;=0.3,G55&lt;=-0.3),"超过30%","")</f>
        <v/>
      </c>
      <c r="I55" s="626">
        <f>IF(I48&lt;E48,E48/I48-1,I48/E48-1)</f>
        <v>0.17020125217486615</v>
      </c>
      <c r="J55" s="627" t="str">
        <f>IF(OR(I55&gt;=0.3,I55&lt;=-0.3),"超过30%","")</f>
        <v/>
      </c>
      <c r="K55" s="2135"/>
      <c r="L55" s="2136"/>
      <c r="M55" s="2115"/>
      <c r="N55" s="2115"/>
      <c r="O55" s="2129"/>
      <c r="P55" s="1543"/>
      <c r="Q55" s="2129"/>
      <c r="R55" s="2129"/>
      <c r="S55" s="2129"/>
      <c r="T55" s="2129"/>
      <c r="U55" s="2129"/>
      <c r="V55" s="2129"/>
      <c r="W55" s="2129"/>
      <c r="X55" s="2129"/>
      <c r="Y55" s="2129"/>
      <c r="Z55" s="2129"/>
      <c r="AA55" s="2129"/>
      <c r="AB55" s="2129"/>
      <c r="AC55" s="2129"/>
    </row>
    <row r="56" spans="1:29" s="1341" customFormat="1" ht="21.6" thickBot="1">
      <c r="A56" s="2129"/>
      <c r="B56" s="2130"/>
      <c r="C56" s="2134"/>
      <c r="D56" s="2129"/>
      <c r="E56" s="2129"/>
      <c r="F56" s="2129"/>
      <c r="G56" s="2129"/>
      <c r="H56" s="2129"/>
      <c r="I56" s="2129"/>
      <c r="J56" s="2129"/>
      <c r="K56" s="2135"/>
      <c r="L56" s="2136"/>
      <c r="M56" s="2115"/>
      <c r="N56" s="2115"/>
      <c r="O56" s="2129"/>
      <c r="P56" s="1543"/>
      <c r="Q56" s="2129"/>
      <c r="R56" s="2129"/>
      <c r="S56" s="2129"/>
      <c r="T56" s="2129"/>
      <c r="U56" s="2129"/>
      <c r="V56" s="2129"/>
      <c r="W56" s="2129"/>
      <c r="X56" s="2129"/>
      <c r="Y56" s="2129"/>
      <c r="Z56" s="2129"/>
      <c r="AA56" s="2129"/>
      <c r="AB56" s="2129"/>
      <c r="AC56" s="2129"/>
    </row>
    <row r="57" spans="1:29" ht="26.25" customHeight="1">
      <c r="A57" s="629" t="s">
        <v>560</v>
      </c>
      <c r="B57" s="630" t="s">
        <v>561</v>
      </c>
      <c r="C57" s="1546" t="s">
        <v>1723</v>
      </c>
      <c r="D57" s="2210" t="s">
        <v>2290</v>
      </c>
      <c r="E57" s="631" t="s">
        <v>562</v>
      </c>
      <c r="F57" s="632" t="s">
        <v>563</v>
      </c>
      <c r="G57" s="3401" t="s">
        <v>2278</v>
      </c>
      <c r="H57" s="3402"/>
      <c r="I57" s="1541" t="s">
        <v>1721</v>
      </c>
      <c r="J57" s="1541" t="str">
        <f>项目基本情况!F41</f>
        <v>重庆市</v>
      </c>
      <c r="K57" s="2137" t="s">
        <v>1722</v>
      </c>
      <c r="L57" s="2133"/>
      <c r="M57" s="2128"/>
      <c r="N57" s="2128"/>
      <c r="O57" s="2128"/>
      <c r="P57" s="2128"/>
      <c r="Q57" s="2128"/>
      <c r="R57" s="2128"/>
      <c r="S57" s="2128"/>
      <c r="T57" s="2128"/>
      <c r="U57" s="2128"/>
      <c r="V57" s="2128"/>
      <c r="W57" s="2128"/>
      <c r="X57" s="2128"/>
      <c r="Y57" s="2128"/>
      <c r="Z57" s="2128"/>
      <c r="AA57" s="2128"/>
      <c r="AB57" s="2128"/>
      <c r="AC57" s="2128"/>
    </row>
    <row r="58" spans="1:29" s="1342" customFormat="1" ht="13.2">
      <c r="A58" s="633" t="s">
        <v>564</v>
      </c>
      <c r="B58" s="634">
        <f>C50</f>
        <v>1387</v>
      </c>
      <c r="C58" s="635">
        <v>1</v>
      </c>
      <c r="D58" s="2211">
        <v>1</v>
      </c>
      <c r="E58" s="635">
        <f>'数据-汇总表'!E8+'数据-汇总表'!E9</f>
        <v>114120</v>
      </c>
      <c r="F58" s="636">
        <f t="shared" ref="F58:F67" si="15">ROUND(B58*E58/10000,0)</f>
        <v>15828</v>
      </c>
      <c r="G58" s="3403"/>
      <c r="H58" s="3404"/>
      <c r="I58" s="1542">
        <v>1</v>
      </c>
      <c r="J58" s="1542">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2" customFormat="1" ht="13.2">
      <c r="A59" s="637" t="s">
        <v>565</v>
      </c>
      <c r="B59" s="638">
        <f>ROUND($C$50*C59*D59,0)</f>
        <v>0</v>
      </c>
      <c r="C59" s="378">
        <f t="shared" ref="C59:C67" si="16">IF($C$57="北京市系数",I59,J59)</f>
        <v>0</v>
      </c>
      <c r="D59" s="2212">
        <v>0.25</v>
      </c>
      <c r="E59" s="639">
        <v>0</v>
      </c>
      <c r="F59" s="636">
        <f t="shared" si="15"/>
        <v>0</v>
      </c>
      <c r="G59" s="3405" t="s">
        <v>2279</v>
      </c>
      <c r="H59" s="1931">
        <f>项目基本情况!B43</f>
        <v>0</v>
      </c>
      <c r="I59" s="1542">
        <f>SUMIF(修正!$A$45:$A$56,H59,修正!B45:B56)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2" customFormat="1" ht="13.2">
      <c r="A60" s="637" t="s">
        <v>566</v>
      </c>
      <c r="B60" s="638">
        <f t="shared" ref="B60:B67" si="17">ROUND($C$50*C60*D60,0)</f>
        <v>0</v>
      </c>
      <c r="C60" s="378">
        <f t="shared" si="16"/>
        <v>0</v>
      </c>
      <c r="D60" s="2212">
        <v>0.25</v>
      </c>
      <c r="E60" s="639">
        <v>0</v>
      </c>
      <c r="F60" s="636">
        <f t="shared" si="15"/>
        <v>0</v>
      </c>
      <c r="G60" s="3405"/>
      <c r="H60" s="1931">
        <f>项目基本情况!B43</f>
        <v>0</v>
      </c>
      <c r="I60" s="1542">
        <f>SUMIF(修正!$A$45:$A$56,H60,修正!C45:C56)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2" customFormat="1" ht="13.2">
      <c r="A61" s="637" t="s">
        <v>567</v>
      </c>
      <c r="B61" s="638">
        <f t="shared" si="17"/>
        <v>0</v>
      </c>
      <c r="C61" s="378">
        <f t="shared" si="16"/>
        <v>0</v>
      </c>
      <c r="D61" s="2212">
        <v>0.25</v>
      </c>
      <c r="E61" s="639">
        <v>0</v>
      </c>
      <c r="F61" s="636">
        <f t="shared" si="15"/>
        <v>0</v>
      </c>
      <c r="G61" s="3405"/>
      <c r="H61" s="1931">
        <f>项目基本情况!B43</f>
        <v>0</v>
      </c>
      <c r="I61" s="1542">
        <f>SUMIF(修正!$A$45:$A$56,H61,修正!D45:D56)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2" customFormat="1" ht="13.2">
      <c r="A62" s="637" t="s">
        <v>568</v>
      </c>
      <c r="B62" s="638">
        <f t="shared" si="17"/>
        <v>0</v>
      </c>
      <c r="C62" s="378">
        <f t="shared" si="16"/>
        <v>0</v>
      </c>
      <c r="D62" s="2212">
        <v>0.25</v>
      </c>
      <c r="E62" s="639">
        <v>0</v>
      </c>
      <c r="F62" s="636">
        <f t="shared" si="15"/>
        <v>0</v>
      </c>
      <c r="G62" s="3405"/>
      <c r="H62" s="1931">
        <f>项目基本情况!B43</f>
        <v>0</v>
      </c>
      <c r="I62" s="1542">
        <f>SUMIF(修正!$A$45:$A$56,H62,修正!E45:E56)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2" customFormat="1" ht="13.2">
      <c r="A63" s="2314" t="s">
        <v>2325</v>
      </c>
      <c r="B63" s="638">
        <f t="shared" si="17"/>
        <v>0</v>
      </c>
      <c r="C63" s="378">
        <f t="shared" si="16"/>
        <v>0</v>
      </c>
      <c r="D63" s="2212">
        <v>0.25</v>
      </c>
      <c r="E63" s="641">
        <f>'数据-汇总表'!E11</f>
        <v>0</v>
      </c>
      <c r="F63" s="636">
        <f t="shared" si="15"/>
        <v>0</v>
      </c>
      <c r="G63" s="1928" t="s">
        <v>2280</v>
      </c>
      <c r="H63" s="1931">
        <f>项目基本情况!C43</f>
        <v>0</v>
      </c>
      <c r="I63" s="1542">
        <f>SUMIF(修正!$A$45:$A$56,H63,修正!F45:F56)</f>
        <v>0</v>
      </c>
      <c r="J63" s="1544"/>
      <c r="K63" s="2138"/>
      <c r="L63" s="2138"/>
      <c r="M63" s="2138"/>
      <c r="N63" s="2138"/>
      <c r="O63" s="2138"/>
      <c r="P63" s="2138"/>
      <c r="Q63" s="2138"/>
      <c r="R63" s="2138"/>
      <c r="S63" s="2138"/>
      <c r="T63" s="2138"/>
      <c r="U63" s="2138"/>
      <c r="V63" s="2138"/>
      <c r="W63" s="2138"/>
      <c r="X63" s="2138"/>
      <c r="Y63" s="2138"/>
      <c r="Z63" s="2138"/>
      <c r="AA63" s="2138"/>
      <c r="AB63" s="2138"/>
      <c r="AC63" s="2138"/>
    </row>
    <row r="64" spans="1:29" s="1342" customFormat="1" ht="13.2">
      <c r="A64" s="637" t="s">
        <v>569</v>
      </c>
      <c r="B64" s="638">
        <f t="shared" si="17"/>
        <v>0</v>
      </c>
      <c r="C64" s="378">
        <f t="shared" si="16"/>
        <v>0</v>
      </c>
      <c r="D64" s="2212">
        <v>0.25</v>
      </c>
      <c r="E64" s="641">
        <f>'数据-汇总表'!E12</f>
        <v>0</v>
      </c>
      <c r="F64" s="636">
        <f t="shared" si="15"/>
        <v>0</v>
      </c>
      <c r="G64" s="1929" t="s">
        <v>1677</v>
      </c>
      <c r="H64" s="1927">
        <f>IF(G64="商业",项目基本情况!B43,IF(G64="办公",项目基本情况!C43,IF(G64="住宅",项目基本情况!D43,项目基本情况!E43)))</f>
        <v>0</v>
      </c>
      <c r="I64" s="1542">
        <f>SUMIF(修正!$A$45:$A$56,H64,修正!G45:G56)</f>
        <v>0</v>
      </c>
      <c r="J64" s="1544"/>
      <c r="K64" s="2138"/>
      <c r="L64" s="2138"/>
      <c r="M64" s="2138"/>
      <c r="N64" s="2138"/>
      <c r="O64" s="2138"/>
      <c r="P64" s="2138"/>
      <c r="Q64" s="2138"/>
      <c r="R64" s="2138"/>
      <c r="S64" s="2138"/>
      <c r="T64" s="2138"/>
      <c r="U64" s="2138"/>
      <c r="V64" s="2138"/>
      <c r="W64" s="2138"/>
      <c r="X64" s="2138"/>
      <c r="Y64" s="2138"/>
      <c r="Z64" s="2138"/>
      <c r="AA64" s="2138"/>
      <c r="AB64" s="2138"/>
      <c r="AC64" s="2138"/>
    </row>
    <row r="65" spans="1:29" s="1342" customFormat="1" ht="13.2">
      <c r="A65" s="637" t="s">
        <v>570</v>
      </c>
      <c r="B65" s="638">
        <f t="shared" si="17"/>
        <v>0</v>
      </c>
      <c r="C65" s="378">
        <f t="shared" si="16"/>
        <v>0</v>
      </c>
      <c r="D65" s="2212">
        <v>0.25</v>
      </c>
      <c r="E65" s="641">
        <f>'数据-汇总表'!E13</f>
        <v>0</v>
      </c>
      <c r="F65" s="636">
        <f t="shared" si="15"/>
        <v>0</v>
      </c>
      <c r="G65" s="1929" t="s">
        <v>923</v>
      </c>
      <c r="H65" s="1927">
        <f>IF(G65="商业",项目基本情况!B43,IF(G65="办公",项目基本情况!C43,IF(G65="住宅",项目基本情况!D43,项目基本情况!E43)))</f>
        <v>0</v>
      </c>
      <c r="I65" s="1542">
        <f>SUMIF(修正!$A$45:$A$56,H65,修正!H45:H56)</f>
        <v>0</v>
      </c>
      <c r="J65" s="1544"/>
      <c r="K65" s="2138"/>
      <c r="L65" s="2138"/>
      <c r="M65" s="2138"/>
      <c r="N65" s="2138"/>
      <c r="O65" s="2138"/>
      <c r="P65" s="2138"/>
      <c r="Q65" s="2138"/>
      <c r="R65" s="2138"/>
      <c r="S65" s="2138"/>
      <c r="T65" s="2138"/>
      <c r="U65" s="2138"/>
      <c r="V65" s="2138"/>
      <c r="W65" s="2138"/>
      <c r="X65" s="2138"/>
      <c r="Y65" s="2138"/>
      <c r="Z65" s="2138"/>
      <c r="AA65" s="2138"/>
      <c r="AB65" s="2138"/>
      <c r="AC65" s="2138"/>
    </row>
    <row r="66" spans="1:29" s="1342" customFormat="1" ht="13.2">
      <c r="A66" s="637" t="s">
        <v>571</v>
      </c>
      <c r="B66" s="638">
        <f t="shared" si="17"/>
        <v>0</v>
      </c>
      <c r="C66" s="378">
        <f t="shared" si="16"/>
        <v>0</v>
      </c>
      <c r="D66" s="2212">
        <v>0.25</v>
      </c>
      <c r="E66" s="641">
        <f>'数据-汇总表'!E14</f>
        <v>0</v>
      </c>
      <c r="F66" s="636">
        <f t="shared" si="15"/>
        <v>0</v>
      </c>
      <c r="G66" s="1928" t="s">
        <v>2279</v>
      </c>
      <c r="H66" s="1931">
        <f>项目基本情况!B43</f>
        <v>0</v>
      </c>
      <c r="I66" s="1542">
        <f>SUMIF(修正!$A$45:$A$56,H66,修正!H45:H56)</f>
        <v>0</v>
      </c>
      <c r="J66" s="1544"/>
      <c r="K66" s="2138"/>
      <c r="L66" s="2138"/>
      <c r="M66" s="2138"/>
      <c r="N66" s="2138"/>
      <c r="O66" s="2138"/>
      <c r="P66" s="2138"/>
      <c r="Q66" s="2138"/>
      <c r="R66" s="2138"/>
      <c r="S66" s="2138"/>
      <c r="T66" s="2138"/>
      <c r="U66" s="2138"/>
      <c r="V66" s="2138"/>
      <c r="W66" s="2138"/>
      <c r="X66" s="2138"/>
      <c r="Y66" s="2138"/>
      <c r="Z66" s="2138"/>
      <c r="AA66" s="2138"/>
      <c r="AB66" s="2138"/>
      <c r="AC66" s="2138"/>
    </row>
    <row r="67" spans="1:29" s="1342" customFormat="1" thickBot="1">
      <c r="A67" s="637" t="s">
        <v>572</v>
      </c>
      <c r="B67" s="638">
        <f t="shared" si="17"/>
        <v>0</v>
      </c>
      <c r="C67" s="378">
        <f t="shared" si="16"/>
        <v>0</v>
      </c>
      <c r="D67" s="2212">
        <v>0.25</v>
      </c>
      <c r="E67" s="641">
        <f>'数据-汇总表'!E15</f>
        <v>0</v>
      </c>
      <c r="F67" s="636">
        <f t="shared" si="15"/>
        <v>0</v>
      </c>
      <c r="G67" s="1930" t="s">
        <v>2280</v>
      </c>
      <c r="H67" s="1932">
        <f>项目基本情况!C43</f>
        <v>0</v>
      </c>
      <c r="I67" s="1542">
        <f>SUMIF(修正!$A$45:$A$56,H67,修正!H45:H56)</f>
        <v>0</v>
      </c>
      <c r="J67" s="1544"/>
      <c r="K67" s="2138"/>
      <c r="L67" s="2138"/>
      <c r="M67" s="2138"/>
      <c r="N67" s="2138"/>
      <c r="O67" s="2138"/>
      <c r="P67" s="2138"/>
      <c r="Q67" s="2138"/>
      <c r="R67" s="2138"/>
      <c r="S67" s="2138"/>
      <c r="T67" s="2138"/>
      <c r="U67" s="2138"/>
      <c r="V67" s="2138"/>
      <c r="W67" s="2138"/>
      <c r="X67" s="2138"/>
      <c r="Y67" s="2138"/>
      <c r="Z67" s="2138"/>
      <c r="AA67" s="2138"/>
      <c r="AB67" s="2138"/>
      <c r="AC67" s="2138"/>
    </row>
    <row r="68" spans="1:29" s="1342" customFormat="1" thickBot="1">
      <c r="A68" s="642" t="s">
        <v>573</v>
      </c>
      <c r="B68" s="643" t="s">
        <v>17</v>
      </c>
      <c r="C68" s="643" t="s">
        <v>18</v>
      </c>
      <c r="D68" s="643" t="s">
        <v>2291</v>
      </c>
      <c r="E68" s="643">
        <f>IF(B48="楼面地价",SUM(E58:E67),'数据-汇总表'!D3)</f>
        <v>114120</v>
      </c>
      <c r="F68" s="644">
        <f>IF(B48="楼面地价",SUM(F58:F67),ROUND(C50*E68/10000,0))</f>
        <v>15828</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2020-2-1</v>
      </c>
      <c r="D70" s="2752">
        <f>EDATE(C70,-3)</f>
        <v>43770</v>
      </c>
      <c r="E70" s="2752">
        <f t="shared" ref="E70:N70" si="18">EDATE(D70,-3)</f>
        <v>43678</v>
      </c>
      <c r="F70" s="2752">
        <f t="shared" si="18"/>
        <v>43586</v>
      </c>
      <c r="G70" s="2752">
        <f t="shared" si="18"/>
        <v>43497</v>
      </c>
      <c r="H70" s="2752">
        <f t="shared" si="18"/>
        <v>43405</v>
      </c>
      <c r="I70" s="2752">
        <f t="shared" si="18"/>
        <v>43313</v>
      </c>
      <c r="J70" s="2752">
        <f t="shared" si="18"/>
        <v>43221</v>
      </c>
      <c r="K70" s="2752">
        <f t="shared" si="18"/>
        <v>43132</v>
      </c>
      <c r="L70" s="2752">
        <f t="shared" si="18"/>
        <v>43040</v>
      </c>
      <c r="M70" s="2752">
        <f t="shared" si="18"/>
        <v>42948</v>
      </c>
      <c r="N70" s="2752">
        <f t="shared" si="18"/>
        <v>42856</v>
      </c>
      <c r="O70" s="2128"/>
      <c r="P70" s="2128"/>
      <c r="Q70" s="2128"/>
      <c r="R70" s="2128"/>
      <c r="S70" s="2128"/>
      <c r="T70" s="2128"/>
      <c r="U70" s="2128"/>
      <c r="V70" s="2128"/>
      <c r="W70" s="2128"/>
      <c r="X70" s="2128"/>
      <c r="Y70" s="2128"/>
      <c r="Z70" s="2128"/>
      <c r="AA70" s="2128"/>
      <c r="AB70" s="2128"/>
      <c r="AC70" s="2128"/>
    </row>
    <row r="71" spans="1:29" ht="22.2" thickBot="1">
      <c r="A71" s="1570" t="s">
        <v>574</v>
      </c>
      <c r="B71" s="1545"/>
      <c r="C71" s="1569"/>
      <c r="D71" s="1569"/>
      <c r="E71" s="1569"/>
      <c r="F71" s="1571"/>
      <c r="G71" s="1571"/>
      <c r="H71" s="1569"/>
      <c r="I71" s="1569"/>
      <c r="J71" s="1569"/>
      <c r="K71" s="1572"/>
      <c r="L71" s="1568"/>
      <c r="M71" s="1569"/>
      <c r="N71" s="1569"/>
      <c r="O71" s="2140"/>
      <c r="P71" s="2140"/>
      <c r="Q71" s="2141"/>
      <c r="R71" s="2128"/>
      <c r="S71" s="2128"/>
      <c r="T71" s="2128"/>
      <c r="U71" s="2128"/>
      <c r="V71" s="2128"/>
      <c r="W71" s="2128"/>
      <c r="X71" s="2128"/>
      <c r="Y71" s="2128"/>
      <c r="Z71" s="2128"/>
      <c r="AA71" s="2128"/>
      <c r="AB71" s="2128"/>
      <c r="AC71" s="2128"/>
    </row>
    <row r="72" spans="1:29" s="1343" customFormat="1" ht="14.4">
      <c r="A72" s="2530" t="s">
        <v>2529</v>
      </c>
      <c r="B72" s="2531"/>
      <c r="C72" s="2748" t="str">
        <f>YEAR(C70)&amp;"-"&amp;ROUNDUP(MONTH(C70)/3,0)</f>
        <v>2020-1</v>
      </c>
      <c r="D72" s="2754" t="str">
        <f>YEAR(D70)&amp;"-"&amp;ROUNDUP(MONTH(D70)/3,0)</f>
        <v>2019-4</v>
      </c>
      <c r="E72" s="2754" t="str">
        <f t="shared" ref="E72:N72" si="19">YEAR(E70)&amp;"-"&amp;ROUNDUP(MONTH(E70)/3,0)</f>
        <v>2019-3</v>
      </c>
      <c r="F72" s="2754" t="str">
        <f t="shared" si="19"/>
        <v>2019-2</v>
      </c>
      <c r="G72" s="2754" t="str">
        <f t="shared" si="19"/>
        <v>2019-1</v>
      </c>
      <c r="H72" s="2754" t="str">
        <f t="shared" si="19"/>
        <v>2018-4</v>
      </c>
      <c r="I72" s="2754" t="str">
        <f t="shared" si="19"/>
        <v>2018-3</v>
      </c>
      <c r="J72" s="2754" t="str">
        <f t="shared" si="19"/>
        <v>2018-2</v>
      </c>
      <c r="K72" s="2754" t="str">
        <f t="shared" si="19"/>
        <v>2018-1</v>
      </c>
      <c r="L72" s="2754" t="str">
        <f t="shared" si="19"/>
        <v>2017-4</v>
      </c>
      <c r="M72" s="2754" t="str">
        <f t="shared" si="19"/>
        <v>2017-3</v>
      </c>
      <c r="N72" s="2754" t="str">
        <f t="shared" si="19"/>
        <v>2017-2</v>
      </c>
      <c r="O72" s="2142"/>
      <c r="P72" s="2143"/>
      <c r="Q72" s="2144"/>
      <c r="R72" s="2144"/>
      <c r="S72" s="2144"/>
      <c r="T72" s="2144"/>
      <c r="U72" s="2144"/>
      <c r="V72" s="2144"/>
      <c r="W72" s="2144"/>
      <c r="X72" s="2144"/>
      <c r="Y72" s="2144"/>
      <c r="Z72" s="2144"/>
      <c r="AA72" s="2144"/>
      <c r="AB72" s="2144"/>
      <c r="AC72" s="2144"/>
    </row>
    <row r="73" spans="1:29" s="1216" customFormat="1" ht="27" customHeight="1">
      <c r="A73" s="2759" t="s">
        <v>2643</v>
      </c>
      <c r="B73" s="479" t="str">
        <f>"北京市平均增长率"&amp;TEXT(SUMIF(基准地价!N21:N25,A73,基准地价!P21:P25),"0.00%")</f>
        <v>北京市平均增长率1.90%</v>
      </c>
      <c r="C73" s="894">
        <v>100</v>
      </c>
      <c r="D73" s="730">
        <v>99</v>
      </c>
      <c r="E73" s="730">
        <v>98</v>
      </c>
      <c r="F73" s="730">
        <v>97</v>
      </c>
      <c r="G73" s="730"/>
      <c r="H73" s="730"/>
      <c r="I73" s="730"/>
      <c r="J73" s="730"/>
      <c r="K73" s="730"/>
      <c r="L73" s="730"/>
      <c r="M73" s="2746"/>
      <c r="N73" s="2747"/>
      <c r="O73" s="2145"/>
      <c r="P73" s="2141"/>
      <c r="Q73" s="1976"/>
      <c r="R73" s="1976"/>
      <c r="S73" s="1976"/>
      <c r="T73" s="1976"/>
      <c r="U73" s="1976"/>
      <c r="V73" s="1976"/>
      <c r="W73" s="1976"/>
      <c r="X73" s="1976"/>
      <c r="Y73" s="1976"/>
      <c r="Z73" s="1976"/>
      <c r="AA73" s="1976"/>
      <c r="AB73" s="1976"/>
      <c r="AC73" s="1976"/>
    </row>
    <row r="74" spans="1:29" s="1216" customFormat="1" ht="15" customHeight="1" thickBot="1">
      <c r="A74" s="2750" t="s">
        <v>2642</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6" customFormat="1" ht="14.4">
      <c r="A75" s="659" t="s">
        <v>531</v>
      </c>
      <c r="B75" s="648"/>
      <c r="C75" s="660" t="s">
        <v>576</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6" customFormat="1" ht="14.4"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ht="14.4">
      <c r="A77" s="664" t="s">
        <v>577</v>
      </c>
      <c r="B77" s="665" t="s">
        <v>534</v>
      </c>
      <c r="C77" s="3182" t="s">
        <v>3116</v>
      </c>
      <c r="D77" s="59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4.4" thickBot="1">
      <c r="A78" s="669"/>
      <c r="B78" s="670"/>
      <c r="C78" s="671">
        <v>100</v>
      </c>
      <c r="D78" s="671"/>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9.4" thickTop="1">
      <c r="A79" s="669"/>
      <c r="B79" s="673" t="s">
        <v>537</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4.4"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c r="A82" s="669"/>
      <c r="B82" s="683"/>
      <c r="C82" s="541">
        <v>0</v>
      </c>
      <c r="D82" s="541">
        <v>1</v>
      </c>
      <c r="E82" s="541">
        <v>2</v>
      </c>
      <c r="F82" s="541">
        <v>3</v>
      </c>
      <c r="G82" s="541">
        <v>4</v>
      </c>
      <c r="H82" s="541"/>
      <c r="I82" s="541"/>
      <c r="J82" s="541"/>
      <c r="K82" s="684"/>
      <c r="L82" s="685"/>
      <c r="M82" s="686"/>
      <c r="N82" s="2147"/>
      <c r="O82" s="2147"/>
      <c r="P82" s="2148"/>
      <c r="Q82" s="2141"/>
      <c r="R82" s="2128"/>
      <c r="S82" s="2128"/>
      <c r="T82" s="2128"/>
      <c r="U82" s="2128"/>
      <c r="V82" s="2128"/>
      <c r="W82" s="2128"/>
      <c r="X82" s="2128"/>
      <c r="Y82" s="2128"/>
      <c r="Z82" s="2128"/>
      <c r="AA82" s="2128"/>
      <c r="AB82" s="2128"/>
      <c r="AC82" s="2128"/>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49"/>
      <c r="O83" s="2149"/>
      <c r="P83" s="2148"/>
      <c r="Q83" s="2141"/>
      <c r="R83" s="2128"/>
      <c r="S83" s="2128"/>
      <c r="T83" s="2128"/>
      <c r="U83" s="2128"/>
      <c r="V83" s="2128"/>
      <c r="W83" s="2128"/>
      <c r="X83" s="2128"/>
      <c r="Y83" s="2128"/>
      <c r="Z83" s="2128"/>
      <c r="AA83" s="2128"/>
      <c r="AB83" s="2128"/>
      <c r="AC83" s="2128"/>
    </row>
    <row r="84" spans="1:29" s="1335" customFormat="1" ht="15" thickTop="1">
      <c r="A84" s="687"/>
      <c r="B84" s="673" t="str">
        <f>B14</f>
        <v>配建</v>
      </c>
      <c r="C84" s="688"/>
      <c r="D84" s="1371"/>
      <c r="E84" s="1372"/>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5" customFormat="1" ht="14.4"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5" customFormat="1" ht="14.4"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5" customFormat="1" ht="14.4"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5" customFormat="1" ht="14.4"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5" customFormat="1" ht="14.4"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ht="14.4">
      <c r="A90" s="664" t="s">
        <v>539</v>
      </c>
      <c r="B90" s="665" t="s">
        <v>578</v>
      </c>
      <c r="C90" s="703" t="s">
        <v>579</v>
      </c>
      <c r="D90" s="703" t="s">
        <v>580</v>
      </c>
      <c r="E90" s="703" t="s">
        <v>581</v>
      </c>
      <c r="F90" s="703" t="s">
        <v>582</v>
      </c>
      <c r="G90" s="703" t="s">
        <v>583</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4.4" thickBot="1">
      <c r="A91" s="669"/>
      <c r="B91" s="678"/>
      <c r="C91" s="679">
        <v>100</v>
      </c>
      <c r="D91" s="679">
        <f>C91-$K17</f>
        <v>98</v>
      </c>
      <c r="E91" s="679">
        <f>D91-$K17</f>
        <v>96</v>
      </c>
      <c r="F91" s="679">
        <f>E91-$K17</f>
        <v>94</v>
      </c>
      <c r="G91" s="679">
        <f>F91-$K17</f>
        <v>92</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 thickTop="1">
      <c r="A92" s="669"/>
      <c r="B92" s="673" t="s">
        <v>584</v>
      </c>
      <c r="C92" s="708" t="s">
        <v>579</v>
      </c>
      <c r="D92" s="708" t="s">
        <v>580</v>
      </c>
      <c r="E92" s="708" t="s">
        <v>581</v>
      </c>
      <c r="F92" s="708" t="s">
        <v>582</v>
      </c>
      <c r="G92" s="708" t="s">
        <v>583</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 thickTop="1">
      <c r="A94" s="669"/>
      <c r="B94" s="673" t="s">
        <v>585</v>
      </c>
      <c r="C94" s="708" t="s">
        <v>579</v>
      </c>
      <c r="D94" s="708" t="s">
        <v>580</v>
      </c>
      <c r="E94" s="708" t="s">
        <v>581</v>
      </c>
      <c r="F94" s="708" t="s">
        <v>582</v>
      </c>
      <c r="G94" s="708" t="s">
        <v>583</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 thickTop="1">
      <c r="A96" s="669"/>
      <c r="B96" s="673" t="s">
        <v>586</v>
      </c>
      <c r="C96" s="708" t="s">
        <v>579</v>
      </c>
      <c r="D96" s="708" t="s">
        <v>580</v>
      </c>
      <c r="E96" s="708" t="s">
        <v>581</v>
      </c>
      <c r="F96" s="708" t="s">
        <v>582</v>
      </c>
      <c r="G96" s="708" t="s">
        <v>583</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679">
        <v>100</v>
      </c>
      <c r="D97" s="679">
        <f>C97-$K23</f>
        <v>98</v>
      </c>
      <c r="E97" s="679">
        <f>D97-$K23</f>
        <v>96</v>
      </c>
      <c r="F97" s="679">
        <f>E97-$K23</f>
        <v>94</v>
      </c>
      <c r="G97" s="679">
        <f>F97-$K23</f>
        <v>92</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6" customFormat="1" ht="14.4" thickBot="1">
      <c r="A99" s="709"/>
      <c r="B99" s="678"/>
      <c r="C99" s="712">
        <v>100</v>
      </c>
      <c r="D99" s="679">
        <f>C99-$K25</f>
        <v>98</v>
      </c>
      <c r="E99" s="679">
        <f>D99-$K25</f>
        <v>96</v>
      </c>
      <c r="F99" s="679">
        <f>E99-$K25</f>
        <v>94</v>
      </c>
      <c r="G99" s="679">
        <f>F99-$K25</f>
        <v>92</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5" customFormat="1" ht="15" thickTop="1">
      <c r="A102" s="687"/>
      <c r="B102" s="1879" t="s">
        <v>2545</v>
      </c>
      <c r="C102" s="703" t="s">
        <v>579</v>
      </c>
      <c r="D102" s="703" t="s">
        <v>580</v>
      </c>
      <c r="E102" s="703" t="s">
        <v>581</v>
      </c>
      <c r="F102" s="703" t="s">
        <v>582</v>
      </c>
      <c r="G102" s="703" t="s">
        <v>583</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5" customFormat="1" ht="15" thickTop="1">
      <c r="A104" s="687"/>
      <c r="B104" s="2559" t="s">
        <v>2547</v>
      </c>
      <c r="C104" s="2560" t="s">
        <v>2548</v>
      </c>
      <c r="D104" s="2560" t="s">
        <v>2549</v>
      </c>
      <c r="E104" s="2560" t="s">
        <v>2550</v>
      </c>
      <c r="F104" s="2560" t="s">
        <v>2551</v>
      </c>
      <c r="G104" s="2560" t="s">
        <v>2552</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5" customFormat="1" ht="14.4" thickBot="1">
      <c r="A105" s="687"/>
      <c r="B105" s="681"/>
      <c r="C105" s="679">
        <v>100</v>
      </c>
      <c r="D105" s="679">
        <f>C105-$K31</f>
        <v>98</v>
      </c>
      <c r="E105" s="679">
        <f>D105-$K31</f>
        <v>96</v>
      </c>
      <c r="F105" s="679">
        <f>E105-$K31</f>
        <v>94</v>
      </c>
      <c r="G105" s="679">
        <f>F105-$K31</f>
        <v>92</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9"/>
      <c r="O107" s="2149"/>
      <c r="P107" s="2148"/>
      <c r="Q107" s="2141"/>
      <c r="R107" s="2128"/>
      <c r="S107" s="2128"/>
      <c r="T107" s="2128"/>
      <c r="U107" s="2128"/>
      <c r="V107" s="2128"/>
      <c r="W107" s="2128"/>
      <c r="X107" s="2128"/>
      <c r="Y107" s="2128"/>
      <c r="Z107" s="2128"/>
      <c r="AA107" s="2128"/>
      <c r="AB107" s="2128"/>
      <c r="AC107" s="2128"/>
    </row>
    <row r="108" spans="1:29" ht="29.4" thickTop="1">
      <c r="A108" s="669"/>
      <c r="B108" s="673" t="s">
        <v>548</v>
      </c>
      <c r="C108" s="3183" t="s">
        <v>3117</v>
      </c>
      <c r="D108" s="3183" t="s">
        <v>3118</v>
      </c>
      <c r="E108" s="3183" t="s">
        <v>3119</v>
      </c>
      <c r="F108" s="3183" t="s">
        <v>3121</v>
      </c>
      <c r="G108" s="3183" t="s">
        <v>3122</v>
      </c>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4.4"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49"/>
      <c r="O109" s="2149"/>
      <c r="P109" s="2148"/>
      <c r="Q109" s="2141"/>
      <c r="R109" s="2128"/>
      <c r="S109" s="2128"/>
      <c r="T109" s="2128"/>
      <c r="U109" s="2128"/>
      <c r="V109" s="2128"/>
      <c r="W109" s="2128"/>
      <c r="X109" s="2128"/>
      <c r="Y109" s="2128"/>
      <c r="Z109" s="2128"/>
      <c r="AA109" s="2128"/>
      <c r="AB109" s="2128"/>
      <c r="AC109" s="2128"/>
    </row>
    <row r="110" spans="1:29" ht="15" thickTop="1">
      <c r="A110" s="669"/>
      <c r="B110" s="673" t="s">
        <v>549</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4.4"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4.4"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4.4"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5" customFormat="1" ht="14.4"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5" customFormat="1" ht="14.4"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7.6">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40" t="str">
        <f t="shared" si="25"/>
        <v>(含)-</v>
      </c>
      <c r="K118" s="3040" t="str">
        <f t="shared" si="25"/>
        <v>(含)-</v>
      </c>
      <c r="L118" s="3041" t="str">
        <f t="shared" si="25"/>
        <v>(含)-</v>
      </c>
      <c r="M118" s="3042"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c r="A119" s="669"/>
      <c r="B119" s="681"/>
      <c r="C119" s="730">
        <v>0</v>
      </c>
      <c r="D119" s="730">
        <v>10000</v>
      </c>
      <c r="E119" s="730">
        <v>20000</v>
      </c>
      <c r="F119" s="730">
        <v>30000</v>
      </c>
      <c r="G119" s="730">
        <v>40000</v>
      </c>
      <c r="H119" s="730"/>
      <c r="I119" s="730"/>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4.4" thickBot="1">
      <c r="A120" s="669"/>
      <c r="B120" s="678"/>
      <c r="C120" s="700">
        <v>100</v>
      </c>
      <c r="D120" s="726">
        <v>102</v>
      </c>
      <c r="E120" s="726">
        <v>104</v>
      </c>
      <c r="F120" s="726">
        <v>106</v>
      </c>
      <c r="G120" s="726">
        <v>108</v>
      </c>
      <c r="H120" s="726"/>
      <c r="I120" s="726"/>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594</v>
      </c>
      <c r="C121" s="3192" t="s">
        <v>3146</v>
      </c>
      <c r="D121" s="718"/>
      <c r="E121" s="718"/>
      <c r="F121" s="718"/>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4.4"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595</v>
      </c>
      <c r="C123" s="3183" t="s">
        <v>3151</v>
      </c>
      <c r="D123" s="688"/>
      <c r="E123" s="688"/>
      <c r="F123" s="718"/>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4.4"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49"/>
      <c r="O124" s="2149"/>
      <c r="P124" s="2148"/>
      <c r="Q124" s="2141"/>
      <c r="R124" s="2128"/>
      <c r="S124" s="2128"/>
      <c r="T124" s="2128"/>
      <c r="U124" s="2128"/>
      <c r="V124" s="2128"/>
      <c r="W124" s="2128"/>
      <c r="X124" s="2128"/>
      <c r="Y124" s="2128"/>
      <c r="Z124" s="2128"/>
      <c r="AA124" s="2128"/>
      <c r="AB124" s="2128"/>
      <c r="AC124" s="2128"/>
    </row>
    <row r="125" spans="1:29" s="1335" customFormat="1" ht="15" thickTop="1">
      <c r="A125" s="728"/>
      <c r="B125" s="1879" t="s">
        <v>2422</v>
      </c>
      <c r="C125" s="3193" t="s">
        <v>3149</v>
      </c>
      <c r="D125" s="1371"/>
      <c r="E125" s="1371"/>
      <c r="F125" s="1371"/>
      <c r="G125" s="1371"/>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5" customFormat="1" ht="14.4"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596</v>
      </c>
      <c r="C127" s="3183" t="s">
        <v>3147</v>
      </c>
      <c r="D127" s="688"/>
      <c r="E127" s="718"/>
      <c r="F127" s="718"/>
      <c r="G127" s="718"/>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4.4"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49"/>
      <c r="O128" s="2149"/>
      <c r="P128" s="2148"/>
      <c r="Q128" s="2141"/>
      <c r="R128" s="2128"/>
      <c r="S128" s="2128"/>
      <c r="T128" s="2128"/>
      <c r="U128" s="2128"/>
      <c r="V128" s="2128"/>
      <c r="W128" s="2128"/>
      <c r="X128" s="2128"/>
      <c r="Y128" s="2128"/>
      <c r="Z128" s="2128"/>
      <c r="AA128" s="2128"/>
      <c r="AB128" s="2128"/>
      <c r="AC128" s="2128"/>
    </row>
    <row r="129" spans="1:29" ht="14.4"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4.4"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4.4"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4.4"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5" customFormat="1" ht="14.4"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5" customFormat="1" ht="14.4"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3"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3"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3"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3"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3"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3"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3"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3"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3"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3"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3"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3"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3"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3"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3"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3"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3"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3"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3"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3"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3"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3"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3"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3"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3"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3"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3"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3"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3"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3"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3"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3"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3"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3"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3"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3"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3"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3"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3"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3"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3"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3"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3"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3"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3"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3"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3"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3"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3"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3"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3"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3"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3"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3"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3"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3"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3"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3"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3"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3"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3"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3"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3"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3"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3"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3"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3"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3"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3"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3"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3"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3"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3"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3"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3"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3"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3"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3"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3"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3"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3"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3"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3"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3"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3"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3"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3"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3"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3"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3"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3"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3"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3"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3"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3"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3"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3"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3"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3"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3"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3"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3"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3"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3"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3"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3"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3"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3"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3"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3"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3"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3"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3"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3"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3"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3"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3"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3"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3"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3"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3"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1900</v>
      </c>
      <c r="B36" s="1639" t="s">
        <v>1901</v>
      </c>
    </row>
    <row r="37" spans="1:9" ht="28.5" customHeight="1">
      <c r="A37" s="1639"/>
      <c r="B37" s="3203" t="str">
        <f>项目基本情况!B1</f>
        <v>重庆市潼南区梓潼街道办凉风垭C2-3-04（1）号地块出让国有建设用地使用权抵押价格预评估</v>
      </c>
      <c r="C37" s="3203"/>
      <c r="D37" s="3203"/>
      <c r="E37" s="3203"/>
      <c r="F37" s="3203"/>
      <c r="G37" s="3203"/>
      <c r="H37" s="3203"/>
      <c r="I37" s="3203"/>
    </row>
    <row r="38" spans="1:9">
      <c r="A38" s="1641"/>
      <c r="B38" s="1641"/>
    </row>
    <row r="39" spans="1:9">
      <c r="A39" s="1639" t="s">
        <v>1900</v>
      </c>
      <c r="B39" s="1639" t="s">
        <v>2043</v>
      </c>
    </row>
    <row r="40" spans="1:9">
      <c r="A40" s="1639"/>
      <c r="B40" s="1639">
        <f>项目基本情况!B5</f>
        <v>0</v>
      </c>
    </row>
    <row r="41" spans="1:9">
      <c r="A41" s="1639"/>
      <c r="B41" s="1639"/>
    </row>
    <row r="42" spans="1:9">
      <c r="A42" s="1639" t="s">
        <v>1900</v>
      </c>
      <c r="B42" s="1639" t="s">
        <v>2044</v>
      </c>
    </row>
    <row r="43" spans="1:9">
      <c r="A43" s="1639"/>
      <c r="B43" s="1639" t="s">
        <v>1902</v>
      </c>
    </row>
    <row r="44" spans="1:9">
      <c r="A44" s="1639"/>
      <c r="B44" s="1639"/>
    </row>
    <row r="45" spans="1:9">
      <c r="A45" s="1639" t="s">
        <v>1900</v>
      </c>
      <c r="B45" s="1639" t="s">
        <v>2042</v>
      </c>
    </row>
    <row r="46" spans="1:9" s="1639" customFormat="1">
      <c r="B46" s="1639" t="str">
        <f>项目基本情况!K4</f>
        <v>土地估价师、土地估价师</v>
      </c>
    </row>
    <row r="47" spans="1:9">
      <c r="A47" s="1639"/>
      <c r="B47" s="1639"/>
    </row>
    <row r="48" spans="1:9">
      <c r="A48" s="1639" t="s">
        <v>1900</v>
      </c>
      <c r="B48" s="1639" t="s">
        <v>2045</v>
      </c>
    </row>
    <row r="49" spans="2:2">
      <c r="B49" s="1639"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7" customWidth="1"/>
    <col min="2" max="2" width="25.77734375" style="2097" customWidth="1"/>
    <col min="3" max="3" width="10.33203125" style="2108" customWidth="1"/>
    <col min="4" max="4" width="12" style="2097" customWidth="1"/>
    <col min="5" max="5" width="9.44140625" style="2107" customWidth="1"/>
    <col min="6" max="6" width="10.109375" style="2097" customWidth="1"/>
    <col min="7" max="7" width="9.441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41" s="2024" customFormat="1" ht="21">
      <c r="A1" s="421" t="s">
        <v>466</v>
      </c>
      <c r="B1" s="2762"/>
      <c r="C1" s="2087"/>
      <c r="D1" s="2087"/>
      <c r="E1" s="2087"/>
      <c r="F1" s="2087"/>
      <c r="G1" s="2087"/>
      <c r="H1" s="2087"/>
      <c r="I1" s="2087"/>
      <c r="J1" s="2087"/>
      <c r="K1" s="422">
        <f>MATCH(B1,'数据-取费表'!A6:A16,0)+5</f>
        <v>10</v>
      </c>
    </row>
    <row r="2" spans="1:41" s="2024" customFormat="1" ht="18" customHeight="1">
      <c r="A2" s="423" t="s">
        <v>467</v>
      </c>
      <c r="B2" s="424">
        <f ca="1">C32</f>
        <v>0</v>
      </c>
      <c r="C2" s="2087"/>
      <c r="D2" s="2087"/>
      <c r="E2" s="2087"/>
      <c r="F2" s="2087"/>
      <c r="G2" s="2087"/>
      <c r="H2" s="2087"/>
      <c r="I2" s="2087"/>
      <c r="J2" s="2087"/>
      <c r="K2" s="2087"/>
    </row>
    <row r="3" spans="1:41" s="2024" customFormat="1" ht="18" customHeight="1">
      <c r="A3" s="1375" t="s">
        <v>1683</v>
      </c>
      <c r="B3" s="425">
        <f ca="1">ROUND(B2*10000/IF(B1="",'数据-汇总表'!E3,INDIRECT("'数据-取费表'!K"&amp;$K$1)),0)</f>
        <v>0</v>
      </c>
      <c r="C3" s="2087"/>
      <c r="D3" s="2087"/>
      <c r="E3" s="2087"/>
      <c r="F3" s="2087"/>
      <c r="G3" s="2087"/>
      <c r="H3" s="2087"/>
      <c r="I3" s="2087"/>
      <c r="J3" s="2087"/>
      <c r="K3" s="2087"/>
    </row>
    <row r="4" spans="1:41" s="2024" customFormat="1" ht="18" customHeight="1">
      <c r="A4" s="426" t="s">
        <v>468</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469</v>
      </c>
      <c r="D5" s="2087"/>
      <c r="E5" s="2087"/>
      <c r="F5" s="2087"/>
      <c r="G5" s="2087"/>
      <c r="H5" s="2087"/>
      <c r="I5" s="2087"/>
      <c r="J5" s="2087"/>
      <c r="K5" s="2087"/>
    </row>
    <row r="6" spans="1:41" s="2094" customFormat="1" ht="16.5" customHeight="1">
      <c r="A6" s="432" t="s">
        <v>2648</v>
      </c>
      <c r="B6" s="433"/>
      <c r="C6" s="1608">
        <f>SUM(C10:K10)</f>
        <v>0</v>
      </c>
      <c r="D6" s="2092"/>
      <c r="E6" s="2092"/>
      <c r="F6" s="2092"/>
      <c r="G6" s="2092"/>
      <c r="H6" s="2092"/>
      <c r="I6" s="2092"/>
      <c r="J6" s="2092"/>
      <c r="K6" s="2093"/>
    </row>
    <row r="7" spans="1:41" s="2096" customFormat="1" ht="14.4">
      <c r="A7" s="434" t="s">
        <v>470</v>
      </c>
      <c r="B7" s="435" t="s">
        <v>471</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6" t="s">
        <v>1844</v>
      </c>
      <c r="B8" s="438" t="s">
        <v>472</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6"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7" t="s">
        <v>1846</v>
      </c>
      <c r="B10" s="1609" t="s">
        <v>474</v>
      </c>
      <c r="C10" s="1610"/>
      <c r="D10" s="1610"/>
      <c r="E10" s="1610"/>
      <c r="F10" s="1611"/>
      <c r="G10" s="1611"/>
      <c r="H10" s="1611"/>
      <c r="I10" s="1611"/>
      <c r="J10" s="1611"/>
      <c r="K10" s="1612"/>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5" t="s">
        <v>1863</v>
      </c>
      <c r="B11" s="1606"/>
      <c r="C11" s="1606"/>
      <c r="D11" s="1606"/>
      <c r="E11" s="1606"/>
      <c r="F11" s="1606"/>
      <c r="G11" s="1606"/>
      <c r="H11" s="1606"/>
      <c r="I11" s="1606"/>
      <c r="J11" s="1606"/>
      <c r="K11" s="1607"/>
    </row>
    <row r="12" spans="1:41" s="2068" customFormat="1" ht="13.5" customHeight="1">
      <c r="A12" s="434" t="s">
        <v>470</v>
      </c>
      <c r="B12" s="444" t="s">
        <v>471</v>
      </c>
      <c r="C12" s="445" t="s">
        <v>475</v>
      </c>
      <c r="D12" s="446" t="s">
        <v>476</v>
      </c>
      <c r="E12" s="446" t="s">
        <v>477</v>
      </c>
      <c r="F12" s="446" t="s">
        <v>478</v>
      </c>
      <c r="G12" s="444"/>
      <c r="H12" s="447"/>
      <c r="I12" s="447"/>
      <c r="J12" s="447"/>
      <c r="K12" s="448"/>
    </row>
    <row r="13" spans="1:41" s="2099" customFormat="1" ht="13.5" customHeight="1">
      <c r="A13" s="1618" t="s">
        <v>1847</v>
      </c>
      <c r="B13" s="449" t="s">
        <v>479</v>
      </c>
      <c r="C13" s="450">
        <f ca="1">IF(B1="",'数据-取费表'!M16,INDIRECT("'数据-取费表'!M"&amp;$K$1)+INDIRECT("'数据-取费表'!t"&amp;$K$1))</f>
        <v>23814</v>
      </c>
      <c r="D13" s="451"/>
      <c r="E13" s="365"/>
      <c r="F13" s="452"/>
      <c r="G13" s="444"/>
      <c r="H13" s="447"/>
      <c r="I13" s="447"/>
      <c r="J13" s="447"/>
      <c r="K13" s="448"/>
    </row>
    <row r="14" spans="1:41" s="2099" customFormat="1" ht="13.5" customHeight="1">
      <c r="A14" s="1618" t="s">
        <v>1848</v>
      </c>
      <c r="B14" s="449" t="s">
        <v>480</v>
      </c>
      <c r="C14" s="53">
        <f ca="1">ROUND(C13*F14,0)</f>
        <v>714</v>
      </c>
      <c r="D14" s="451"/>
      <c r="E14" s="365"/>
      <c r="F14" s="453">
        <f>'数据-取费表'!B33</f>
        <v>0.03</v>
      </c>
      <c r="G14" s="444" t="s">
        <v>502</v>
      </c>
      <c r="H14" s="447"/>
      <c r="I14" s="447"/>
      <c r="J14" s="447"/>
      <c r="K14" s="448"/>
    </row>
    <row r="15" spans="1:41" s="2099" customFormat="1" ht="13.5" customHeight="1">
      <c r="A15" s="1618" t="s">
        <v>1849</v>
      </c>
      <c r="B15" s="449" t="s">
        <v>482</v>
      </c>
      <c r="C15" s="53">
        <f ca="1">ROUND(IF(B1="",SUMIF('数据-取费表'!C:C,"住宅",'数据-取费表'!M:M)*F15,IF(INDIRECT("'数据-取费表'!c"&amp;$K$1)="住宅",INDIRECT("'数据-取费表'!M"&amp;$K$1)*F15,0)),0)</f>
        <v>627</v>
      </c>
      <c r="D15" s="451"/>
      <c r="E15" s="365"/>
      <c r="F15" s="453">
        <f>'数据-取费表'!B34</f>
        <v>0.03</v>
      </c>
      <c r="G15" s="444" t="s">
        <v>502</v>
      </c>
      <c r="H15" s="447"/>
      <c r="I15" s="447"/>
      <c r="J15" s="447"/>
      <c r="K15" s="448"/>
    </row>
    <row r="16" spans="1:41" s="2100" customFormat="1" ht="13.5" customHeight="1">
      <c r="A16" s="1618" t="s">
        <v>1850</v>
      </c>
      <c r="B16" s="449" t="s">
        <v>484</v>
      </c>
      <c r="C16" s="53">
        <f ca="1">ROUND(D16*E16/10000,0)</f>
        <v>2282</v>
      </c>
      <c r="D16" s="451">
        <f ca="1">IF(B1="",'数据-汇总表'!E3,INDIRECT("'数据-取费表'!K"&amp;$K$1)+INDIRECT("'数据-取费表'!S"&amp;$K$1))</f>
        <v>114120</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8" t="s">
        <v>1851</v>
      </c>
      <c r="B17" s="449" t="s">
        <v>485</v>
      </c>
      <c r="C17" s="454">
        <f ca="1">ROUND(C13*F17,0)</f>
        <v>357</v>
      </c>
      <c r="D17" s="455"/>
      <c r="E17" s="454"/>
      <c r="F17" s="456">
        <f>'数据-取费表'!B36</f>
        <v>1.4999999999999999E-2</v>
      </c>
      <c r="G17" s="444" t="s">
        <v>502</v>
      </c>
      <c r="H17" s="457"/>
      <c r="I17" s="457"/>
      <c r="J17" s="457"/>
      <c r="K17" s="458"/>
    </row>
    <row r="18" spans="1:14" s="2102" customFormat="1" ht="13.5" customHeight="1">
      <c r="A18" s="1619" t="s">
        <v>1852</v>
      </c>
      <c r="B18" s="459" t="s">
        <v>487</v>
      </c>
      <c r="C18" s="460">
        <f ca="1">SUM(C13:C17)</f>
        <v>27794</v>
      </c>
      <c r="D18" s="461"/>
      <c r="E18" s="462"/>
      <c r="F18" s="462"/>
      <c r="G18" s="1323" t="s">
        <v>2429</v>
      </c>
      <c r="H18" s="447"/>
      <c r="I18" s="447"/>
      <c r="J18" s="447"/>
      <c r="K18" s="448"/>
    </row>
    <row r="19" spans="1:14" s="2102" customFormat="1" ht="13.5" customHeight="1">
      <c r="A19" s="1619" t="s">
        <v>1853</v>
      </c>
      <c r="B19" s="459" t="s">
        <v>493</v>
      </c>
      <c r="C19" s="460">
        <f ca="1">ROUND(C18*F19,0)</f>
        <v>556</v>
      </c>
      <c r="D19" s="462"/>
      <c r="E19" s="462"/>
      <c r="F19" s="466">
        <f>'数据-取费表'!B37</f>
        <v>0.02</v>
      </c>
      <c r="G19" s="444" t="s">
        <v>503</v>
      </c>
      <c r="H19" s="447"/>
      <c r="I19" s="447"/>
      <c r="J19" s="447"/>
      <c r="K19" s="448"/>
      <c r="L19" s="2104"/>
      <c r="M19" s="2104"/>
      <c r="N19" s="2104"/>
    </row>
    <row r="20" spans="1:14" s="2102" customFormat="1" ht="13.5" customHeight="1">
      <c r="A20" s="1619" t="s">
        <v>1854</v>
      </c>
      <c r="B20" s="459" t="s">
        <v>504</v>
      </c>
      <c r="C20" s="2980">
        <f>F20</f>
        <v>0.02</v>
      </c>
      <c r="D20" s="469" t="s">
        <v>505</v>
      </c>
      <c r="E20" s="469"/>
      <c r="F20" s="486">
        <f>'数据-取费表'!B38</f>
        <v>0.02</v>
      </c>
      <c r="G20" s="1323" t="s">
        <v>506</v>
      </c>
      <c r="H20" s="447"/>
      <c r="I20" s="447"/>
      <c r="J20" s="447"/>
      <c r="K20" s="448"/>
      <c r="L20" s="2104"/>
      <c r="M20" s="2104"/>
      <c r="N20" s="2104"/>
    </row>
    <row r="21" spans="1:14" s="2104" customFormat="1" ht="13.5" customHeight="1">
      <c r="A21" s="1619" t="s">
        <v>1857</v>
      </c>
      <c r="B21" s="461" t="s">
        <v>494</v>
      </c>
      <c r="C21" s="470">
        <f ca="1">C22</f>
        <v>1347</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1" t="s">
        <v>2451</v>
      </c>
    </row>
    <row r="22" spans="1:14" s="2103" customFormat="1" ht="13.5" customHeight="1">
      <c r="A22" s="1618" t="s">
        <v>1847</v>
      </c>
      <c r="B22" s="1324" t="s">
        <v>2432</v>
      </c>
      <c r="C22" s="487">
        <f ca="1">ROUND(IF('数据-取费表'!B22&lt;=1,(C18+C19)*F21*'数据-取费表'!B20/2,(C18+C19)*(POWER((1+F21),'数据-取费表'!B20/2)-1)),0)</f>
        <v>1347</v>
      </c>
      <c r="D22" s="472"/>
      <c r="E22" s="473"/>
      <c r="F22" s="474"/>
      <c r="G22" s="2529" t="str">
        <f>IF('数据-取费表'!B22&lt;=1,"((1)+(2))×年利率×建设期÷2","((1)+(2))×((1+年利率)^(建设期÷2)-1)")</f>
        <v>((1)+(2))×((1+年利率)^(建设期÷2)-1)</v>
      </c>
      <c r="H22" s="457"/>
      <c r="I22" s="457"/>
      <c r="J22" s="457"/>
      <c r="K22" s="458"/>
    </row>
    <row r="23" spans="1:14" s="2103" customFormat="1" ht="13.5" customHeight="1">
      <c r="A23" s="1618" t="s">
        <v>1848</v>
      </c>
      <c r="B23" s="1324" t="s">
        <v>508</v>
      </c>
      <c r="C23" s="488">
        <f ca="1">ROUND(IF('数据-取费表'!B22&lt;=1,F20*F21*'数据-取费表'!B20/2,F20*(POWER((1+F21),'数据-取费表'!B20/2)-1)),4)</f>
        <v>1E-3</v>
      </c>
      <c r="D23" s="472"/>
      <c r="E23" s="473"/>
      <c r="F23" s="474"/>
      <c r="G23" s="2529" t="str">
        <f>IF('数据-取费表'!B22&lt;=1,"销售费用率×年利率×建设期÷2","销售费用率×((1+年利率)^(建设期÷2)-1)")</f>
        <v>销售费用率×((1+年利率)^(建设期÷2)-1)</v>
      </c>
      <c r="H23" s="457"/>
      <c r="I23" s="457"/>
      <c r="J23" s="457"/>
      <c r="K23" s="458"/>
    </row>
    <row r="24" spans="1:14" s="2103" customFormat="1" ht="13.5" customHeight="1">
      <c r="A24" s="1619" t="s">
        <v>1858</v>
      </c>
      <c r="B24" s="2982" t="s">
        <v>2828</v>
      </c>
      <c r="C24" s="478">
        <f ca="1">C25</f>
        <v>4536</v>
      </c>
      <c r="D24" s="489">
        <f ca="1">C26</f>
        <v>3.2000000000000002E-3</v>
      </c>
      <c r="E24" s="469" t="s">
        <v>507</v>
      </c>
      <c r="F24" s="479">
        <f ca="1">IF(B1="",'数据-取费表'!Q16,INDIRECT("'数据-取费表'!q"&amp;$K$1))</f>
        <v>0.16</v>
      </c>
      <c r="G24" s="444"/>
      <c r="H24" s="447"/>
      <c r="I24" s="447"/>
      <c r="J24" s="447"/>
      <c r="K24" s="448"/>
    </row>
    <row r="25" spans="1:14" s="2103" customFormat="1" ht="13.5" customHeight="1">
      <c r="A25" s="1618" t="s">
        <v>1847</v>
      </c>
      <c r="B25" s="1324" t="s">
        <v>2433</v>
      </c>
      <c r="C25" s="490">
        <f ca="1">ROUND((C18+C19)*F24,0)</f>
        <v>4536</v>
      </c>
      <c r="D25" s="472"/>
      <c r="E25" s="473"/>
      <c r="F25" s="480"/>
      <c r="G25" s="1322" t="s">
        <v>2430</v>
      </c>
      <c r="H25" s="457"/>
      <c r="I25" s="457"/>
      <c r="J25" s="457"/>
      <c r="K25" s="458"/>
    </row>
    <row r="26" spans="1:14" s="2103" customFormat="1" ht="13.5" customHeight="1">
      <c r="A26" s="1618" t="s">
        <v>1848</v>
      </c>
      <c r="B26" s="1324" t="s">
        <v>509</v>
      </c>
      <c r="C26" s="491">
        <f ca="1">ROUND(F20*F24,4)</f>
        <v>3.2000000000000002E-3</v>
      </c>
      <c r="D26" s="472"/>
      <c r="E26" s="481"/>
      <c r="F26" s="480"/>
      <c r="G26" s="1322" t="s">
        <v>510</v>
      </c>
      <c r="H26" s="457"/>
      <c r="I26" s="457"/>
      <c r="J26" s="457"/>
      <c r="K26" s="458"/>
    </row>
    <row r="27" spans="1:14" s="2103" customFormat="1" ht="13.5" customHeight="1">
      <c r="A27" s="1622" t="s">
        <v>1866</v>
      </c>
      <c r="B27" s="459" t="s">
        <v>511</v>
      </c>
      <c r="C27" s="2981">
        <f>ROUND(F27/(1+'数据-取费表'!C42),4)</f>
        <v>5.2400000000000002E-2</v>
      </c>
      <c r="D27" s="462" t="s">
        <v>2826</v>
      </c>
      <c r="E27" s="462"/>
      <c r="F27" s="466">
        <f>'数据-取费表'!B41</f>
        <v>5.5000000000000007E-2</v>
      </c>
      <c r="G27" s="1943" t="s">
        <v>2288</v>
      </c>
      <c r="H27" s="447"/>
      <c r="I27" s="447"/>
      <c r="J27" s="447"/>
      <c r="K27" s="448"/>
    </row>
    <row r="28" spans="1:14" s="2104" customFormat="1" ht="13.5" customHeight="1">
      <c r="A28" s="1622" t="s">
        <v>1867</v>
      </c>
      <c r="B28" s="476" t="s">
        <v>512</v>
      </c>
      <c r="C28" s="470">
        <f ca="1">ROUND((C18+C19+C21+C24)/(1-C20-D21-D24-C27),0)</f>
        <v>37073</v>
      </c>
      <c r="D28" s="477"/>
      <c r="E28" s="469"/>
      <c r="F28" s="471"/>
      <c r="G28" s="1323" t="s">
        <v>2431</v>
      </c>
      <c r="H28" s="447"/>
      <c r="I28" s="447"/>
      <c r="J28" s="447"/>
      <c r="K28" s="448"/>
    </row>
    <row r="29" spans="1:14" s="2104" customFormat="1" ht="13.5" customHeight="1">
      <c r="A29" s="1622" t="s">
        <v>1868</v>
      </c>
      <c r="B29" s="476" t="s">
        <v>513</v>
      </c>
      <c r="C29" s="492">
        <f ca="1">IF(B1="",'数据-取费表'!N16,INDIRECT("'数据-取费表'!N"&amp;$K$1))</f>
        <v>0</v>
      </c>
      <c r="D29" s="493"/>
      <c r="E29" s="494"/>
      <c r="F29" s="495"/>
      <c r="G29" s="444"/>
      <c r="H29" s="447"/>
      <c r="I29" s="447"/>
      <c r="J29" s="447"/>
      <c r="K29" s="448"/>
    </row>
    <row r="30" spans="1:14" s="2104" customFormat="1" ht="13.5" customHeight="1">
      <c r="A30" s="443">
        <v>2</v>
      </c>
      <c r="B30" s="476" t="s">
        <v>514</v>
      </c>
      <c r="C30" s="497">
        <f ca="1">ROUND(C28*C29,0)</f>
        <v>0</v>
      </c>
      <c r="D30" s="493"/>
      <c r="E30" s="498"/>
      <c r="F30" s="499"/>
      <c r="G30" s="1325" t="s">
        <v>515</v>
      </c>
      <c r="H30" s="496"/>
      <c r="I30" s="496"/>
      <c r="J30" s="447"/>
      <c r="K30" s="448"/>
    </row>
    <row r="31" spans="1:14" s="2109" customFormat="1" ht="13.5" customHeight="1">
      <c r="A31" s="2444" t="s">
        <v>1864</v>
      </c>
      <c r="B31" s="1326"/>
      <c r="C31" s="500">
        <f>ROUND(C6*F31/(1+'数据-取费表'!C42),0)</f>
        <v>0</v>
      </c>
      <c r="D31" s="1327"/>
      <c r="E31" s="1327"/>
      <c r="F31" s="501">
        <f>'数据-取费表'!B41</f>
        <v>5.5000000000000007E-2</v>
      </c>
      <c r="G31" s="1328"/>
      <c r="H31" s="1328"/>
      <c r="I31" s="1328"/>
      <c r="J31" s="1329"/>
      <c r="K31" s="1330"/>
    </row>
    <row r="32" spans="1:14" s="2068"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5" t="s">
        <v>2966</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1"/>
      <c r="D2" s="2111"/>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2" customFormat="1" ht="28.5" customHeight="1">
      <c r="A3" s="1376" t="s">
        <v>1684</v>
      </c>
      <c r="B3" s="510" t="e">
        <f>ROUND(B2*10000/'数据-汇总表'!E3,0)</f>
        <v>#DIV/0!</v>
      </c>
      <c r="C3" s="2044"/>
      <c r="D3" s="2044"/>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4"/>
      <c r="D4" s="2044"/>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2"/>
      <c r="AC5" s="428"/>
    </row>
    <row r="6" spans="1:29" ht="14.4">
      <c r="A6" s="512" t="s">
        <v>521</v>
      </c>
      <c r="B6" s="513"/>
      <c r="C6" s="3381" t="s">
        <v>522</v>
      </c>
      <c r="D6" s="3382"/>
      <c r="E6" s="3415" t="s">
        <v>523</v>
      </c>
      <c r="F6" s="3416"/>
      <c r="G6" s="3381" t="s">
        <v>524</v>
      </c>
      <c r="H6" s="3382"/>
      <c r="I6" s="3381" t="s">
        <v>525</v>
      </c>
      <c r="J6" s="3382"/>
      <c r="K6" s="514" t="s">
        <v>526</v>
      </c>
      <c r="L6" s="2116"/>
      <c r="M6" s="2117"/>
      <c r="N6" s="2117"/>
      <c r="O6" s="2117"/>
      <c r="P6" s="3383" t="s">
        <v>527</v>
      </c>
      <c r="Q6" s="3384"/>
      <c r="R6" s="3389" t="s">
        <v>523</v>
      </c>
      <c r="S6" s="3390"/>
      <c r="T6" s="3389" t="s">
        <v>524</v>
      </c>
      <c r="U6" s="3390"/>
      <c r="V6" s="3376" t="s">
        <v>525</v>
      </c>
      <c r="W6" s="3376"/>
      <c r="X6" s="1553"/>
      <c r="Y6" s="3389" t="s">
        <v>527</v>
      </c>
      <c r="Z6" s="3390"/>
      <c r="AA6" s="3378" t="s">
        <v>523</v>
      </c>
      <c r="AB6" s="3379" t="s">
        <v>524</v>
      </c>
      <c r="AC6" s="3378" t="s">
        <v>525</v>
      </c>
    </row>
    <row r="7" spans="1:29">
      <c r="A7" s="515"/>
      <c r="B7" s="516"/>
      <c r="C7" s="3397" t="s">
        <v>2923</v>
      </c>
      <c r="D7" s="3398"/>
      <c r="E7" s="3417" t="s">
        <v>2924</v>
      </c>
      <c r="F7" s="3418"/>
      <c r="G7" s="3397" t="s">
        <v>2925</v>
      </c>
      <c r="H7" s="3398"/>
      <c r="I7" s="3397" t="s">
        <v>2926</v>
      </c>
      <c r="J7" s="3398"/>
      <c r="K7" s="514"/>
      <c r="L7" s="2116"/>
      <c r="M7" s="2117"/>
      <c r="N7" s="2117"/>
      <c r="O7" s="2117"/>
      <c r="P7" s="3385"/>
      <c r="Q7" s="3386"/>
      <c r="R7" s="3391"/>
      <c r="S7" s="3392"/>
      <c r="T7" s="3391"/>
      <c r="U7" s="3392"/>
      <c r="V7" s="3376"/>
      <c r="W7" s="3376"/>
      <c r="X7" s="1553"/>
      <c r="Y7" s="3391"/>
      <c r="Z7" s="3392"/>
      <c r="AA7" s="3379"/>
      <c r="AB7" s="3379"/>
      <c r="AC7" s="3379"/>
    </row>
    <row r="8" spans="1:29" ht="15" thickBot="1">
      <c r="A8" s="517"/>
      <c r="B8" s="518"/>
      <c r="C8" s="3395" t="s">
        <v>2927</v>
      </c>
      <c r="D8" s="3396"/>
      <c r="E8" s="3413" t="s">
        <v>2927</v>
      </c>
      <c r="F8" s="3414"/>
      <c r="G8" s="3395" t="s">
        <v>2927</v>
      </c>
      <c r="H8" s="3396"/>
      <c r="I8" s="3395" t="s">
        <v>2927</v>
      </c>
      <c r="J8" s="3396"/>
      <c r="K8" s="514" t="s">
        <v>528</v>
      </c>
      <c r="L8" s="2116"/>
      <c r="M8" s="2117"/>
      <c r="N8" s="2117"/>
      <c r="O8" s="2117"/>
      <c r="P8" s="3387"/>
      <c r="Q8" s="3388"/>
      <c r="R8" s="3391"/>
      <c r="S8" s="3392"/>
      <c r="T8" s="3393"/>
      <c r="U8" s="3394"/>
      <c r="V8" s="3376"/>
      <c r="W8" s="3376"/>
      <c r="X8" s="1553"/>
      <c r="Y8" s="3393"/>
      <c r="Z8" s="3394"/>
      <c r="AA8" s="3380"/>
      <c r="AB8" s="3380"/>
      <c r="AC8" s="3380"/>
    </row>
    <row r="9" spans="1:29" s="1216" customFormat="1" ht="15" thickBot="1">
      <c r="A9" s="2865"/>
      <c r="B9" s="2872" t="s">
        <v>529</v>
      </c>
      <c r="C9" s="519">
        <f>'数据-取费表'!B2</f>
        <v>43889</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406" t="s">
        <v>530</v>
      </c>
      <c r="Q9" s="3408"/>
      <c r="R9" s="1554" t="s">
        <v>8</v>
      </c>
      <c r="S9" s="1555">
        <f t="shared" ref="S9:S17" si="0">F9</f>
        <v>0</v>
      </c>
      <c r="T9" s="1554" t="s">
        <v>8</v>
      </c>
      <c r="U9" s="1555">
        <f t="shared" ref="U9:U17" si="1">H9</f>
        <v>0</v>
      </c>
      <c r="V9" s="1554" t="s">
        <v>8</v>
      </c>
      <c r="W9" s="1555">
        <f t="shared" ref="W9:W17" si="2">J9</f>
        <v>0</v>
      </c>
      <c r="X9" s="1556"/>
      <c r="Y9" s="3406" t="s">
        <v>530</v>
      </c>
      <c r="Z9" s="3407"/>
      <c r="AA9" s="1557" t="e">
        <f>D9/F9</f>
        <v>#DIV/0!</v>
      </c>
      <c r="AB9" s="1557" t="e">
        <f>D9/H9</f>
        <v>#DIV/0!</v>
      </c>
      <c r="AC9" s="1557" t="e">
        <f>D9/J9</f>
        <v>#DIV/0!</v>
      </c>
    </row>
    <row r="10" spans="1:29" s="1216" customFormat="1" ht="15" thickBot="1">
      <c r="A10" s="2866"/>
      <c r="B10" s="287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406" t="s">
        <v>533</v>
      </c>
      <c r="Q10" s="3407"/>
      <c r="R10" s="1554" t="s">
        <v>8</v>
      </c>
      <c r="S10" s="1555">
        <f t="shared" si="0"/>
        <v>0</v>
      </c>
      <c r="T10" s="1554" t="s">
        <v>8</v>
      </c>
      <c r="U10" s="1555">
        <f t="shared" si="1"/>
        <v>0</v>
      </c>
      <c r="V10" s="1554" t="s">
        <v>8</v>
      </c>
      <c r="W10" s="1555">
        <f t="shared" si="2"/>
        <v>0</v>
      </c>
      <c r="X10" s="1556"/>
      <c r="Y10" s="3406" t="s">
        <v>533</v>
      </c>
      <c r="Z10" s="3407"/>
      <c r="AA10" s="1557" t="e">
        <f t="shared" ref="AA10:AA42" si="3">D10/F10</f>
        <v>#DIV/0!</v>
      </c>
      <c r="AB10" s="1557" t="e">
        <f t="shared" ref="AB10:AB42" si="4">D10/H10</f>
        <v>#DIV/0!</v>
      </c>
      <c r="AC10" s="1557" t="e">
        <f t="shared" ref="AC10:AC42" si="5">D10/J10</f>
        <v>#DIV/0!</v>
      </c>
    </row>
    <row r="11" spans="1:29" s="1216" customFormat="1" ht="14.4">
      <c r="A11" s="2867"/>
      <c r="B11" s="2874" t="s">
        <v>2752</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375" t="s">
        <v>535</v>
      </c>
      <c r="Q11" s="1147" t="str">
        <f t="shared" ref="Q11:Q17" si="6">B11</f>
        <v>用途</v>
      </c>
      <c r="R11" s="1554" t="s">
        <v>8</v>
      </c>
      <c r="S11" s="1555">
        <f t="shared" si="0"/>
        <v>100</v>
      </c>
      <c r="T11" s="1554" t="s">
        <v>8</v>
      </c>
      <c r="U11" s="1555">
        <f t="shared" si="1"/>
        <v>100</v>
      </c>
      <c r="V11" s="1554" t="s">
        <v>8</v>
      </c>
      <c r="W11" s="1555">
        <f t="shared" si="2"/>
        <v>100</v>
      </c>
      <c r="X11" s="1556"/>
      <c r="Y11" s="3321" t="s">
        <v>536</v>
      </c>
      <c r="Z11" s="1146" t="str">
        <f t="shared" ref="Z11:Z17" si="7">Q11</f>
        <v>用途</v>
      </c>
      <c r="AA11" s="1557">
        <f t="shared" si="3"/>
        <v>1</v>
      </c>
      <c r="AB11" s="1557">
        <f t="shared" si="4"/>
        <v>1</v>
      </c>
      <c r="AC11" s="1557">
        <f t="shared" si="5"/>
        <v>1</v>
      </c>
    </row>
    <row r="12" spans="1:29" s="1334" customFormat="1" ht="28.8">
      <c r="A12" s="2868"/>
      <c r="B12" s="2873" t="s">
        <v>2753</v>
      </c>
      <c r="C12" s="528"/>
      <c r="D12" s="255">
        <v>100</v>
      </c>
      <c r="E12" s="528"/>
      <c r="F12" s="255">
        <f>ROUND(100/'数据-取费表'!G16,0)</f>
        <v>104</v>
      </c>
      <c r="G12" s="528"/>
      <c r="H12" s="255">
        <f>ROUND(100/'数据-取费表'!G16,0)</f>
        <v>104</v>
      </c>
      <c r="I12" s="528"/>
      <c r="J12" s="255">
        <f>ROUND(100/'数据-取费表'!G16,0)</f>
        <v>104</v>
      </c>
      <c r="K12" s="531"/>
      <c r="L12" s="2121"/>
      <c r="M12" s="2161"/>
      <c r="N12" s="2161"/>
      <c r="O12" s="2122"/>
      <c r="P12" s="3375"/>
      <c r="Q12" s="1147" t="str">
        <f t="shared" si="6"/>
        <v>土地使用年限（年）</v>
      </c>
      <c r="R12" s="1554" t="s">
        <v>8</v>
      </c>
      <c r="S12" s="1555">
        <f t="shared" si="0"/>
        <v>104</v>
      </c>
      <c r="T12" s="1554" t="s">
        <v>8</v>
      </c>
      <c r="U12" s="1555">
        <f t="shared" si="1"/>
        <v>104</v>
      </c>
      <c r="V12" s="1554" t="s">
        <v>8</v>
      </c>
      <c r="W12" s="1555">
        <f t="shared" si="2"/>
        <v>104</v>
      </c>
      <c r="X12" s="1556"/>
      <c r="Y12" s="3321"/>
      <c r="Z12" s="1146" t="str">
        <f t="shared" si="7"/>
        <v>土地使用年限（年）</v>
      </c>
      <c r="AA12" s="1557">
        <f t="shared" si="3"/>
        <v>0.96153846153846156</v>
      </c>
      <c r="AB12" s="1557">
        <f t="shared" si="4"/>
        <v>0.96153846153846156</v>
      </c>
      <c r="AC12" s="1557">
        <f t="shared" si="5"/>
        <v>0.96153846153846156</v>
      </c>
    </row>
    <row r="13" spans="1:29" ht="15">
      <c r="A13" s="2869"/>
      <c r="B13" s="2873"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375"/>
      <c r="Q13" s="1147" t="str">
        <f t="shared" si="6"/>
        <v>容积率</v>
      </c>
      <c r="R13" s="1554" t="s">
        <v>8</v>
      </c>
      <c r="S13" s="1555" t="e">
        <f t="shared" si="0"/>
        <v>#N/A</v>
      </c>
      <c r="T13" s="1554" t="s">
        <v>8</v>
      </c>
      <c r="U13" s="1555" t="e">
        <f t="shared" si="1"/>
        <v>#N/A</v>
      </c>
      <c r="V13" s="1554" t="s">
        <v>8</v>
      </c>
      <c r="W13" s="1555" t="e">
        <f t="shared" si="2"/>
        <v>#N/A</v>
      </c>
      <c r="X13" s="1556"/>
      <c r="Y13" s="3321"/>
      <c r="Z13" s="1146" t="str">
        <f t="shared" si="7"/>
        <v>容积率</v>
      </c>
      <c r="AA13" s="1557" t="e">
        <f t="shared" si="3"/>
        <v>#N/A</v>
      </c>
      <c r="AB13" s="1557" t="e">
        <f t="shared" si="4"/>
        <v>#N/A</v>
      </c>
      <c r="AC13" s="1557" t="e">
        <f t="shared" si="5"/>
        <v>#N/A</v>
      </c>
    </row>
    <row r="14" spans="1:29" s="1216"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375"/>
      <c r="Q14" s="1147">
        <f t="shared" si="6"/>
        <v>111</v>
      </c>
      <c r="R14" s="1554" t="s">
        <v>8</v>
      </c>
      <c r="S14" s="1555">
        <f t="shared" si="0"/>
        <v>100</v>
      </c>
      <c r="T14" s="1554" t="s">
        <v>8</v>
      </c>
      <c r="U14" s="1555">
        <f t="shared" si="1"/>
        <v>100</v>
      </c>
      <c r="V14" s="1554" t="s">
        <v>8</v>
      </c>
      <c r="W14" s="1555">
        <f t="shared" si="2"/>
        <v>100</v>
      </c>
      <c r="X14" s="1556"/>
      <c r="Y14" s="3321"/>
      <c r="Z14" s="1146">
        <f t="shared" si="7"/>
        <v>111</v>
      </c>
      <c r="AA14" s="1557">
        <f>D14/F14</f>
        <v>1</v>
      </c>
      <c r="AB14" s="1557">
        <f>D14/H14</f>
        <v>1</v>
      </c>
      <c r="AC14" s="1557">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375"/>
      <c r="Q15" s="1147">
        <f t="shared" si="6"/>
        <v>111</v>
      </c>
      <c r="R15" s="1554" t="s">
        <v>8</v>
      </c>
      <c r="S15" s="1555">
        <f t="shared" si="0"/>
        <v>100</v>
      </c>
      <c r="T15" s="1554" t="s">
        <v>8</v>
      </c>
      <c r="U15" s="1555">
        <f t="shared" si="1"/>
        <v>100</v>
      </c>
      <c r="V15" s="1554" t="s">
        <v>8</v>
      </c>
      <c r="W15" s="1555">
        <f t="shared" si="2"/>
        <v>100</v>
      </c>
      <c r="X15" s="1556"/>
      <c r="Y15" s="3321"/>
      <c r="Z15" s="1146">
        <f t="shared" si="7"/>
        <v>111</v>
      </c>
      <c r="AA15" s="1557">
        <f t="shared" si="3"/>
        <v>1</v>
      </c>
      <c r="AB15" s="1557">
        <f t="shared" si="4"/>
        <v>1</v>
      </c>
      <c r="AC15" s="1557">
        <f t="shared" si="5"/>
        <v>1</v>
      </c>
    </row>
    <row r="16" spans="1:29" ht="15.6"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375"/>
      <c r="Q16" s="1147">
        <f t="shared" si="6"/>
        <v>111</v>
      </c>
      <c r="R16" s="1554" t="s">
        <v>8</v>
      </c>
      <c r="S16" s="1555">
        <f t="shared" si="0"/>
        <v>100</v>
      </c>
      <c r="T16" s="1554" t="s">
        <v>8</v>
      </c>
      <c r="U16" s="1555">
        <f t="shared" si="1"/>
        <v>100</v>
      </c>
      <c r="V16" s="1554" t="s">
        <v>8</v>
      </c>
      <c r="W16" s="1555">
        <f t="shared" si="2"/>
        <v>100</v>
      </c>
      <c r="X16" s="1556"/>
      <c r="Y16" s="3321"/>
      <c r="Z16" s="1146">
        <f t="shared" si="7"/>
        <v>111</v>
      </c>
      <c r="AA16" s="1557">
        <f t="shared" si="3"/>
        <v>1</v>
      </c>
      <c r="AB16" s="1557">
        <f t="shared" si="4"/>
        <v>1</v>
      </c>
      <c r="AC16" s="1557">
        <f t="shared" si="5"/>
        <v>1</v>
      </c>
    </row>
    <row r="17" spans="1:29" ht="69">
      <c r="A17" s="2863"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409" t="s">
        <v>540</v>
      </c>
      <c r="Q17" s="1558" t="str">
        <f t="shared" si="6"/>
        <v>产业集聚程度</v>
      </c>
      <c r="R17" s="1559" t="s">
        <v>8</v>
      </c>
      <c r="S17" s="1560">
        <f t="shared" si="0"/>
        <v>100</v>
      </c>
      <c r="T17" s="1559" t="s">
        <v>8</v>
      </c>
      <c r="U17" s="1560">
        <f t="shared" si="1"/>
        <v>100</v>
      </c>
      <c r="V17" s="1559" t="s">
        <v>8</v>
      </c>
      <c r="W17" s="1560">
        <f t="shared" si="2"/>
        <v>100</v>
      </c>
      <c r="X17" s="1553"/>
      <c r="Y17" s="3409"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5"/>
      <c r="M18" s="2117"/>
      <c r="N18" s="2117"/>
      <c r="O18" s="2124"/>
      <c r="P18" s="3410"/>
      <c r="Q18" s="1558"/>
      <c r="R18" s="1559"/>
      <c r="S18" s="1560"/>
      <c r="T18" s="1559"/>
      <c r="U18" s="1560"/>
      <c r="V18" s="1559"/>
      <c r="W18" s="1560"/>
      <c r="X18" s="1553"/>
      <c r="Y18" s="3410"/>
      <c r="Z18" s="1561"/>
      <c r="AA18" s="1562">
        <v>1</v>
      </c>
      <c r="AB18" s="1562">
        <v>1</v>
      </c>
      <c r="AC18" s="1562">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410"/>
      <c r="Q19" s="1558" t="str">
        <f>B19</f>
        <v>交通便捷度</v>
      </c>
      <c r="R19" s="1559" t="s">
        <v>8</v>
      </c>
      <c r="S19" s="1560">
        <f>F19</f>
        <v>100</v>
      </c>
      <c r="T19" s="1559" t="s">
        <v>8</v>
      </c>
      <c r="U19" s="1560">
        <f>H19</f>
        <v>100</v>
      </c>
      <c r="V19" s="1559" t="s">
        <v>8</v>
      </c>
      <c r="W19" s="1560">
        <f>J19</f>
        <v>100</v>
      </c>
      <c r="X19" s="1553"/>
      <c r="Y19" s="3410"/>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5"/>
      <c r="M20" s="2117"/>
      <c r="N20" s="2117"/>
      <c r="O20" s="2124"/>
      <c r="P20" s="3410"/>
      <c r="Q20" s="1558"/>
      <c r="R20" s="1559"/>
      <c r="S20" s="1560"/>
      <c r="T20" s="1559"/>
      <c r="U20" s="1560"/>
      <c r="V20" s="1559"/>
      <c r="W20" s="1560"/>
      <c r="X20" s="1553"/>
      <c r="Y20" s="3410"/>
      <c r="Z20" s="1561"/>
      <c r="AA20" s="1562">
        <v>1</v>
      </c>
      <c r="AB20" s="1562">
        <v>1</v>
      </c>
      <c r="AC20" s="1562">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5"/>
      <c r="M21" s="2117"/>
      <c r="N21" s="2117"/>
      <c r="O21" s="2124"/>
      <c r="P21" s="3410"/>
      <c r="Q21" s="1558" t="str">
        <f t="shared" ref="Q21:Q35" si="8">B21</f>
        <v>区域土地利用方向</v>
      </c>
      <c r="R21" s="1559" t="s">
        <v>8</v>
      </c>
      <c r="S21" s="1560">
        <f>F21</f>
        <v>100</v>
      </c>
      <c r="T21" s="1559" t="s">
        <v>8</v>
      </c>
      <c r="U21" s="1560">
        <f>H21</f>
        <v>100</v>
      </c>
      <c r="V21" s="1559" t="s">
        <v>8</v>
      </c>
      <c r="W21" s="1560">
        <f>J21</f>
        <v>100</v>
      </c>
      <c r="X21" s="1553"/>
      <c r="Y21" s="3410"/>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5"/>
      <c r="M22" s="2117"/>
      <c r="N22" s="2117"/>
      <c r="O22" s="2124"/>
      <c r="P22" s="3410"/>
      <c r="Q22" s="1558"/>
      <c r="R22" s="1559"/>
      <c r="S22" s="1560"/>
      <c r="T22" s="1559"/>
      <c r="U22" s="1560"/>
      <c r="V22" s="1559"/>
      <c r="W22" s="1560"/>
      <c r="X22" s="1553"/>
      <c r="Y22" s="3410"/>
      <c r="Z22" s="1561"/>
      <c r="AA22" s="1562"/>
      <c r="AB22" s="1562"/>
      <c r="AC22" s="1562"/>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410"/>
      <c r="Q23" s="1558" t="str">
        <f t="shared" si="8"/>
        <v>环境状况</v>
      </c>
      <c r="R23" s="1559" t="s">
        <v>8</v>
      </c>
      <c r="S23" s="1560">
        <f>F23</f>
        <v>100</v>
      </c>
      <c r="T23" s="1559" t="s">
        <v>8</v>
      </c>
      <c r="U23" s="1560">
        <f>H23</f>
        <v>100</v>
      </c>
      <c r="V23" s="1559" t="s">
        <v>8</v>
      </c>
      <c r="W23" s="1560">
        <f>J23</f>
        <v>100</v>
      </c>
      <c r="X23" s="1553"/>
      <c r="Y23" s="3410"/>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5"/>
      <c r="M24" s="2117"/>
      <c r="N24" s="2117"/>
      <c r="O24" s="2124"/>
      <c r="P24" s="3410"/>
      <c r="Q24" s="1558"/>
      <c r="R24" s="1559"/>
      <c r="S24" s="1560"/>
      <c r="T24" s="1559"/>
      <c r="U24" s="1560"/>
      <c r="V24" s="1559"/>
      <c r="W24" s="1560"/>
      <c r="X24" s="1553"/>
      <c r="Y24" s="3410"/>
      <c r="Z24" s="1561"/>
      <c r="AA24" s="1562">
        <v>1</v>
      </c>
      <c r="AB24" s="1562">
        <v>1</v>
      </c>
      <c r="AC24" s="1562">
        <v>1</v>
      </c>
    </row>
    <row r="25" spans="1:29" s="1216" customFormat="1" ht="41.4">
      <c r="A25" s="577"/>
      <c r="B25" s="2555"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410"/>
      <c r="Q25" s="1147" t="str">
        <f t="shared" si="8"/>
        <v>公共配套设施</v>
      </c>
      <c r="R25" s="1554" t="s">
        <v>8</v>
      </c>
      <c r="S25" s="1555">
        <f>F25</f>
        <v>100</v>
      </c>
      <c r="T25" s="1554" t="s">
        <v>8</v>
      </c>
      <c r="U25" s="1555">
        <f>H25</f>
        <v>100</v>
      </c>
      <c r="V25" s="1554" t="s">
        <v>8</v>
      </c>
      <c r="W25" s="1555">
        <f>J25</f>
        <v>100</v>
      </c>
      <c r="X25" s="1556"/>
      <c r="Y25" s="3410"/>
      <c r="Z25" s="1146" t="str">
        <f>Q25</f>
        <v>公共配套设施</v>
      </c>
      <c r="AA25" s="1562">
        <f>D25/F25</f>
        <v>1</v>
      </c>
      <c r="AB25" s="1562">
        <f>D25/H25</f>
        <v>1</v>
      </c>
      <c r="AC25" s="1562">
        <f>D25/J25</f>
        <v>1</v>
      </c>
    </row>
    <row r="26" spans="1:29" s="1216" customFormat="1" ht="15">
      <c r="A26" s="577"/>
      <c r="B26" s="595"/>
      <c r="C26" s="2554"/>
      <c r="D26" s="555"/>
      <c r="E26" s="554"/>
      <c r="F26" s="555"/>
      <c r="G26" s="554"/>
      <c r="H26" s="555"/>
      <c r="I26" s="576"/>
      <c r="J26" s="555"/>
      <c r="K26" s="531"/>
      <c r="L26" s="2118"/>
      <c r="M26" s="2119"/>
      <c r="N26" s="2119"/>
      <c r="O26" s="2120"/>
      <c r="P26" s="3410"/>
      <c r="Q26" s="1147"/>
      <c r="R26" s="1554"/>
      <c r="S26" s="1555"/>
      <c r="T26" s="1554"/>
      <c r="U26" s="1555"/>
      <c r="V26" s="1554"/>
      <c r="W26" s="1555"/>
      <c r="X26" s="1556"/>
      <c r="Y26" s="3410"/>
      <c r="Z26" s="1146"/>
      <c r="AA26" s="1557">
        <v>1</v>
      </c>
      <c r="AB26" s="1557">
        <v>1</v>
      </c>
      <c r="AC26" s="1557">
        <v>1</v>
      </c>
    </row>
    <row r="27" spans="1:29" s="1216" customFormat="1" ht="41.4">
      <c r="A27" s="577"/>
      <c r="B27" s="2555"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410"/>
      <c r="Q27" s="2540" t="str">
        <f t="shared" ref="Q27" si="9">B27</f>
        <v>基础设施水平</v>
      </c>
      <c r="R27" s="1554" t="s">
        <v>8</v>
      </c>
      <c r="S27" s="1555">
        <f>F27</f>
        <v>100</v>
      </c>
      <c r="T27" s="1554" t="s">
        <v>8</v>
      </c>
      <c r="U27" s="1555">
        <f>H27</f>
        <v>100</v>
      </c>
      <c r="V27" s="1554" t="s">
        <v>8</v>
      </c>
      <c r="W27" s="1555">
        <f>J27</f>
        <v>100</v>
      </c>
      <c r="X27" s="1556"/>
      <c r="Y27" s="3410"/>
      <c r="Z27" s="2537" t="str">
        <f>Q27</f>
        <v>基础设施水平</v>
      </c>
      <c r="AA27" s="1562">
        <f>D27/F27</f>
        <v>1</v>
      </c>
      <c r="AB27" s="1562">
        <f>D27/H27</f>
        <v>1</v>
      </c>
      <c r="AC27" s="1562">
        <f>D27/J27</f>
        <v>1</v>
      </c>
    </row>
    <row r="28" spans="1:29" s="1216" customFormat="1" ht="15">
      <c r="A28" s="577"/>
      <c r="B28" s="595"/>
      <c r="C28" s="2554"/>
      <c r="D28" s="555"/>
      <c r="E28" s="579"/>
      <c r="F28" s="555"/>
      <c r="G28" s="579"/>
      <c r="H28" s="555"/>
      <c r="I28" s="579"/>
      <c r="J28" s="555"/>
      <c r="K28" s="531"/>
      <c r="L28" s="2118"/>
      <c r="M28" s="2119"/>
      <c r="N28" s="2119"/>
      <c r="O28" s="2120"/>
      <c r="P28" s="3410"/>
      <c r="Q28" s="2540"/>
      <c r="R28" s="1554"/>
      <c r="S28" s="1555"/>
      <c r="T28" s="1554"/>
      <c r="U28" s="1555"/>
      <c r="V28" s="1554"/>
      <c r="W28" s="1555"/>
      <c r="X28" s="1556"/>
      <c r="Y28" s="3410"/>
      <c r="Z28" s="2537"/>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410"/>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10"/>
      <c r="Z29" s="1561" t="str">
        <f t="shared" ref="Z29:Z42" si="13">Q29</f>
        <v>临街状况</v>
      </c>
      <c r="AA29" s="1562">
        <f t="shared" si="3"/>
        <v>1</v>
      </c>
      <c r="AB29" s="1562">
        <f t="shared" si="4"/>
        <v>1</v>
      </c>
      <c r="AC29" s="1562">
        <f t="shared" si="5"/>
        <v>1</v>
      </c>
    </row>
    <row r="30" spans="1:29" ht="28.8">
      <c r="A30" s="532"/>
      <c r="B30" s="922" t="s">
        <v>548</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410"/>
      <c r="Q30" s="1558" t="str">
        <f t="shared" si="8"/>
        <v>毗邻道路的类型与等级</v>
      </c>
      <c r="R30" s="1559" t="s">
        <v>8</v>
      </c>
      <c r="S30" s="1560">
        <f t="shared" si="10"/>
        <v>100</v>
      </c>
      <c r="T30" s="1559" t="s">
        <v>8</v>
      </c>
      <c r="U30" s="1560">
        <f t="shared" si="11"/>
        <v>100</v>
      </c>
      <c r="V30" s="1559" t="s">
        <v>8</v>
      </c>
      <c r="W30" s="1560">
        <f t="shared" si="12"/>
        <v>100</v>
      </c>
      <c r="X30" s="1553"/>
      <c r="Y30" s="3410"/>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5"/>
      <c r="M31" s="2117"/>
      <c r="N31" s="2117"/>
      <c r="O31" s="2124"/>
      <c r="P31" s="3410"/>
      <c r="Q31" s="1558"/>
      <c r="R31" s="1559"/>
      <c r="S31" s="1560"/>
      <c r="T31" s="1559"/>
      <c r="U31" s="1560"/>
      <c r="V31" s="1559"/>
      <c r="W31" s="1560"/>
      <c r="X31" s="1553"/>
      <c r="Y31" s="3410"/>
      <c r="Z31" s="1561"/>
      <c r="AA31" s="1562">
        <v>1</v>
      </c>
      <c r="AB31" s="1562">
        <v>1</v>
      </c>
      <c r="AC31" s="1562">
        <v>1</v>
      </c>
    </row>
    <row r="32" spans="1:29" ht="15">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410"/>
      <c r="Q32" s="1558" t="str">
        <f t="shared" si="8"/>
        <v>土地级别</v>
      </c>
      <c r="R32" s="1559" t="s">
        <v>8</v>
      </c>
      <c r="S32" s="1560">
        <f t="shared" si="10"/>
        <v>100</v>
      </c>
      <c r="T32" s="1559" t="s">
        <v>8</v>
      </c>
      <c r="U32" s="1560">
        <f t="shared" si="11"/>
        <v>100</v>
      </c>
      <c r="V32" s="1559" t="s">
        <v>8</v>
      </c>
      <c r="W32" s="1560">
        <f t="shared" si="12"/>
        <v>100</v>
      </c>
      <c r="X32" s="1553"/>
      <c r="Y32" s="3410"/>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410"/>
      <c r="Q33" s="1558">
        <f t="shared" si="8"/>
        <v>111</v>
      </c>
      <c r="R33" s="1559" t="s">
        <v>8</v>
      </c>
      <c r="S33" s="1560">
        <f t="shared" si="10"/>
        <v>100</v>
      </c>
      <c r="T33" s="1559" t="s">
        <v>8</v>
      </c>
      <c r="U33" s="1560">
        <f t="shared" si="11"/>
        <v>100</v>
      </c>
      <c r="V33" s="1559" t="s">
        <v>8</v>
      </c>
      <c r="W33" s="1560">
        <f t="shared" si="12"/>
        <v>100</v>
      </c>
      <c r="X33" s="1553"/>
      <c r="Y33" s="3410"/>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411" t="s">
        <v>550</v>
      </c>
      <c r="Q34" s="1558">
        <f t="shared" si="8"/>
        <v>111</v>
      </c>
      <c r="R34" s="1559" t="s">
        <v>8</v>
      </c>
      <c r="S34" s="1560">
        <f t="shared" si="10"/>
        <v>100</v>
      </c>
      <c r="T34" s="1559" t="s">
        <v>8</v>
      </c>
      <c r="U34" s="1560">
        <f t="shared" si="11"/>
        <v>100</v>
      </c>
      <c r="V34" s="1559" t="s">
        <v>8</v>
      </c>
      <c r="W34" s="1560">
        <f t="shared" si="12"/>
        <v>100</v>
      </c>
      <c r="X34" s="1553"/>
      <c r="Y34" s="3412" t="s">
        <v>550</v>
      </c>
      <c r="Z34" s="1561">
        <f t="shared" si="13"/>
        <v>111</v>
      </c>
      <c r="AA34" s="1562">
        <f t="shared" si="3"/>
        <v>1</v>
      </c>
      <c r="AB34" s="1562">
        <f t="shared" si="4"/>
        <v>1</v>
      </c>
      <c r="AC34" s="1562">
        <f t="shared" si="5"/>
        <v>1</v>
      </c>
    </row>
    <row r="35" spans="1:29" s="1335" customFormat="1" ht="15.6"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412"/>
      <c r="Q35" s="1558">
        <f t="shared" si="8"/>
        <v>111</v>
      </c>
      <c r="R35" s="1563" t="s">
        <v>8</v>
      </c>
      <c r="S35" s="1564">
        <f t="shared" si="10"/>
        <v>100</v>
      </c>
      <c r="T35" s="1563" t="s">
        <v>8</v>
      </c>
      <c r="U35" s="1564">
        <f t="shared" si="11"/>
        <v>100</v>
      </c>
      <c r="V35" s="1563" t="s">
        <v>8</v>
      </c>
      <c r="W35" s="1564">
        <f t="shared" si="12"/>
        <v>100</v>
      </c>
      <c r="X35" s="1565"/>
      <c r="Y35" s="3412"/>
      <c r="Z35" s="1566">
        <f t="shared" si="13"/>
        <v>111</v>
      </c>
      <c r="AA35" s="1562">
        <f t="shared" si="3"/>
        <v>1</v>
      </c>
      <c r="AB35" s="1562">
        <f t="shared" si="4"/>
        <v>1</v>
      </c>
      <c r="AC35" s="1562">
        <f t="shared" si="5"/>
        <v>1</v>
      </c>
    </row>
    <row r="36" spans="1:29" ht="15">
      <c r="A36" s="2860"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412"/>
      <c r="Q36" s="1558" t="str">
        <f>B36</f>
        <v>宗地面积</v>
      </c>
      <c r="R36" s="1559" t="s">
        <v>8</v>
      </c>
      <c r="S36" s="1560" t="e">
        <f t="shared" si="10"/>
        <v>#N/A</v>
      </c>
      <c r="T36" s="1559" t="s">
        <v>8</v>
      </c>
      <c r="U36" s="1560" t="e">
        <f t="shared" si="11"/>
        <v>#N/A</v>
      </c>
      <c r="V36" s="1559" t="s">
        <v>8</v>
      </c>
      <c r="W36" s="1560" t="e">
        <f t="shared" si="12"/>
        <v>#N/A</v>
      </c>
      <c r="X36" s="1553"/>
      <c r="Y36" s="3412"/>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412"/>
      <c r="Q37" s="1558" t="str">
        <f t="shared" ref="Q37:Q42" si="14">B37</f>
        <v>宗地形状</v>
      </c>
      <c r="R37" s="1559" t="s">
        <v>8</v>
      </c>
      <c r="S37" s="1560">
        <f t="shared" si="10"/>
        <v>100</v>
      </c>
      <c r="T37" s="1559" t="s">
        <v>8</v>
      </c>
      <c r="U37" s="1560">
        <f t="shared" si="11"/>
        <v>100</v>
      </c>
      <c r="V37" s="1559" t="s">
        <v>8</v>
      </c>
      <c r="W37" s="1560">
        <f t="shared" si="12"/>
        <v>100</v>
      </c>
      <c r="X37" s="1553"/>
      <c r="Y37" s="3412"/>
      <c r="Z37" s="1561" t="str">
        <f t="shared" si="13"/>
        <v>宗地形状</v>
      </c>
      <c r="AA37" s="1562">
        <f t="shared" si="3"/>
        <v>1</v>
      </c>
      <c r="AB37" s="1562">
        <f t="shared" si="4"/>
        <v>1</v>
      </c>
      <c r="AC37" s="1562">
        <f t="shared" si="5"/>
        <v>1</v>
      </c>
    </row>
    <row r="38" spans="1:29" s="1216" customFormat="1" ht="15">
      <c r="A38" s="600"/>
      <c r="B38" s="1878"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412"/>
      <c r="Q38" s="1558" t="str">
        <f t="shared" si="14"/>
        <v>宗地开发程度</v>
      </c>
      <c r="R38" s="1554" t="s">
        <v>8</v>
      </c>
      <c r="S38" s="1555">
        <f t="shared" si="10"/>
        <v>100</v>
      </c>
      <c r="T38" s="1554" t="s">
        <v>8</v>
      </c>
      <c r="U38" s="1555">
        <f t="shared" si="11"/>
        <v>100</v>
      </c>
      <c r="V38" s="1554" t="s">
        <v>8</v>
      </c>
      <c r="W38" s="1555">
        <f t="shared" si="12"/>
        <v>100</v>
      </c>
      <c r="X38" s="1556"/>
      <c r="Y38" s="3412"/>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12" t="s">
        <v>601</v>
      </c>
      <c r="Q39" s="1558" t="str">
        <f t="shared" si="14"/>
        <v>工程地质条件</v>
      </c>
      <c r="R39" s="1559" t="s">
        <v>8</v>
      </c>
      <c r="S39" s="1560">
        <f t="shared" si="10"/>
        <v>100</v>
      </c>
      <c r="T39" s="1559" t="s">
        <v>8</v>
      </c>
      <c r="U39" s="1560">
        <f t="shared" si="11"/>
        <v>100</v>
      </c>
      <c r="V39" s="1559" t="s">
        <v>8</v>
      </c>
      <c r="W39" s="1560">
        <f t="shared" si="12"/>
        <v>100</v>
      </c>
      <c r="X39" s="1553"/>
      <c r="Y39" s="3412"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412"/>
      <c r="Q40" s="1558">
        <f t="shared" si="14"/>
        <v>111</v>
      </c>
      <c r="R40" s="1559" t="s">
        <v>8</v>
      </c>
      <c r="S40" s="1560">
        <f t="shared" si="10"/>
        <v>100</v>
      </c>
      <c r="T40" s="1559" t="s">
        <v>8</v>
      </c>
      <c r="U40" s="1560">
        <f t="shared" si="11"/>
        <v>100</v>
      </c>
      <c r="V40" s="1559" t="s">
        <v>8</v>
      </c>
      <c r="W40" s="1560">
        <f t="shared" si="12"/>
        <v>100</v>
      </c>
      <c r="X40" s="1553"/>
      <c r="Y40" s="3412"/>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412"/>
      <c r="Q41" s="1558">
        <f t="shared" si="14"/>
        <v>111</v>
      </c>
      <c r="R41" s="1559" t="s">
        <v>8</v>
      </c>
      <c r="S41" s="1560">
        <f t="shared" si="10"/>
        <v>100</v>
      </c>
      <c r="T41" s="1559" t="s">
        <v>8</v>
      </c>
      <c r="U41" s="1560">
        <f t="shared" si="11"/>
        <v>100</v>
      </c>
      <c r="V41" s="1559" t="s">
        <v>8</v>
      </c>
      <c r="W41" s="1560">
        <f t="shared" si="12"/>
        <v>100</v>
      </c>
      <c r="X41" s="1553"/>
      <c r="Y41" s="3412"/>
      <c r="Z41" s="1561">
        <f t="shared" si="13"/>
        <v>111</v>
      </c>
      <c r="AA41" s="1562">
        <f t="shared" si="3"/>
        <v>1</v>
      </c>
      <c r="AB41" s="1562">
        <f t="shared" si="4"/>
        <v>1</v>
      </c>
      <c r="AC41" s="1562">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412"/>
      <c r="Q42" s="1558">
        <f t="shared" si="14"/>
        <v>111</v>
      </c>
      <c r="R42" s="1563" t="s">
        <v>8</v>
      </c>
      <c r="S42" s="1564">
        <f t="shared" si="10"/>
        <v>100</v>
      </c>
      <c r="T42" s="1563" t="s">
        <v>8</v>
      </c>
      <c r="U42" s="1564">
        <f t="shared" si="11"/>
        <v>100</v>
      </c>
      <c r="V42" s="1563" t="s">
        <v>8</v>
      </c>
      <c r="W42" s="1564">
        <f t="shared" si="12"/>
        <v>100</v>
      </c>
      <c r="X42" s="1565"/>
      <c r="Y42" s="3412"/>
      <c r="Z42" s="1566">
        <f t="shared" si="13"/>
        <v>111</v>
      </c>
      <c r="AA42" s="1562">
        <f t="shared" si="3"/>
        <v>1</v>
      </c>
      <c r="AB42" s="1562">
        <f t="shared" si="4"/>
        <v>1</v>
      </c>
      <c r="AC42" s="1562">
        <f t="shared" si="5"/>
        <v>1</v>
      </c>
    </row>
    <row r="43" spans="1:29" ht="14.4">
      <c r="A43" s="607" t="s">
        <v>556</v>
      </c>
      <c r="B43" s="608" t="s">
        <v>2928</v>
      </c>
      <c r="C43" s="609" t="s">
        <v>1</v>
      </c>
      <c r="D43" s="610"/>
      <c r="E43" s="611"/>
      <c r="F43" s="612"/>
      <c r="G43" s="613"/>
      <c r="H43" s="614"/>
      <c r="I43" s="611"/>
      <c r="J43" s="614"/>
      <c r="K43" s="1336"/>
      <c r="L43" s="2127"/>
      <c r="M43" s="2117"/>
      <c r="N43" s="2117"/>
      <c r="O43" s="2128"/>
      <c r="P43" s="3375" t="str">
        <f>A43</f>
        <v>成交单价</v>
      </c>
      <c r="Q43" s="3375"/>
      <c r="R43" s="3376">
        <f>E43</f>
        <v>0</v>
      </c>
      <c r="S43" s="3376"/>
      <c r="T43" s="3376">
        <f>G43</f>
        <v>0</v>
      </c>
      <c r="U43" s="3376"/>
      <c r="V43" s="3376">
        <f>I43</f>
        <v>0</v>
      </c>
      <c r="W43" s="3376"/>
      <c r="X43" s="1545"/>
      <c r="Y43" s="1567"/>
      <c r="Z43" s="1545"/>
      <c r="AA43" s="1545"/>
      <c r="AB43" s="1545"/>
      <c r="AC43" s="1545"/>
    </row>
    <row r="44" spans="1:29" ht="15" thickBot="1">
      <c r="A44" s="615" t="s">
        <v>2689</v>
      </c>
      <c r="B44" s="616"/>
      <c r="C44" s="617" t="e">
        <f>R45</f>
        <v>#DIV/0!</v>
      </c>
      <c r="D44" s="618"/>
      <c r="E44" s="617" t="e">
        <f>R44</f>
        <v>#DIV/0!</v>
      </c>
      <c r="F44" s="619"/>
      <c r="G44" s="620" t="e">
        <f>T44</f>
        <v>#DIV/0!</v>
      </c>
      <c r="H44" s="618"/>
      <c r="I44" s="617" t="e">
        <f>V44</f>
        <v>#DIV/0!</v>
      </c>
      <c r="J44" s="618"/>
      <c r="K44" s="1337"/>
      <c r="L44" s="2127"/>
      <c r="M44" s="2117"/>
      <c r="N44" s="2117"/>
      <c r="O44" s="2128"/>
      <c r="P44" s="3375" t="str">
        <f>A44</f>
        <v>比较价格（元/平方米）</v>
      </c>
      <c r="Q44" s="3375"/>
      <c r="R44" s="3377" t="e">
        <f>ROUND(PRODUCT(R43,AA9:AA42),0)</f>
        <v>#DIV/0!</v>
      </c>
      <c r="S44" s="3377"/>
      <c r="T44" s="3377" t="e">
        <f>ROUND(PRODUCT(T43,AB9:AB42),0)</f>
        <v>#DIV/0!</v>
      </c>
      <c r="U44" s="3377"/>
      <c r="V44" s="3377" t="e">
        <f>ROUND(PRODUCT(V43,AC9:AC42),0)</f>
        <v>#DIV/0!</v>
      </c>
      <c r="W44" s="3377"/>
      <c r="X44" s="1545"/>
      <c r="Y44" s="1545"/>
      <c r="Z44" s="1545"/>
      <c r="AA44" s="1545"/>
      <c r="AB44" s="1545"/>
      <c r="AC44" s="1545"/>
    </row>
    <row r="45" spans="1:29" ht="15" thickBot="1">
      <c r="A45" s="621" t="s">
        <v>2929</v>
      </c>
      <c r="B45" s="622"/>
      <c r="C45" s="623" t="e">
        <f>R45</f>
        <v>#DIV/0!</v>
      </c>
      <c r="D45" s="623"/>
      <c r="E45" s="623"/>
      <c r="F45" s="623"/>
      <c r="G45" s="623"/>
      <c r="H45" s="623"/>
      <c r="I45" s="623"/>
      <c r="J45" s="623"/>
      <c r="K45" s="1338"/>
      <c r="L45" s="2127"/>
      <c r="M45" s="2117"/>
      <c r="N45" s="2117"/>
      <c r="O45" s="2128"/>
      <c r="P45" s="3372" t="str">
        <f>A45</f>
        <v>估价对象XX用房的比较价格（楼面单价，元/平方米）</v>
      </c>
      <c r="Q45" s="3373"/>
      <c r="R45" s="3374" t="e">
        <f>ROUND(AVERAGE(R44:V44),0)</f>
        <v>#DIV/0!</v>
      </c>
      <c r="S45" s="3374"/>
      <c r="T45" s="3374"/>
      <c r="U45" s="3374"/>
      <c r="V45" s="3374"/>
      <c r="W45" s="3374"/>
      <c r="X45" s="1545"/>
      <c r="Y45" s="1545"/>
      <c r="Z45" s="1545"/>
      <c r="AA45" s="1545"/>
      <c r="AB45" s="1545"/>
      <c r="AC45" s="1545"/>
    </row>
    <row r="46" spans="1:29">
      <c r="A46" s="2128"/>
      <c r="B46" s="2128"/>
      <c r="C46" s="2128"/>
      <c r="D46" s="2128"/>
      <c r="E46" s="2128"/>
      <c r="F46" s="2128"/>
      <c r="G46" s="2131"/>
      <c r="H46" s="2128"/>
      <c r="I46" s="2128"/>
      <c r="J46" s="2128"/>
      <c r="K46" s="2132"/>
      <c r="L46" s="2133"/>
      <c r="M46" s="2117"/>
      <c r="N46" s="2117"/>
      <c r="O46" s="2128"/>
      <c r="P46" s="1545"/>
      <c r="Q46" s="1545"/>
      <c r="R46" s="1545"/>
      <c r="S46" s="1545"/>
      <c r="T46" s="1545"/>
      <c r="U46" s="1545"/>
      <c r="V46" s="1545"/>
      <c r="W46" s="1545"/>
      <c r="X46" s="1545"/>
      <c r="Y46" s="1545"/>
      <c r="Z46" s="1545"/>
      <c r="AA46" s="1545"/>
      <c r="AB46" s="1545"/>
      <c r="AC46" s="1545"/>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1" customFormat="1" ht="13.5" customHeight="1">
      <c r="A50" s="2129"/>
      <c r="B50" s="2129"/>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1" customFormat="1" ht="14.4"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8.8">
      <c r="A52" s="629" t="s">
        <v>560</v>
      </c>
      <c r="B52" s="630" t="s">
        <v>561</v>
      </c>
      <c r="C52" s="1546" t="s">
        <v>1723</v>
      </c>
      <c r="D52" s="2210" t="s">
        <v>2290</v>
      </c>
      <c r="E52" s="631" t="s">
        <v>562</v>
      </c>
      <c r="F52" s="1934" t="s">
        <v>563</v>
      </c>
      <c r="G52" s="3419" t="s">
        <v>2281</v>
      </c>
      <c r="H52" s="3420"/>
      <c r="I52" s="1935" t="s">
        <v>1942</v>
      </c>
      <c r="J52" s="1541" t="str">
        <f>项目基本情况!F41</f>
        <v>重庆市</v>
      </c>
      <c r="K52" s="2137" t="s">
        <v>1722</v>
      </c>
      <c r="L52" s="2133"/>
      <c r="M52" s="2128"/>
      <c r="N52" s="2128"/>
      <c r="O52" s="2128"/>
      <c r="P52" s="2128"/>
      <c r="Q52" s="2128"/>
      <c r="R52" s="2128"/>
      <c r="S52" s="2128"/>
      <c r="T52" s="2128"/>
      <c r="U52" s="2128"/>
      <c r="V52" s="2128"/>
      <c r="W52" s="2128"/>
      <c r="X52" s="2128"/>
      <c r="Y52" s="2128"/>
      <c r="Z52" s="2128"/>
      <c r="AA52" s="2128"/>
      <c r="AB52" s="2128"/>
      <c r="AC52" s="2128"/>
    </row>
    <row r="53" spans="1:29" s="1342" customFormat="1" ht="13.2">
      <c r="A53" s="633" t="s">
        <v>564</v>
      </c>
      <c r="B53" s="634" t="e">
        <f>C45</f>
        <v>#DIV/0!</v>
      </c>
      <c r="C53" s="635">
        <v>1</v>
      </c>
      <c r="D53" s="2211">
        <v>1</v>
      </c>
      <c r="E53" s="635">
        <f>'数据-汇总表'!E8+'数据-汇总表'!E9</f>
        <v>114120</v>
      </c>
      <c r="F53" s="1933" t="e">
        <f t="shared" ref="F53:F62" si="15">ROUND(B53*E53/10000,0)</f>
        <v>#DIV/0!</v>
      </c>
      <c r="G53" s="3421"/>
      <c r="H53" s="3422"/>
      <c r="I53" s="1936">
        <v>1</v>
      </c>
      <c r="J53" s="1542">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2" customFormat="1" ht="13.2">
      <c r="A54" s="637" t="s">
        <v>565</v>
      </c>
      <c r="B54" s="638" t="e">
        <f>ROUND($C$45*C54*D54,0)</f>
        <v>#DIV/0!</v>
      </c>
      <c r="C54" s="378">
        <f t="shared" ref="C54:C62" si="16">IF($C$52="北京市系数",I54,J54)</f>
        <v>0</v>
      </c>
      <c r="D54" s="2212">
        <v>0.25</v>
      </c>
      <c r="E54" s="639"/>
      <c r="F54" s="1933" t="e">
        <f t="shared" si="15"/>
        <v>#DIV/0!</v>
      </c>
      <c r="G54" s="3423" t="s">
        <v>2282</v>
      </c>
      <c r="H54" s="1937">
        <f>项目基本情况!B43</f>
        <v>0</v>
      </c>
      <c r="I54" s="1936">
        <f>SUMIF(修正!$A$45:$A$56,H54,修正!B45:B56)</f>
        <v>0</v>
      </c>
      <c r="J54" s="1544"/>
      <c r="K54" s="2138"/>
      <c r="L54" s="2138"/>
      <c r="M54" s="2138"/>
      <c r="N54" s="2138"/>
      <c r="O54" s="2138"/>
      <c r="P54" s="2138"/>
      <c r="Q54" s="2138"/>
      <c r="R54" s="2138"/>
      <c r="S54" s="2138"/>
      <c r="T54" s="2138"/>
      <c r="U54" s="2138"/>
      <c r="V54" s="2138"/>
      <c r="W54" s="2138"/>
      <c r="X54" s="2138"/>
      <c r="Y54" s="2138"/>
      <c r="Z54" s="2138"/>
      <c r="AA54" s="2138"/>
      <c r="AB54" s="2138"/>
      <c r="AC54" s="2138"/>
    </row>
    <row r="55" spans="1:29" s="1342" customFormat="1" ht="13.2">
      <c r="A55" s="637" t="s">
        <v>566</v>
      </c>
      <c r="B55" s="638" t="e">
        <f t="shared" ref="B55:B62" si="17">ROUND($C$45*C55*D55,0)</f>
        <v>#DIV/0!</v>
      </c>
      <c r="C55" s="378">
        <f t="shared" si="16"/>
        <v>0</v>
      </c>
      <c r="D55" s="2212">
        <v>0.25</v>
      </c>
      <c r="E55" s="639"/>
      <c r="F55" s="1933" t="e">
        <f t="shared" si="15"/>
        <v>#DIV/0!</v>
      </c>
      <c r="G55" s="3423"/>
      <c r="H55" s="1938">
        <f>项目基本情况!B43</f>
        <v>0</v>
      </c>
      <c r="I55" s="1936">
        <f>SUMIF(修正!$A$45:$A$56,H55,修正!C45:C56)</f>
        <v>0</v>
      </c>
      <c r="J55" s="1544"/>
      <c r="K55" s="2138"/>
      <c r="L55" s="2138"/>
      <c r="M55" s="2138"/>
      <c r="N55" s="2138"/>
      <c r="O55" s="2138"/>
      <c r="P55" s="2138"/>
      <c r="Q55" s="2138"/>
      <c r="R55" s="2138"/>
      <c r="S55" s="2138"/>
      <c r="T55" s="2138"/>
      <c r="U55" s="2138"/>
      <c r="V55" s="2138"/>
      <c r="W55" s="2138"/>
      <c r="X55" s="2138"/>
      <c r="Y55" s="2138"/>
      <c r="Z55" s="2138"/>
      <c r="AA55" s="2138"/>
      <c r="AB55" s="2138"/>
      <c r="AC55" s="2138"/>
    </row>
    <row r="56" spans="1:29" s="1342" customFormat="1" ht="13.2">
      <c r="A56" s="637" t="s">
        <v>567</v>
      </c>
      <c r="B56" s="638" t="e">
        <f t="shared" si="17"/>
        <v>#DIV/0!</v>
      </c>
      <c r="C56" s="378">
        <f t="shared" si="16"/>
        <v>0</v>
      </c>
      <c r="D56" s="2212">
        <v>0.25</v>
      </c>
      <c r="E56" s="639"/>
      <c r="F56" s="1933" t="e">
        <f t="shared" si="15"/>
        <v>#DIV/0!</v>
      </c>
      <c r="G56" s="3423"/>
      <c r="H56" s="1938">
        <f>项目基本情况!B43</f>
        <v>0</v>
      </c>
      <c r="I56" s="1936">
        <f>SUMIF(修正!$A$45:$A$56,H56,修正!D45:D56)</f>
        <v>0</v>
      </c>
      <c r="J56" s="1544"/>
      <c r="K56" s="2138"/>
      <c r="L56" s="2138"/>
      <c r="M56" s="2138"/>
      <c r="N56" s="2138"/>
      <c r="O56" s="2138"/>
      <c r="P56" s="2138"/>
      <c r="Q56" s="2138"/>
      <c r="R56" s="2138"/>
      <c r="S56" s="2138"/>
      <c r="T56" s="2138"/>
      <c r="U56" s="2138"/>
      <c r="V56" s="2138"/>
      <c r="W56" s="2138"/>
      <c r="X56" s="2138"/>
      <c r="Y56" s="2138"/>
      <c r="Z56" s="2138"/>
      <c r="AA56" s="2138"/>
      <c r="AB56" s="2138"/>
      <c r="AC56" s="2138"/>
    </row>
    <row r="57" spans="1:29" s="1342" customFormat="1" ht="13.2">
      <c r="A57" s="637" t="s">
        <v>568</v>
      </c>
      <c r="B57" s="638" t="e">
        <f t="shared" si="17"/>
        <v>#DIV/0!</v>
      </c>
      <c r="C57" s="378">
        <f t="shared" si="16"/>
        <v>0</v>
      </c>
      <c r="D57" s="2212">
        <v>0.25</v>
      </c>
      <c r="E57" s="639"/>
      <c r="F57" s="1933" t="e">
        <f t="shared" si="15"/>
        <v>#DIV/0!</v>
      </c>
      <c r="G57" s="3423"/>
      <c r="H57" s="1938">
        <f>项目基本情况!B43</f>
        <v>0</v>
      </c>
      <c r="I57" s="1936">
        <f>SUMIF(修正!$A$45:$A$56,H57,修正!E45:E56)</f>
        <v>0</v>
      </c>
      <c r="J57" s="1544"/>
      <c r="K57" s="2138"/>
      <c r="L57" s="2138"/>
      <c r="M57" s="2138"/>
      <c r="N57" s="2138"/>
      <c r="O57" s="2138"/>
      <c r="P57" s="2138"/>
      <c r="Q57" s="2138"/>
      <c r="R57" s="2138"/>
      <c r="S57" s="2138"/>
      <c r="T57" s="2138"/>
      <c r="U57" s="2138"/>
      <c r="V57" s="2138"/>
      <c r="W57" s="2138"/>
      <c r="X57" s="2138"/>
      <c r="Y57" s="2138"/>
      <c r="Z57" s="2138"/>
      <c r="AA57" s="2138"/>
      <c r="AB57" s="2138"/>
      <c r="AC57" s="2138"/>
    </row>
    <row r="58" spans="1:29" s="1342" customFormat="1" ht="13.2">
      <c r="A58" s="2314" t="s">
        <v>2325</v>
      </c>
      <c r="B58" s="638" t="e">
        <f t="shared" si="17"/>
        <v>#DIV/0!</v>
      </c>
      <c r="C58" s="378">
        <f t="shared" si="16"/>
        <v>0</v>
      </c>
      <c r="D58" s="2212">
        <v>0.25</v>
      </c>
      <c r="E58" s="641">
        <f>'数据-汇总表'!E11</f>
        <v>0</v>
      </c>
      <c r="F58" s="1933" t="e">
        <f t="shared" si="15"/>
        <v>#DIV/0!</v>
      </c>
      <c r="G58" s="1939" t="s">
        <v>2283</v>
      </c>
      <c r="H58" s="1938">
        <f>项目基本情况!C43</f>
        <v>0</v>
      </c>
      <c r="I58" s="1936">
        <f>SUMIF(修正!$A$45:$A$56,H58,修正!F45:F56)</f>
        <v>0</v>
      </c>
      <c r="J58" s="1544"/>
      <c r="K58" s="2138"/>
      <c r="L58" s="2138"/>
      <c r="M58" s="2138"/>
      <c r="N58" s="2138"/>
      <c r="O58" s="2138"/>
      <c r="P58" s="2138"/>
      <c r="Q58" s="2138"/>
      <c r="R58" s="2138"/>
      <c r="S58" s="2138"/>
      <c r="T58" s="2138"/>
      <c r="U58" s="2138"/>
      <c r="V58" s="2138"/>
      <c r="W58" s="2138"/>
      <c r="X58" s="2138"/>
      <c r="Y58" s="2138"/>
      <c r="Z58" s="2138"/>
      <c r="AA58" s="2138"/>
      <c r="AB58" s="2138"/>
      <c r="AC58" s="2138"/>
    </row>
    <row r="59" spans="1:29" s="1342" customFormat="1" ht="13.2">
      <c r="A59" s="637" t="s">
        <v>569</v>
      </c>
      <c r="B59" s="638" t="e">
        <f t="shared" si="17"/>
        <v>#DIV/0!</v>
      </c>
      <c r="C59" s="378">
        <f t="shared" si="16"/>
        <v>0</v>
      </c>
      <c r="D59" s="2212">
        <v>0.25</v>
      </c>
      <c r="E59" s="641">
        <f>'数据-汇总表'!E12</f>
        <v>0</v>
      </c>
      <c r="F59" s="1933" t="e">
        <f t="shared" si="15"/>
        <v>#DIV/0!</v>
      </c>
      <c r="G59" s="1929" t="s">
        <v>1677</v>
      </c>
      <c r="H59" s="1937">
        <f>IF(G59="商业",项目基本情况!B43,IF(G59="办公",项目基本情况!C43,IF(G59="住宅",项目基本情况!D43,项目基本情况!E43)))</f>
        <v>0</v>
      </c>
      <c r="I59" s="1936">
        <f>SUMIF(修正!$A$45:$A$56,H59,修正!G45:G56)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2" customFormat="1" ht="13.2">
      <c r="A60" s="637" t="s">
        <v>570</v>
      </c>
      <c r="B60" s="638" t="e">
        <f t="shared" si="17"/>
        <v>#DIV/0!</v>
      </c>
      <c r="C60" s="378">
        <f t="shared" si="16"/>
        <v>0</v>
      </c>
      <c r="D60" s="2212">
        <v>0.25</v>
      </c>
      <c r="E60" s="641">
        <f>'数据-汇总表'!E13</f>
        <v>0</v>
      </c>
      <c r="F60" s="1933" t="e">
        <f t="shared" si="15"/>
        <v>#DIV/0!</v>
      </c>
      <c r="G60" s="1929" t="s">
        <v>923</v>
      </c>
      <c r="H60" s="1937">
        <f>IF(G60="商业",项目基本情况!B43,IF(G60="办公",项目基本情况!C43,IF(G60="住宅",项目基本情况!D43,项目基本情况!E43)))</f>
        <v>0</v>
      </c>
      <c r="I60" s="1936">
        <f>SUMIF(修正!$A$45:$A$56,H60,修正!H45:H56)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2" customFormat="1" ht="13.2">
      <c r="A61" s="637" t="s">
        <v>571</v>
      </c>
      <c r="B61" s="638" t="e">
        <f t="shared" si="17"/>
        <v>#DIV/0!</v>
      </c>
      <c r="C61" s="378">
        <f t="shared" si="16"/>
        <v>0</v>
      </c>
      <c r="D61" s="2212">
        <v>0.25</v>
      </c>
      <c r="E61" s="641">
        <f>'数据-汇总表'!E14</f>
        <v>0</v>
      </c>
      <c r="F61" s="1933" t="e">
        <f t="shared" si="15"/>
        <v>#DIV/0!</v>
      </c>
      <c r="G61" s="1939" t="s">
        <v>2282</v>
      </c>
      <c r="H61" s="1938">
        <f>项目基本情况!B43</f>
        <v>0</v>
      </c>
      <c r="I61" s="1936">
        <f>SUMIF(修正!$A$45:$A$56,H61,修正!H45:H56)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2" customFormat="1" thickBot="1">
      <c r="A62" s="637" t="s">
        <v>572</v>
      </c>
      <c r="B62" s="638" t="e">
        <f t="shared" si="17"/>
        <v>#DIV/0!</v>
      </c>
      <c r="C62" s="378">
        <f t="shared" si="16"/>
        <v>0</v>
      </c>
      <c r="D62" s="2212">
        <v>0.25</v>
      </c>
      <c r="E62" s="641">
        <f>'数据-汇总表'!E15</f>
        <v>0</v>
      </c>
      <c r="F62" s="1933" t="e">
        <f t="shared" si="15"/>
        <v>#DIV/0!</v>
      </c>
      <c r="G62" s="1940" t="s">
        <v>2283</v>
      </c>
      <c r="H62" s="1941">
        <f>项目基本情况!C43</f>
        <v>0</v>
      </c>
      <c r="I62" s="1936">
        <f>SUMIF(修正!$A$45:$A$56,H62,修正!H45:H56)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2" customFormat="1" thickBot="1">
      <c r="A63" s="642" t="s">
        <v>573</v>
      </c>
      <c r="B63" s="643" t="s">
        <v>17</v>
      </c>
      <c r="C63" s="643" t="s">
        <v>18</v>
      </c>
      <c r="D63" s="643" t="s">
        <v>2291</v>
      </c>
      <c r="E63" s="643">
        <f>IF(B43="楼面地价",SUM(E53:E62),'数据-汇总表'!D3)</f>
        <v>22322.400000000001</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2020-2-1</v>
      </c>
      <c r="D65" s="2752">
        <f>EDATE(C65,-3)</f>
        <v>43770</v>
      </c>
      <c r="E65" s="2752">
        <f t="shared" ref="E65:N65" si="18">EDATE(D65,-3)</f>
        <v>43678</v>
      </c>
      <c r="F65" s="2752">
        <f t="shared" si="18"/>
        <v>43586</v>
      </c>
      <c r="G65" s="2752">
        <f t="shared" si="18"/>
        <v>43497</v>
      </c>
      <c r="H65" s="2752">
        <f t="shared" si="18"/>
        <v>43405</v>
      </c>
      <c r="I65" s="2752">
        <f t="shared" si="18"/>
        <v>43313</v>
      </c>
      <c r="J65" s="2752">
        <f t="shared" si="18"/>
        <v>43221</v>
      </c>
      <c r="K65" s="2752">
        <f t="shared" si="18"/>
        <v>43132</v>
      </c>
      <c r="L65" s="2752">
        <f t="shared" si="18"/>
        <v>43040</v>
      </c>
      <c r="M65" s="2752">
        <f t="shared" si="18"/>
        <v>42948</v>
      </c>
      <c r="N65" s="2752">
        <f t="shared" si="18"/>
        <v>42856</v>
      </c>
      <c r="O65" s="2128"/>
      <c r="P65" s="2128"/>
      <c r="Q65" s="2128"/>
      <c r="R65" s="2128"/>
      <c r="S65" s="2128"/>
      <c r="T65" s="2128"/>
      <c r="U65" s="2128"/>
      <c r="V65" s="2128"/>
      <c r="W65" s="2128"/>
      <c r="X65" s="2128"/>
      <c r="Y65" s="2128"/>
      <c r="Z65" s="2128"/>
      <c r="AA65" s="2128"/>
      <c r="AB65" s="2128"/>
      <c r="AC65" s="2128"/>
    </row>
    <row r="66" spans="1:29" ht="22.2" thickBot="1">
      <c r="A66" s="1570" t="s">
        <v>574</v>
      </c>
      <c r="B66" s="1545"/>
      <c r="C66" s="1569"/>
      <c r="D66" s="1569"/>
      <c r="E66" s="1569"/>
      <c r="F66" s="1571"/>
      <c r="G66" s="1571"/>
      <c r="H66" s="1569"/>
      <c r="I66" s="1569"/>
      <c r="J66" s="1569"/>
      <c r="K66" s="1572"/>
      <c r="L66" s="1568"/>
      <c r="M66" s="1569"/>
      <c r="N66" s="1569"/>
      <c r="O66" s="2140"/>
      <c r="P66" s="2140"/>
      <c r="Q66" s="2141"/>
      <c r="R66" s="2128"/>
      <c r="S66" s="2128"/>
      <c r="T66" s="2128"/>
      <c r="U66" s="2128"/>
      <c r="V66" s="2128"/>
      <c r="W66" s="2128"/>
      <c r="X66" s="2128"/>
      <c r="Y66" s="2128"/>
      <c r="Z66" s="2128"/>
      <c r="AA66" s="2128"/>
      <c r="AB66" s="2128"/>
      <c r="AC66" s="2128"/>
    </row>
    <row r="67" spans="1:29" s="1343" customFormat="1" ht="14.4">
      <c r="A67" s="2530" t="s">
        <v>2530</v>
      </c>
      <c r="B67" s="646"/>
      <c r="C67" s="2748" t="str">
        <f>YEAR(C65)&amp;"-"&amp;ROUNDUP(MONTH(C65)/3,0)</f>
        <v>2020-1</v>
      </c>
      <c r="D67" s="2754" t="str">
        <f t="shared" ref="D67:N67" si="19">YEAR(D65)&amp;"-"&amp;ROUNDUP(MONTH(D65)/3,0)</f>
        <v>2019-4</v>
      </c>
      <c r="E67" s="2754" t="str">
        <f t="shared" si="19"/>
        <v>2019-3</v>
      </c>
      <c r="F67" s="2754" t="str">
        <f t="shared" si="19"/>
        <v>2019-2</v>
      </c>
      <c r="G67" s="2754" t="str">
        <f t="shared" si="19"/>
        <v>2019-1</v>
      </c>
      <c r="H67" s="2754" t="str">
        <f t="shared" si="19"/>
        <v>2018-4</v>
      </c>
      <c r="I67" s="2754" t="str">
        <f t="shared" si="19"/>
        <v>2018-3</v>
      </c>
      <c r="J67" s="2754" t="str">
        <f t="shared" si="19"/>
        <v>2018-2</v>
      </c>
      <c r="K67" s="2754" t="str">
        <f t="shared" si="19"/>
        <v>2018-1</v>
      </c>
      <c r="L67" s="2754" t="str">
        <f t="shared" si="19"/>
        <v>2017-4</v>
      </c>
      <c r="M67" s="2754" t="str">
        <f t="shared" si="19"/>
        <v>2017-3</v>
      </c>
      <c r="N67" s="2754" t="str">
        <f t="shared" si="19"/>
        <v>2017-2</v>
      </c>
      <c r="O67" s="2142"/>
      <c r="P67" s="2143"/>
      <c r="Q67" s="2144"/>
      <c r="R67" s="2144"/>
      <c r="S67" s="2144"/>
      <c r="T67" s="2144"/>
      <c r="U67" s="2144"/>
      <c r="V67" s="2144"/>
      <c r="W67" s="2144"/>
      <c r="X67" s="2144"/>
      <c r="Y67" s="2144"/>
      <c r="Z67" s="2144"/>
      <c r="AA67" s="2144"/>
      <c r="AB67" s="2144"/>
      <c r="AC67" s="2144"/>
    </row>
    <row r="68" spans="1:29" s="1216" customFormat="1" ht="27.75" customHeight="1">
      <c r="A68" s="2751" t="s">
        <v>2645</v>
      </c>
      <c r="B68" s="479" t="str">
        <f>"北京市平均增长率"&amp;TEXT(基准地价!P24,"0.00%")</f>
        <v>北京市平均增长率1.33%</v>
      </c>
      <c r="C68" s="894">
        <v>100</v>
      </c>
      <c r="D68" s="730"/>
      <c r="E68" s="730"/>
      <c r="F68" s="730"/>
      <c r="G68" s="730"/>
      <c r="H68" s="730"/>
      <c r="I68" s="730"/>
      <c r="J68" s="730"/>
      <c r="K68" s="730"/>
      <c r="L68" s="730"/>
      <c r="M68" s="2746"/>
      <c r="N68" s="2747"/>
      <c r="O68" s="2145"/>
      <c r="P68" s="2141"/>
      <c r="Q68" s="1976"/>
      <c r="R68" s="1976"/>
      <c r="S68" s="1976"/>
      <c r="T68" s="1976"/>
      <c r="U68" s="1976"/>
      <c r="V68" s="1976"/>
      <c r="W68" s="1976"/>
      <c r="X68" s="1976"/>
      <c r="Y68" s="1976"/>
      <c r="Z68" s="1976"/>
      <c r="AA68" s="1976"/>
      <c r="AB68" s="1976"/>
      <c r="AC68" s="1976"/>
    </row>
    <row r="69" spans="1:29" s="1216" customFormat="1" ht="15" thickBot="1">
      <c r="A69" s="653" t="s">
        <v>575</v>
      </c>
      <c r="B69" s="654"/>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6" customFormat="1" ht="14.4">
      <c r="A70" s="659" t="s">
        <v>531</v>
      </c>
      <c r="B70" s="648"/>
      <c r="C70" s="660" t="s">
        <v>576</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6" customFormat="1" ht="14.4"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ht="14.4">
      <c r="A72" s="664" t="s">
        <v>577</v>
      </c>
      <c r="B72" s="665" t="s">
        <v>534</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4.4"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9.4" thickTop="1">
      <c r="A74" s="669"/>
      <c r="B74" s="673" t="s">
        <v>537</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4.4"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5" customFormat="1" ht="14.4"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5" customFormat="1" ht="14.4"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5" customFormat="1" ht="14.4"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5" customFormat="1" ht="14.4"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5" customFormat="1" ht="14.4"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5" customFormat="1" ht="14.4"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ht="14.4">
      <c r="A85" s="664" t="s">
        <v>539</v>
      </c>
      <c r="B85" s="665" t="s">
        <v>602</v>
      </c>
      <c r="C85" s="703" t="s">
        <v>579</v>
      </c>
      <c r="D85" s="703" t="s">
        <v>580</v>
      </c>
      <c r="E85" s="703" t="s">
        <v>581</v>
      </c>
      <c r="F85" s="703" t="s">
        <v>582</v>
      </c>
      <c r="G85" s="703" t="s">
        <v>583</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 thickTop="1">
      <c r="A87" s="669"/>
      <c r="B87" s="673" t="s">
        <v>586</v>
      </c>
      <c r="C87" s="708" t="s">
        <v>579</v>
      </c>
      <c r="D87" s="708" t="s">
        <v>580</v>
      </c>
      <c r="E87" s="708" t="s">
        <v>581</v>
      </c>
      <c r="F87" s="708" t="s">
        <v>582</v>
      </c>
      <c r="G87" s="708" t="s">
        <v>583</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5" customFormat="1" ht="15" thickTop="1">
      <c r="A93" s="687"/>
      <c r="B93" s="1879" t="s">
        <v>2545</v>
      </c>
      <c r="C93" s="703" t="s">
        <v>579</v>
      </c>
      <c r="D93" s="703" t="s">
        <v>580</v>
      </c>
      <c r="E93" s="703" t="s">
        <v>581</v>
      </c>
      <c r="F93" s="703" t="s">
        <v>582</v>
      </c>
      <c r="G93" s="703" t="s">
        <v>583</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5" customFormat="1" ht="15" thickTop="1">
      <c r="A95" s="687"/>
      <c r="B95" s="2559" t="s">
        <v>2547</v>
      </c>
      <c r="C95" s="2560" t="s">
        <v>2548</v>
      </c>
      <c r="D95" s="2560" t="s">
        <v>2549</v>
      </c>
      <c r="E95" s="2560" t="s">
        <v>2550</v>
      </c>
      <c r="F95" s="2560" t="s">
        <v>2551</v>
      </c>
      <c r="G95" s="2560" t="s">
        <v>2552</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 thickTop="1">
      <c r="A97" s="669"/>
      <c r="B97" s="673" t="str">
        <f>B29</f>
        <v>临街状况</v>
      </c>
      <c r="C97" s="674" t="s">
        <v>589</v>
      </c>
      <c r="D97" s="674" t="s">
        <v>590</v>
      </c>
      <c r="E97" s="674" t="s">
        <v>591</v>
      </c>
      <c r="F97" s="674" t="s">
        <v>592</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9.4" thickTop="1">
      <c r="A99" s="669"/>
      <c r="B99" s="673" t="s">
        <v>548</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 thickTop="1">
      <c r="A101" s="669"/>
      <c r="B101" s="673" t="s">
        <v>549</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4.4"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4.4"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4.4"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5" customFormat="1" ht="14.4"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5" customFormat="1" ht="14.4"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0" t="str">
        <f t="shared" si="25"/>
        <v>(含)-</v>
      </c>
      <c r="L109" s="3041" t="str">
        <f t="shared" si="25"/>
        <v>(含)-</v>
      </c>
      <c r="M109" s="3042"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594</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5" customFormat="1" ht="15" thickTop="1">
      <c r="A114" s="728"/>
      <c r="B114" s="1879" t="s">
        <v>2422</v>
      </c>
      <c r="C114" s="1371"/>
      <c r="D114" s="1371"/>
      <c r="E114" s="1371"/>
      <c r="F114" s="1371"/>
      <c r="G114" s="1371"/>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596</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4.4"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4.4"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4.4"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5" customFormat="1" ht="14.4"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5" customFormat="1" ht="14.4"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H19" sqref="H19"/>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1693</v>
      </c>
      <c r="B1" s="1396"/>
      <c r="C1" s="1402" t="s">
        <v>2423</v>
      </c>
      <c r="D1" s="1508">
        <f>SUM(D29:D30,D33:D39)</f>
        <v>0</v>
      </c>
      <c r="E1" s="1402" t="s">
        <v>2424</v>
      </c>
      <c r="F1" s="2414"/>
      <c r="G1" s="1397"/>
      <c r="H1" s="1397"/>
      <c r="I1" s="1397"/>
      <c r="J1" s="1397"/>
      <c r="K1" s="1397"/>
      <c r="L1" s="1865" t="s">
        <v>2235</v>
      </c>
      <c r="M1" s="1866">
        <f>SUMPRODUCT((区片价!B5:B9=I2)*(区片价!C3:F3=E2)*(区片价!C5:F9))</f>
        <v>0</v>
      </c>
      <c r="N1" s="1867">
        <f>SUMPRODUCT((因素修正幅度!B5:B9=I2)*(因素修正幅度!C3:F3=E2)*(因素修正幅度!C5:F9))</f>
        <v>0</v>
      </c>
      <c r="O1" s="1397"/>
      <c r="P1" s="1397"/>
      <c r="Q1" s="2172"/>
      <c r="R1" s="2889" t="s">
        <v>2758</v>
      </c>
      <c r="S1" s="2889" t="s">
        <v>2759</v>
      </c>
      <c r="T1" s="2889" t="s">
        <v>2780</v>
      </c>
      <c r="U1" s="2889" t="s">
        <v>2781</v>
      </c>
      <c r="V1" s="2889" t="s">
        <v>2782</v>
      </c>
      <c r="W1" s="2172"/>
      <c r="X1" s="2172"/>
      <c r="Y1" s="2172"/>
      <c r="Z1" s="2172"/>
      <c r="AA1" s="2172"/>
      <c r="AB1" s="2172"/>
      <c r="AC1" s="2173"/>
    </row>
    <row r="2" spans="1:39" ht="15.6">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68" t="s">
        <v>2236</v>
      </c>
      <c r="M2" s="1869">
        <f>SUMPRODUCT((区片价!B10:B28=I2)*(区片价!C3:F3=E2)*(区片价!C10:F28))</f>
        <v>0</v>
      </c>
      <c r="N2" s="1870">
        <f>SUMPRODUCT((因素修正幅度!B10:B28=I2)*(因素修正幅度!C3:F3=E2)*(因素修正幅度!C10:F28))</f>
        <v>0</v>
      </c>
      <c r="O2" s="1406"/>
      <c r="P2" s="1397"/>
      <c r="Q2" s="2172"/>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2"/>
      <c r="X2" s="2172"/>
      <c r="Y2" s="2172"/>
      <c r="Z2" s="2172"/>
      <c r="AA2" s="2172"/>
      <c r="AB2" s="2172"/>
      <c r="AC2" s="2173"/>
    </row>
    <row r="3" spans="1:39" ht="15.6">
      <c r="A3" s="1407" t="s">
        <v>1686</v>
      </c>
      <c r="B3" s="1038" t="e">
        <f>ROUND(B2*10000/D1,0)</f>
        <v>#DIV/0!</v>
      </c>
      <c r="C3" s="1403" t="s">
        <v>927</v>
      </c>
      <c r="D3" s="1404" t="s">
        <v>928</v>
      </c>
      <c r="E3" s="1408"/>
      <c r="F3" s="1409"/>
      <c r="G3" s="1039">
        <f>IF(F3="宗地容积率",'数据-汇总表'!I4,IF(F3="估价对象容积率",'数据-汇总表'!I6,'数据-汇总表'!I7))</f>
        <v>3.5</v>
      </c>
      <c r="H3" s="1410" t="s">
        <v>929</v>
      </c>
      <c r="I3" s="1040">
        <v>8</v>
      </c>
      <c r="J3" s="1406" t="s">
        <v>930</v>
      </c>
      <c r="K3" s="1406"/>
      <c r="L3" s="1868" t="s">
        <v>2237</v>
      </c>
      <c r="M3" s="1869">
        <f>SUMPRODUCT((区片价!B29:B48=I2)*(区片价!C3:F3=E2)*(区片价!C29:F48))</f>
        <v>0</v>
      </c>
      <c r="N3" s="1870">
        <f>SUMPRODUCT((因素修正幅度!B29:B48=I2)*(因素修正幅度!C3:F3=E2)*(因素修正幅度!C29:F48))</f>
        <v>0</v>
      </c>
      <c r="O3" s="1406"/>
      <c r="P3" s="1397"/>
      <c r="Q3" s="2172"/>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2"/>
      <c r="X3" s="2172"/>
      <c r="Y3" s="2172"/>
      <c r="Z3" s="2172"/>
      <c r="AA3" s="2172"/>
      <c r="AB3" s="2172"/>
      <c r="AC3" s="2173"/>
    </row>
    <row r="4" spans="1:39" ht="31.2">
      <c r="A4" s="1874" t="s">
        <v>2277</v>
      </c>
      <c r="B4" s="2415" t="e">
        <f>ROUND(B2*10000/F1,0)</f>
        <v>#DIV/0!</v>
      </c>
      <c r="C4" s="1877" t="s">
        <v>2251</v>
      </c>
      <c r="D4" s="1877" t="e">
        <f>ROUND(B2/(F1/666.67),0)</f>
        <v>#DIV/0!</v>
      </c>
      <c r="E4" s="1877" t="s">
        <v>2252</v>
      </c>
      <c r="F4" s="1875"/>
      <c r="G4" s="1875"/>
      <c r="H4" s="1875"/>
      <c r="I4" s="1875"/>
      <c r="J4" s="1876"/>
      <c r="K4" s="3144"/>
      <c r="L4" s="1868" t="s">
        <v>2238</v>
      </c>
      <c r="M4" s="1869">
        <f>SUMPRODUCT((区片价!B49:B75=I2)*(区片价!C3:F3=E2)*(区片价!C49:F75))</f>
        <v>0</v>
      </c>
      <c r="N4" s="1870">
        <f>SUMPRODUCT((因素修正幅度!B49:B75=I2)*(因素修正幅度!C3:F3=E2)*(因素修正幅度!C49:F75))</f>
        <v>0</v>
      </c>
      <c r="O4" s="3144"/>
      <c r="P4" s="1397"/>
      <c r="Q4" s="2172"/>
      <c r="R4" s="2890">
        <v>3</v>
      </c>
      <c r="S4" s="2890">
        <f>ROUND(IF(G3&gt;1,IF(R4&lt;7,SUMPRODUCT((B93:B98=R4)*(C92:N92=G2)*(C93:N98)),SUMIF(C92:N92,G2,C100:N100)),IF(R4&lt;7,SUMPRODUCT((B102:B107=R4)*(C92:N92=G2)*(C102:N107)),SUMIF(C92:N92,G2,C109:N109))),4)</f>
        <v>0</v>
      </c>
      <c r="T4" s="2890" t="e">
        <f t="shared" si="0"/>
        <v>#DIV/0!</v>
      </c>
      <c r="U4" s="2879"/>
      <c r="V4" s="2890" t="e">
        <f t="shared" si="1"/>
        <v>#DIV/0!</v>
      </c>
      <c r="W4" s="2172"/>
      <c r="X4" s="2172"/>
      <c r="Y4" s="2172"/>
      <c r="Z4" s="2172"/>
      <c r="AA4" s="2172"/>
      <c r="AB4" s="2172"/>
      <c r="AC4" s="2173"/>
    </row>
    <row r="5" spans="1:39" s="1417" customFormat="1" ht="15.6" thickBot="1">
      <c r="A5" s="1623" t="s">
        <v>1822</v>
      </c>
      <c r="B5" s="1411" t="s">
        <v>931</v>
      </c>
      <c r="C5" s="1041" t="e">
        <f>ROUND(IF(E2="商业",C6*C7+C16,(IF(E2="住宅",C6*C12+C16,C6+C16))),0)</f>
        <v>#DIV/0!</v>
      </c>
      <c r="D5" s="3068" t="e">
        <f>ROUND(C6+C16,0)</f>
        <v>#DIV/0!</v>
      </c>
      <c r="E5" s="3068"/>
      <c r="F5" s="1412"/>
      <c r="G5" s="1413"/>
      <c r="H5" s="1413"/>
      <c r="I5" s="1413"/>
      <c r="J5" s="1414"/>
      <c r="K5" s="3145"/>
      <c r="L5" s="1868" t="s">
        <v>2239</v>
      </c>
      <c r="M5" s="1869">
        <f>SUMPRODUCT((区片价!B76:B109=I2)*(区片价!C3:F3=E2)*(区片价!C76:F109))</f>
        <v>0</v>
      </c>
      <c r="N5" s="1870">
        <f>SUMPRODUCT((因素修正幅度!B76:B109=I2)*(因素修正幅度!C3:F3=E2)*(因素修正幅度!C76:F109))</f>
        <v>0</v>
      </c>
      <c r="O5" s="3145"/>
      <c r="P5" s="1580"/>
      <c r="Q5" s="2172"/>
      <c r="R5" s="2890">
        <v>4</v>
      </c>
      <c r="S5" s="2890">
        <f>ROUND(IF(G3&gt;1,IF(R5&lt;7,SUMPRODUCT((B93:B98=R5)*(C92:N92=G2)*(C93:N98)),SUMIF(C92:N92,G2,C100:N100)),IF(R5&lt;7,SUMPRODUCT((B102:B107=R5)*(C92:N92=G2)*(C102:N107)),SUMIF(C92:N92,G2,C109:N109))),4)</f>
        <v>0</v>
      </c>
      <c r="T5" s="2890" t="e">
        <f t="shared" si="0"/>
        <v>#DIV/0!</v>
      </c>
      <c r="U5" s="2879"/>
      <c r="V5" s="2890" t="e">
        <f t="shared" si="1"/>
        <v>#DIV/0!</v>
      </c>
      <c r="W5" s="2172"/>
      <c r="X5" s="2172"/>
      <c r="Y5" s="2172"/>
      <c r="Z5" s="2172"/>
      <c r="AA5" s="2172"/>
      <c r="AB5" s="2172"/>
      <c r="AC5" s="2174"/>
      <c r="AD5" s="1415"/>
      <c r="AE5" s="1415"/>
      <c r="AF5" s="1415"/>
      <c r="AG5" s="1415"/>
      <c r="AH5" s="1415"/>
      <c r="AI5" s="1415"/>
      <c r="AJ5" s="1416"/>
      <c r="AK5" s="1416"/>
      <c r="AL5" s="1416"/>
      <c r="AM5" s="1416"/>
    </row>
    <row r="6" spans="1:39" ht="15.6" thickBot="1">
      <c r="A6" s="1624" t="s">
        <v>1869</v>
      </c>
      <c r="B6" s="1418" t="s">
        <v>931</v>
      </c>
      <c r="C6" s="1042">
        <f>SUMIF(L1:L12,基准地价!G2,M1:M12)</f>
        <v>0</v>
      </c>
      <c r="D6" s="1419" t="s">
        <v>1694</v>
      </c>
      <c r="E6" s="1420"/>
      <c r="F6" s="1420"/>
      <c r="G6" s="1421"/>
      <c r="H6" s="1421"/>
      <c r="I6" s="1421"/>
      <c r="J6" s="1422"/>
      <c r="K6" s="1452"/>
      <c r="L6" s="1868" t="s">
        <v>2240</v>
      </c>
      <c r="M6" s="1869">
        <f>SUMPRODUCT((区片价!B110:B157=I2)*(区片价!C3:F3=E2)*(区片价!C110:F157))</f>
        <v>0</v>
      </c>
      <c r="N6" s="1870">
        <f>SUMPRODUCT((因素修正幅度!B110:B157=I2)*(因素修正幅度!C3:F3=E2)*(因素修正幅度!C110:F157))</f>
        <v>0</v>
      </c>
      <c r="O6" s="1452"/>
      <c r="P6" s="1581"/>
      <c r="Q6" s="2172"/>
      <c r="R6" s="2890">
        <v>5</v>
      </c>
      <c r="S6" s="2890">
        <f>ROUND(IF(G3&gt;1,IF(R6&lt;7,SUMPRODUCT((B93:B98=R6)*(C92:N92=G2)*(C93:N98)),SUMIF(C92:N92,G2,C100:N100)),IF(R6&lt;7,SUMPRODUCT((B102:B107=R6)*(C92:N92=G2)*(C102:N107)),SUMIF(C92:N92,G2,C109:N109))),4)</f>
        <v>0</v>
      </c>
      <c r="T6" s="2890" t="e">
        <f t="shared" si="0"/>
        <v>#DIV/0!</v>
      </c>
      <c r="U6" s="2879"/>
      <c r="V6" s="2890" t="e">
        <f t="shared" si="1"/>
        <v>#DIV/0!</v>
      </c>
      <c r="W6" s="2172"/>
      <c r="X6" s="2172"/>
      <c r="Y6" s="2172"/>
      <c r="Z6" s="2172"/>
      <c r="AA6" s="2172"/>
      <c r="AB6" s="2172"/>
      <c r="AC6" s="2174"/>
      <c r="AD6" s="1415"/>
      <c r="AE6" s="1415"/>
      <c r="AF6" s="1415"/>
      <c r="AG6" s="1415"/>
      <c r="AH6" s="1415"/>
      <c r="AI6" s="1415"/>
      <c r="AJ6" s="1416"/>
    </row>
    <row r="7" spans="1:39" ht="24">
      <c r="A7" s="3435" t="str">
        <f>IF(E2="商业",IF(C8="不临58条商业街","",2),"")</f>
        <v/>
      </c>
      <c r="B7" s="1423" t="s">
        <v>932</v>
      </c>
      <c r="C7" s="1043" t="e">
        <f>IF(C8="不临58条商业街",1,ROUND(1+(1.6*E8+1.2*E9+0.8*E10+0.4*E11)*C9,4))</f>
        <v>#DIV/0!</v>
      </c>
      <c r="D7" s="1424" t="s">
        <v>933</v>
      </c>
      <c r="E7" s="1044"/>
      <c r="F7" s="1425"/>
      <c r="G7" s="1426"/>
      <c r="H7" s="1426"/>
      <c r="I7" s="1426"/>
      <c r="J7" s="1427"/>
      <c r="K7" s="1452"/>
      <c r="L7" s="1868" t="s">
        <v>2241</v>
      </c>
      <c r="M7" s="1869">
        <f>SUMPRODUCT((区片价!B158:B205=I2)*(区片价!C3:F3=E2)*(区片价!C158:F205))</f>
        <v>0</v>
      </c>
      <c r="N7" s="1870">
        <f>SUMPRODUCT((因素修正幅度!B158:B205=I2)*(因素修正幅度!C3:F3=E2)*(因素修正幅度!C158:F205))</f>
        <v>0</v>
      </c>
      <c r="O7" s="1452"/>
      <c r="P7" s="1581"/>
      <c r="Q7" s="2172"/>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2761</v>
      </c>
      <c r="X7" s="2880">
        <f>G2</f>
        <v>0</v>
      </c>
      <c r="Y7" s="2880" t="s">
        <v>2762</v>
      </c>
      <c r="Z7" s="2881">
        <f>G3</f>
        <v>3.5</v>
      </c>
      <c r="AA7" s="2175"/>
      <c r="AB7" s="2175"/>
      <c r="AC7" s="2176"/>
      <c r="AD7" s="2882"/>
      <c r="AE7" s="2882"/>
      <c r="AF7" s="2882"/>
      <c r="AG7" s="2882"/>
      <c r="AH7" s="2882"/>
      <c r="AI7" s="2882"/>
      <c r="AJ7" s="2883"/>
    </row>
    <row r="8" spans="1:39" ht="15">
      <c r="A8" s="3436"/>
      <c r="B8" s="1410" t="s">
        <v>934</v>
      </c>
      <c r="C8" s="1516"/>
      <c r="D8" s="1045" t="s">
        <v>935</v>
      </c>
      <c r="E8" s="1046" t="e">
        <f>ROUND(C11/E7,4)</f>
        <v>#DIV/0!</v>
      </c>
      <c r="F8" s="1428" t="s">
        <v>936</v>
      </c>
      <c r="G8" s="1429"/>
      <c r="H8" s="1429"/>
      <c r="I8" s="1429"/>
      <c r="J8" s="1430"/>
      <c r="K8" s="1452"/>
      <c r="L8" s="1868" t="s">
        <v>2242</v>
      </c>
      <c r="M8" s="1869">
        <f>SUMPRODUCT((区片价!B206:B244=I2)*(区片价!C3:F3=E2)*(区片价!C206:F244))</f>
        <v>0</v>
      </c>
      <c r="N8" s="1870">
        <f>SUMPRODUCT((因素修正幅度!B206:B244=I2)*(因素修正幅度!C3:F3=E2)*(因素修正幅度!C206:F244))</f>
        <v>0</v>
      </c>
      <c r="O8" s="1452"/>
      <c r="P8" s="1397"/>
      <c r="Q8" s="2172"/>
      <c r="R8" s="2890">
        <v>7</v>
      </c>
      <c r="S8" s="2879"/>
      <c r="T8" s="2890" t="e">
        <f t="shared" si="0"/>
        <v>#DIV/0!</v>
      </c>
      <c r="U8" s="2879"/>
      <c r="V8" s="2890" t="e">
        <f t="shared" si="1"/>
        <v>#DIV/0!</v>
      </c>
      <c r="W8" s="3425" t="s">
        <v>2779</v>
      </c>
      <c r="X8" s="3426"/>
      <c r="Y8" s="1832" t="s">
        <v>2763</v>
      </c>
      <c r="Z8" s="1832" t="s">
        <v>2764</v>
      </c>
      <c r="AA8" s="1832" t="s">
        <v>2765</v>
      </c>
      <c r="AB8" s="1832" t="s">
        <v>2766</v>
      </c>
      <c r="AC8" s="1832" t="s">
        <v>2767</v>
      </c>
      <c r="AD8" s="1832" t="s">
        <v>2768</v>
      </c>
      <c r="AE8" s="1832" t="s">
        <v>2769</v>
      </c>
      <c r="AF8" s="1832" t="s">
        <v>2770</v>
      </c>
      <c r="AG8" s="1832" t="s">
        <v>2771</v>
      </c>
      <c r="AH8" s="1832" t="s">
        <v>2772</v>
      </c>
      <c r="AI8" s="1832" t="s">
        <v>2773</v>
      </c>
      <c r="AJ8" s="1832" t="s">
        <v>2774</v>
      </c>
    </row>
    <row r="9" spans="1:39" ht="15">
      <c r="A9" s="3436"/>
      <c r="B9" s="1410" t="s">
        <v>937</v>
      </c>
      <c r="C9" s="1047">
        <f>SUMIF(修正!C59:C119,C8,修正!E59:E119)</f>
        <v>0</v>
      </c>
      <c r="D9" s="1048" t="s">
        <v>938</v>
      </c>
      <c r="E9" s="1048" t="e">
        <f>ROUND(C11/E7,4)</f>
        <v>#DIV/0!</v>
      </c>
      <c r="F9" s="1428" t="s">
        <v>939</v>
      </c>
      <c r="G9" s="1429"/>
      <c r="H9" s="1429"/>
      <c r="I9" s="1429"/>
      <c r="J9" s="1430"/>
      <c r="K9" s="1452"/>
      <c r="L9" s="1868" t="s">
        <v>2243</v>
      </c>
      <c r="M9" s="1869">
        <f>SUMPRODUCT((区片价!B245:B289=I2)*(区片价!C3:F3=E2)*(区片价!C245:F289))</f>
        <v>0</v>
      </c>
      <c r="N9" s="1870">
        <f>SUMPRODUCT((因素修正幅度!B245:B289=I2)*(因素修正幅度!C3:F3=E2)*(因素修正幅度!C245:F289))</f>
        <v>0</v>
      </c>
      <c r="O9" s="1452"/>
      <c r="P9" s="1397"/>
      <c r="Q9" s="2172"/>
      <c r="R9" s="2890">
        <v>8</v>
      </c>
      <c r="S9" s="2879"/>
      <c r="T9" s="2890" t="e">
        <f t="shared" si="0"/>
        <v>#DIV/0!</v>
      </c>
      <c r="U9" s="2879"/>
      <c r="V9" s="2890" t="e">
        <f t="shared" si="1"/>
        <v>#DIV/0!</v>
      </c>
      <c r="W9" s="3424" t="s">
        <v>2775</v>
      </c>
      <c r="X9" s="2884" t="s">
        <v>2776</v>
      </c>
      <c r="Y9" s="3046"/>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36"/>
      <c r="B10" s="1410" t="s">
        <v>940</v>
      </c>
      <c r="C10" s="1048">
        <f>SUMIF(修正!C59:C119,C8,修正!F59:F119)</f>
        <v>0</v>
      </c>
      <c r="D10" s="1048" t="s">
        <v>941</v>
      </c>
      <c r="E10" s="1048" t="e">
        <f>ROUND(C11/E7,4)</f>
        <v>#DIV/0!</v>
      </c>
      <c r="F10" s="1428" t="s">
        <v>942</v>
      </c>
      <c r="G10" s="1429"/>
      <c r="H10" s="1429"/>
      <c r="I10" s="1429"/>
      <c r="J10" s="1430"/>
      <c r="K10" s="1452"/>
      <c r="L10" s="1868" t="s">
        <v>2244</v>
      </c>
      <c r="M10" s="1869">
        <f>SUMPRODUCT((区片价!B290:B316=I2)*(区片价!C3:F3=E2)*(区片价!C290:F316))</f>
        <v>0</v>
      </c>
      <c r="N10" s="1870">
        <f>SUMPRODUCT((因素修正幅度!B290:B316=I2)*(因素修正幅度!C3:F3=E2)*(因素修正幅度!C290:F316))</f>
        <v>0</v>
      </c>
      <c r="O10" s="1452"/>
      <c r="P10" s="1397"/>
      <c r="Q10" s="2172"/>
      <c r="R10" s="2890">
        <v>9</v>
      </c>
      <c r="S10" s="2879"/>
      <c r="T10" s="2890" t="e">
        <f t="shared" si="0"/>
        <v>#DIV/0!</v>
      </c>
      <c r="U10" s="2879"/>
      <c r="V10" s="2890" t="e">
        <f t="shared" si="1"/>
        <v>#DIV/0!</v>
      </c>
      <c r="W10" s="3424"/>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36"/>
      <c r="B11" s="1431" t="s">
        <v>943</v>
      </c>
      <c r="C11" s="1049">
        <f>C10/4</f>
        <v>0</v>
      </c>
      <c r="D11" s="1049" t="s">
        <v>944</v>
      </c>
      <c r="E11" s="1049" t="e">
        <f>ROUND(C11/E7,4)</f>
        <v>#DIV/0!</v>
      </c>
      <c r="F11" s="1432" t="s">
        <v>945</v>
      </c>
      <c r="G11" s="1433"/>
      <c r="H11" s="1433"/>
      <c r="I11" s="1433"/>
      <c r="J11" s="1434"/>
      <c r="K11" s="1452"/>
      <c r="L11" s="1868" t="s">
        <v>2245</v>
      </c>
      <c r="M11" s="1869">
        <f>SUMPRODUCT((区片价!B317:B337=I2)*(区片价!C3:F3=E2)*(区片价!C317:F337))</f>
        <v>0</v>
      </c>
      <c r="N11" s="1870">
        <f>SUMPRODUCT((因素修正幅度!B317:B337=I2)*(因素修正幅度!C3:F3=E2)*(因素修正幅度!C317:F337))</f>
        <v>0</v>
      </c>
      <c r="O11" s="1452"/>
      <c r="P11" s="1397"/>
      <c r="Q11" s="2172"/>
      <c r="R11" s="2890">
        <v>10</v>
      </c>
      <c r="S11" s="2879"/>
      <c r="T11" s="2890" t="e">
        <f t="shared" si="0"/>
        <v>#DIV/0!</v>
      </c>
      <c r="U11" s="2879"/>
      <c r="V11" s="2890" t="e">
        <f t="shared" si="1"/>
        <v>#DIV/0!</v>
      </c>
      <c r="W11" s="3424" t="s">
        <v>2777</v>
      </c>
      <c r="X11" s="1048" t="s">
        <v>2762</v>
      </c>
      <c r="Y11" s="1638">
        <f>$G$3</f>
        <v>3.5</v>
      </c>
      <c r="Z11" s="1638">
        <f t="shared" ref="Z11:AJ11" si="3">$G$3</f>
        <v>3.5</v>
      </c>
      <c r="AA11" s="1638">
        <f t="shared" si="3"/>
        <v>3.5</v>
      </c>
      <c r="AB11" s="1638">
        <f t="shared" si="3"/>
        <v>3.5</v>
      </c>
      <c r="AC11" s="1638">
        <f t="shared" si="3"/>
        <v>3.5</v>
      </c>
      <c r="AD11" s="1638">
        <f t="shared" si="3"/>
        <v>3.5</v>
      </c>
      <c r="AE11" s="1638">
        <f t="shared" si="3"/>
        <v>3.5</v>
      </c>
      <c r="AF11" s="1638">
        <f t="shared" si="3"/>
        <v>3.5</v>
      </c>
      <c r="AG11" s="1638">
        <f t="shared" si="3"/>
        <v>3.5</v>
      </c>
      <c r="AH11" s="1638">
        <f t="shared" si="3"/>
        <v>3.5</v>
      </c>
      <c r="AI11" s="1638">
        <f t="shared" si="3"/>
        <v>3.5</v>
      </c>
      <c r="AJ11" s="1638">
        <f t="shared" si="3"/>
        <v>3.5</v>
      </c>
    </row>
    <row r="12" spans="1:39" ht="25.8" thickBot="1">
      <c r="A12" s="3435" t="s">
        <v>1870</v>
      </c>
      <c r="B12" s="1435" t="s">
        <v>946</v>
      </c>
      <c r="C12" s="1043">
        <f>ROUND(C15*D15*E15*F15*G15*H15*I15*J15,4)</f>
        <v>1</v>
      </c>
      <c r="D12" s="1436" t="s">
        <v>947</v>
      </c>
      <c r="E12" s="1437"/>
      <c r="F12" s="1437"/>
      <c r="G12" s="1438"/>
      <c r="H12" s="1438"/>
      <c r="I12" s="1438"/>
      <c r="J12" s="1439"/>
      <c r="K12" s="1452"/>
      <c r="L12" s="1871" t="s">
        <v>2246</v>
      </c>
      <c r="M12" s="1872">
        <f>SUMPRODUCT((区片价!B338:B344=I2)*(区片价!C3:F3=E2)*(区片价!C338:F344))</f>
        <v>0</v>
      </c>
      <c r="N12" s="1873">
        <f>SUMPRODUCT((因素修正幅度!B338:B344=I2)*(因素修正幅度!C3:F3=E2)*(因素修正幅度!C338:F344))</f>
        <v>0</v>
      </c>
      <c r="O12" s="1452"/>
      <c r="P12" s="1397"/>
      <c r="Q12" s="2172"/>
      <c r="R12" s="2890">
        <v>11</v>
      </c>
      <c r="S12" s="2879"/>
      <c r="T12" s="2890" t="e">
        <f t="shared" si="0"/>
        <v>#DIV/0!</v>
      </c>
      <c r="U12" s="2879"/>
      <c r="V12" s="2890" t="e">
        <f t="shared" si="1"/>
        <v>#DIV/0!</v>
      </c>
      <c r="W12" s="3424"/>
      <c r="X12" s="2887" t="s">
        <v>2778</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37"/>
      <c r="B13" s="1440" t="s">
        <v>1695</v>
      </c>
      <c r="C13" s="1441" t="s">
        <v>1696</v>
      </c>
      <c r="D13" s="1085" t="s">
        <v>1697</v>
      </c>
      <c r="E13" s="1085" t="s">
        <v>1698</v>
      </c>
      <c r="F13" s="1442" t="s">
        <v>948</v>
      </c>
      <c r="G13" s="1443" t="s">
        <v>1642</v>
      </c>
      <c r="H13" s="1444" t="s">
        <v>1642</v>
      </c>
      <c r="I13" s="1445" t="s">
        <v>1642</v>
      </c>
      <c r="J13" s="1446" t="s">
        <v>1642</v>
      </c>
      <c r="K13" s="3160"/>
      <c r="L13" s="3160"/>
      <c r="M13" s="3160"/>
      <c r="N13" s="3160"/>
      <c r="O13" s="3160"/>
      <c r="P13" s="1397"/>
      <c r="Q13" s="2172"/>
      <c r="R13" s="2890">
        <v>12</v>
      </c>
      <c r="S13" s="2879"/>
      <c r="T13" s="2890" t="e">
        <f t="shared" si="0"/>
        <v>#DIV/0!</v>
      </c>
      <c r="U13" s="2879"/>
      <c r="V13" s="2890" t="e">
        <f t="shared" si="1"/>
        <v>#DIV/0!</v>
      </c>
      <c r="W13" s="3424"/>
      <c r="X13" s="2887"/>
      <c r="Y13" s="2886">
        <f>(-0.163*(Y12^2)-0.59*Y12+7617)*(10^(-4))/Y11</f>
        <v>0.21762857142857145</v>
      </c>
      <c r="Z13" s="2886">
        <f t="shared" ref="Z13:AJ13" si="5">(-0.163*(Z12^2)-0.59*Z12+7617)*(10^(-4))/Z11</f>
        <v>0.21762857142857145</v>
      </c>
      <c r="AA13" s="2886">
        <f t="shared" si="5"/>
        <v>0.21762857142857145</v>
      </c>
      <c r="AB13" s="2886">
        <f t="shared" si="5"/>
        <v>0.21762857142857145</v>
      </c>
      <c r="AC13" s="2886">
        <f t="shared" si="5"/>
        <v>0.21762857142857145</v>
      </c>
      <c r="AD13" s="2886">
        <f t="shared" si="5"/>
        <v>0.21762857142857145</v>
      </c>
      <c r="AE13" s="2886">
        <f t="shared" si="5"/>
        <v>0.21762857142857145</v>
      </c>
      <c r="AF13" s="2886">
        <f t="shared" si="5"/>
        <v>0.21762857142857145</v>
      </c>
      <c r="AG13" s="2886">
        <f t="shared" si="5"/>
        <v>0.21762857142857145</v>
      </c>
      <c r="AH13" s="2886">
        <f t="shared" si="5"/>
        <v>0.21762857142857145</v>
      </c>
      <c r="AI13" s="2886">
        <f t="shared" si="5"/>
        <v>0.21762857142857145</v>
      </c>
      <c r="AJ13" s="2886">
        <f t="shared" si="5"/>
        <v>0.21762857142857145</v>
      </c>
    </row>
    <row r="14" spans="1:39" ht="12.75" customHeight="1">
      <c r="A14" s="3437"/>
      <c r="B14" s="1447"/>
      <c r="C14" s="1448"/>
      <c r="D14" s="1449"/>
      <c r="E14" s="1449"/>
      <c r="F14" s="1450"/>
      <c r="G14" s="1451" t="s">
        <v>949</v>
      </c>
      <c r="H14" s="1452"/>
      <c r="I14" s="1453"/>
      <c r="J14" s="1454"/>
      <c r="K14" s="3146"/>
      <c r="L14" s="3146"/>
      <c r="M14" s="3146"/>
      <c r="N14" s="3146"/>
      <c r="O14" s="3146"/>
      <c r="P14" s="1397"/>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38"/>
      <c r="B15" s="3165" t="s">
        <v>1699</v>
      </c>
      <c r="C15" s="1049">
        <f>IF(C14="有",1.1,1)</f>
        <v>1</v>
      </c>
      <c r="D15" s="1049">
        <f>IF(D14="有",1.1,1)</f>
        <v>1</v>
      </c>
      <c r="E15" s="1049">
        <f>IF(E14="有",1.1,1)</f>
        <v>1</v>
      </c>
      <c r="F15" s="1049">
        <f>IF(F14="500米范围内",1.2,IF(F14="500-1000米",1.1,1))</f>
        <v>1</v>
      </c>
      <c r="G15" s="3157">
        <v>1</v>
      </c>
      <c r="H15" s="3157">
        <v>1</v>
      </c>
      <c r="I15" s="3157">
        <v>1</v>
      </c>
      <c r="J15" s="3158">
        <v>1</v>
      </c>
      <c r="K15" s="3161"/>
      <c r="L15" s="3161"/>
      <c r="M15" s="3161"/>
      <c r="N15" s="3161"/>
      <c r="O15" s="3161"/>
      <c r="P15" s="1397"/>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35" t="s">
        <v>1837</v>
      </c>
      <c r="B16" s="1423" t="s">
        <v>950</v>
      </c>
      <c r="C16" s="1052" t="e">
        <f>ROUND(IF(F17="与级别开发程度一致",0,(G17-E17)/C17),0)</f>
        <v>#DIV/0!</v>
      </c>
      <c r="D16" s="3432" t="s">
        <v>954</v>
      </c>
      <c r="E16" s="3433"/>
      <c r="F16" s="3432" t="s">
        <v>951</v>
      </c>
      <c r="G16" s="3433"/>
      <c r="H16" s="1455"/>
      <c r="I16" s="1455"/>
      <c r="J16" s="1455"/>
      <c r="K16" s="1455"/>
      <c r="L16" s="1455"/>
      <c r="M16" s="1455"/>
      <c r="N16" s="1455"/>
      <c r="O16" s="3170"/>
      <c r="P16" s="1397"/>
      <c r="Q16" s="2175"/>
      <c r="R16" s="2890">
        <v>15</v>
      </c>
      <c r="S16" s="2879"/>
      <c r="T16" s="2890" t="e">
        <f t="shared" si="0"/>
        <v>#DIV/0!</v>
      </c>
      <c r="U16" s="2879"/>
      <c r="V16" s="2890" t="e">
        <f t="shared" si="1"/>
        <v>#DIV/0!</v>
      </c>
      <c r="W16" s="2175"/>
      <c r="X16" s="2175"/>
      <c r="Y16" s="2175"/>
      <c r="Z16" s="2175"/>
      <c r="AA16" s="2175"/>
      <c r="AB16" s="2175"/>
      <c r="AC16" s="2176"/>
    </row>
    <row r="17" spans="1:40" ht="13.8" thickBot="1">
      <c r="A17" s="3439"/>
      <c r="B17" s="3171" t="s">
        <v>953</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4">
        <f>SUMPRODUCT((七通一平=O16)*(修正!B1:M1=G2)*(修正!B6:M14))</f>
        <v>0</v>
      </c>
      <c r="P17" s="1397"/>
      <c r="Q17" s="2175"/>
      <c r="R17" s="2176"/>
      <c r="S17" s="2176"/>
      <c r="T17" s="2176"/>
      <c r="U17" s="2176"/>
      <c r="V17" s="2176"/>
      <c r="W17" s="2175"/>
      <c r="X17" s="2175"/>
      <c r="Y17" s="2175"/>
      <c r="Z17" s="2175"/>
      <c r="AA17" s="2175"/>
      <c r="AB17" s="2175"/>
      <c r="AC17" s="2176"/>
      <c r="AH17" s="1398"/>
      <c r="AI17" s="1398"/>
      <c r="AJ17" s="1401"/>
      <c r="AK17" s="1401"/>
      <c r="AL17" s="1401"/>
      <c r="AM17" s="1401"/>
    </row>
    <row r="18" spans="1:40" s="1417" customFormat="1" ht="15" thickBot="1">
      <c r="A18" s="2732" t="s">
        <v>1828</v>
      </c>
      <c r="B18" s="3166" t="s">
        <v>955</v>
      </c>
      <c r="C18" s="3167">
        <f>SUMIF(修正!C18:C39,E3,修正!E18:E39)</f>
        <v>0</v>
      </c>
      <c r="D18" s="3168"/>
      <c r="E18" s="3169"/>
      <c r="F18" s="3151"/>
      <c r="G18" s="3145"/>
      <c r="H18" s="3145"/>
      <c r="I18" s="3145"/>
      <c r="J18" s="3159"/>
      <c r="K18" s="3145"/>
      <c r="L18" s="3145"/>
      <c r="M18" s="3145"/>
      <c r="N18" s="3145"/>
      <c r="O18" s="3145"/>
      <c r="P18" s="1469"/>
      <c r="Q18" s="2177"/>
      <c r="R18" s="2177"/>
      <c r="S18" s="2177"/>
      <c r="T18" s="2177"/>
      <c r="U18" s="2177"/>
      <c r="V18" s="2177"/>
      <c r="W18" s="2176"/>
      <c r="X18" s="2176"/>
      <c r="Y18" s="2176"/>
      <c r="Z18" s="2176"/>
      <c r="AA18" s="2175"/>
      <c r="AB18" s="2175"/>
      <c r="AC18" s="2178"/>
      <c r="AD18" s="1460"/>
      <c r="AE18" s="1460"/>
      <c r="AF18" s="1460"/>
      <c r="AG18" s="1460"/>
      <c r="AH18" s="1399"/>
      <c r="AI18" s="1399"/>
      <c r="AJ18" s="1400"/>
      <c r="AK18" s="1400"/>
      <c r="AL18" s="1400"/>
    </row>
    <row r="19" spans="1:40" s="1417" customFormat="1" ht="29.4" thickBot="1">
      <c r="A19" s="1625" t="s">
        <v>1834</v>
      </c>
      <c r="B19" s="1458" t="s">
        <v>956</v>
      </c>
      <c r="C19" s="1053">
        <f>ROUND(IF(H19="按公示增长率计算",SUMPRODUCT((地价!A3:A29=YEAR(G19)&amp;"-"&amp;ROUNDUP(MONTH(G19)/3,0))*(地价!X2:AB2=E2)*(地价!X3:AB29)),IF(H19="地价指数",M20/M19,(1+I19)^O19)),4)</f>
        <v>0</v>
      </c>
      <c r="D19" s="1462" t="s">
        <v>957</v>
      </c>
      <c r="E19" s="1054">
        <v>41640</v>
      </c>
      <c r="F19" s="1462" t="s">
        <v>958</v>
      </c>
      <c r="G19" s="1055">
        <f>'数据-取费表'!B2</f>
        <v>43889</v>
      </c>
      <c r="H19" s="1463" t="s">
        <v>2984</v>
      </c>
      <c r="I19" s="2738" t="str">
        <f>IF(H19="季度增幅（自定义）",SUMIF(N21:N24,E2,O21:O24),"")</f>
        <v/>
      </c>
      <c r="J19" s="1459"/>
      <c r="K19" s="3145"/>
      <c r="L19" s="2990" t="s">
        <v>2837</v>
      </c>
      <c r="M19" s="2991">
        <f>ROUND(SUMIF(地价!B2:F2,E2,地价!B29:F29),0)</f>
        <v>0</v>
      </c>
      <c r="N19" s="2740" t="s">
        <v>1676</v>
      </c>
      <c r="O19" s="2739">
        <f>ROUNDDOWN(DATEDIF(E19,G19,"M")/3,0)</f>
        <v>24</v>
      </c>
      <c r="P19" s="1582"/>
      <c r="Q19" s="2878"/>
      <c r="R19" s="2178"/>
      <c r="S19" s="2178"/>
      <c r="T19" s="2178"/>
      <c r="U19" s="2178"/>
      <c r="V19" s="2178"/>
      <c r="W19" s="2178"/>
      <c r="X19" s="2178"/>
      <c r="Y19" s="1399"/>
      <c r="Z19" s="1399"/>
      <c r="AA19" s="1399"/>
      <c r="AB19" s="1399"/>
      <c r="AC19" s="1460"/>
      <c r="AD19" s="1461"/>
      <c r="AE19" s="1465"/>
      <c r="AF19" s="1400"/>
      <c r="AG19" s="1416"/>
      <c r="AH19" s="1416"/>
      <c r="AI19" s="1416"/>
    </row>
    <row r="20" spans="1:40" s="1417" customFormat="1" ht="29.4" thickBot="1">
      <c r="A20" s="2732" t="s">
        <v>1835</v>
      </c>
      <c r="B20" s="2733" t="s">
        <v>971</v>
      </c>
      <c r="C20" s="2734" t="e">
        <f>ROUND(POWER(1+G20,J20-I20)*(POWER(1+G20,I20)-1)/(POWER(1+G20,J20)-1),4)</f>
        <v>#DIV/0!</v>
      </c>
      <c r="D20" s="2735" t="s">
        <v>972</v>
      </c>
      <c r="E20" s="3043">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47"/>
      <c r="L20" s="2992" t="s">
        <v>2838</v>
      </c>
      <c r="M20" s="3154">
        <f>ROUND(SUMPRODUCT((地价!A4:A29=YEAR(G19)&amp;"-"&amp;ROUNDUP(MONTH(G19)/3,0))*(地价!B2:F2=E2)*(地价!B4:F29)),0)</f>
        <v>0</v>
      </c>
      <c r="N20" s="2743" t="s">
        <v>2641</v>
      </c>
      <c r="O20" s="2741" t="s">
        <v>2640</v>
      </c>
      <c r="P20" s="2742" t="s">
        <v>2646</v>
      </c>
      <c r="Q20" s="2878"/>
      <c r="R20" s="2178"/>
      <c r="S20" s="2178"/>
      <c r="T20" s="2178"/>
      <c r="U20" s="2178"/>
      <c r="V20" s="2178"/>
      <c r="W20" s="2178"/>
      <c r="X20" s="2178"/>
      <c r="Y20" s="1460"/>
      <c r="Z20" s="1460"/>
      <c r="AA20" s="1460"/>
      <c r="AB20" s="1460"/>
      <c r="AC20" s="1460"/>
      <c r="AD20" s="1460"/>
    </row>
    <row r="21" spans="1:40" s="1417" customFormat="1" ht="14.4">
      <c r="A21" s="1627" t="s">
        <v>1836</v>
      </c>
      <c r="B21" s="1468" t="s">
        <v>2757</v>
      </c>
      <c r="C21" s="1154">
        <f>IF(B21="容积率修正",IF(G3&lt;=10,D22,J22),C23)</f>
        <v>0</v>
      </c>
      <c r="D21" s="1469"/>
      <c r="E21" s="1469"/>
      <c r="F21" s="1469"/>
      <c r="G21" s="1469"/>
      <c r="H21" s="1469"/>
      <c r="I21" s="1469"/>
      <c r="J21" s="1470"/>
      <c r="K21" s="3145"/>
      <c r="L21" s="1469"/>
      <c r="M21" s="1469"/>
      <c r="N21" s="1466" t="s">
        <v>975</v>
      </c>
      <c r="O21" s="1529"/>
      <c r="P21" s="2730">
        <f>SUMPRODUCT((地价!A3:A29=YEAR(G19)&amp;"-"&amp;ROUNDUP(MONTH(G19)/3,0))*(地价!AD2:AH2=N21)*(地价!AD3:AH29))</f>
        <v>1.35E-2</v>
      </c>
      <c r="Q21" s="2878"/>
      <c r="R21" s="2178"/>
      <c r="S21" s="2178"/>
      <c r="T21" s="2178"/>
      <c r="U21" s="2178"/>
      <c r="V21" s="2178"/>
      <c r="W21" s="2178"/>
      <c r="X21" s="2178"/>
      <c r="Y21" s="1399"/>
      <c r="Z21" s="1399"/>
      <c r="AA21" s="1399"/>
      <c r="AB21" s="1399"/>
      <c r="AC21" s="1460"/>
      <c r="AD21" s="1460"/>
    </row>
    <row r="22" spans="1:40" s="1417" customFormat="1" ht="14.4">
      <c r="A22" s="1628" t="s">
        <v>1869</v>
      </c>
      <c r="B22" s="1471" t="s">
        <v>976</v>
      </c>
      <c r="C22" s="1056" t="s">
        <v>1701</v>
      </c>
      <c r="D22" s="1056" t="b">
        <f>IF(E22=G22,F22,IF(G3&lt;=10,ROUND(F22+(H22-F22)*(G3-E22)/(G22-E22),4),"——"))</f>
        <v>0</v>
      </c>
      <c r="E22" s="1039">
        <f>ROUNDDOWN(G3,1)</f>
        <v>3.5</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3.5</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48"/>
      <c r="L22" s="1469"/>
      <c r="M22" s="1469"/>
      <c r="N22" s="1466" t="s">
        <v>978</v>
      </c>
      <c r="O22" s="1529"/>
      <c r="P22" s="2730">
        <f>SUMPRODUCT((地价!A3:A29=YEAR(G19)&amp;"-"&amp;ROUNDUP(MONTH(G19)/3,0))*(地价!AD2:AH2=N22)*(地价!AD3:AH29))</f>
        <v>1.35E-2</v>
      </c>
      <c r="Q22" s="2878"/>
      <c r="R22" s="2178"/>
      <c r="S22" s="2178"/>
      <c r="T22" s="2178"/>
      <c r="U22" s="2178"/>
      <c r="V22" s="2178"/>
      <c r="W22" s="2178"/>
      <c r="X22" s="2178"/>
      <c r="Y22" s="1460"/>
      <c r="Z22" s="1460"/>
      <c r="AA22" s="1460"/>
      <c r="AB22" s="1460"/>
      <c r="AC22" s="1460"/>
      <c r="AD22" s="1460"/>
    </row>
    <row r="23" spans="1:40" ht="15" thickBot="1">
      <c r="A23" s="1628" t="s">
        <v>1870</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49"/>
      <c r="L23" s="1397"/>
      <c r="M23" s="1397"/>
      <c r="N23" s="1466" t="s">
        <v>923</v>
      </c>
      <c r="O23" s="1529"/>
      <c r="P23" s="2730">
        <f>SUMPRODUCT((地价!A3:A29=YEAR(G19)&amp;"-"&amp;ROUNDUP(MONTH(G19)/3,0))*(地价!AD2:AH2=N23)*(地价!AD3:AH29))</f>
        <v>2.0799999999999999E-2</v>
      </c>
      <c r="Q23" s="2878"/>
      <c r="R23" s="2178"/>
      <c r="S23" s="2178"/>
      <c r="T23" s="2178"/>
      <c r="U23" s="2178"/>
      <c r="V23" s="2178"/>
      <c r="W23" s="2178"/>
      <c r="X23" s="2178"/>
      <c r="Y23" s="1399"/>
      <c r="Z23" s="1399"/>
      <c r="AA23" s="1399"/>
      <c r="AB23" s="1399"/>
      <c r="AC23" s="1399"/>
      <c r="AE23" s="1400"/>
      <c r="AF23" s="1400"/>
      <c r="AG23" s="1400"/>
      <c r="AH23" s="1400"/>
      <c r="AI23" s="1400"/>
      <c r="AJ23" s="1401"/>
      <c r="AK23" s="1401"/>
      <c r="AL23" s="1401"/>
      <c r="AM23" s="1401"/>
    </row>
    <row r="24" spans="1:40" s="1417" customFormat="1" ht="15" thickBot="1">
      <c r="A24" s="1626" t="s">
        <v>1871</v>
      </c>
      <c r="B24" s="1411" t="s">
        <v>980</v>
      </c>
      <c r="C24" s="1058">
        <f>SUMIF(A44:A87,E2,B44:B87)</f>
        <v>0</v>
      </c>
      <c r="D24" s="1522"/>
      <c r="E24" s="1523"/>
      <c r="F24" s="1523"/>
      <c r="G24" s="1523"/>
      <c r="H24" s="1523"/>
      <c r="I24" s="1523"/>
      <c r="J24" s="1523"/>
      <c r="K24" s="3149"/>
      <c r="L24" s="1469"/>
      <c r="M24" s="1469"/>
      <c r="N24" s="1466" t="s">
        <v>981</v>
      </c>
      <c r="O24" s="3153"/>
      <c r="P24" s="2730">
        <f>SUMPRODUCT((地价!A3:A29=YEAR(G19)&amp;"-"&amp;ROUNDUP(MONTH(G19)/3,0))*(地价!AD2:AH2=N24)*(地价!AD3:AH29))</f>
        <v>1.3299999999999999E-2</v>
      </c>
      <c r="Q24" s="2878"/>
      <c r="R24" s="2178"/>
      <c r="S24" s="2178"/>
      <c r="T24" s="2178"/>
      <c r="U24" s="2178"/>
      <c r="V24" s="2178"/>
      <c r="W24" s="2178"/>
      <c r="X24" s="2178"/>
      <c r="Y24" s="1460"/>
      <c r="Z24" s="1460"/>
      <c r="AA24" s="1460"/>
      <c r="AB24" s="1460"/>
      <c r="AC24" s="1460"/>
      <c r="AD24" s="1460"/>
    </row>
    <row r="25" spans="1:40" ht="15" thickBot="1">
      <c r="A25" s="1626" t="s">
        <v>1872</v>
      </c>
      <c r="B25" s="1473" t="s">
        <v>982</v>
      </c>
      <c r="C25" s="1474"/>
      <c r="D25" s="1426"/>
      <c r="E25" s="1426"/>
      <c r="F25" s="1475"/>
      <c r="G25" s="1426"/>
      <c r="H25" s="1426"/>
      <c r="I25" s="1426"/>
      <c r="J25" s="1427"/>
      <c r="K25" s="1452"/>
      <c r="L25" s="2178"/>
      <c r="M25" s="2178"/>
      <c r="N25" s="3155" t="s">
        <v>2644</v>
      </c>
      <c r="O25" s="3156"/>
      <c r="P25" s="2409">
        <f>SUMPRODUCT((地价!A3:A29=YEAR(G19)&amp;"-"&amp;ROUNDUP(MONTH(G19)/3,0))*(地价!AD2:AH2=N25)*(地价!AD3:AH29))</f>
        <v>1.9E-2</v>
      </c>
      <c r="Q25" s="2878"/>
      <c r="R25" s="2178"/>
      <c r="S25" s="2178"/>
      <c r="T25" s="2178"/>
      <c r="U25" s="2178"/>
      <c r="V25" s="2178"/>
      <c r="W25" s="2178"/>
      <c r="X25" s="2178"/>
      <c r="Y25" s="1399"/>
      <c r="Z25" s="1399"/>
      <c r="AA25" s="1399"/>
      <c r="AB25" s="1399"/>
      <c r="AC25" s="1399"/>
      <c r="AE25" s="1400"/>
      <c r="AF25" s="1400"/>
      <c r="AG25" s="1400"/>
      <c r="AH25" s="1400"/>
      <c r="AI25" s="1401"/>
      <c r="AJ25" s="1401"/>
      <c r="AK25" s="1401"/>
      <c r="AL25" s="1401"/>
      <c r="AM25" s="1401"/>
    </row>
    <row r="26" spans="1:40" ht="14.4">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78"/>
      <c r="R26" s="2178"/>
      <c r="S26" s="2178"/>
      <c r="T26" s="2178"/>
      <c r="U26" s="2178"/>
      <c r="V26" s="2178"/>
      <c r="W26" s="2178"/>
      <c r="X26" s="2178"/>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78"/>
      <c r="R27" s="2878"/>
      <c r="S27" s="2878"/>
      <c r="T27" s="2878"/>
      <c r="U27" s="2878"/>
      <c r="V27" s="2878"/>
      <c r="W27" s="2178"/>
      <c r="X27" s="2178"/>
      <c r="Y27" s="2178"/>
      <c r="Z27" s="2178"/>
      <c r="AA27" s="2178"/>
      <c r="AB27" s="2178"/>
      <c r="AC27" s="2178"/>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78"/>
      <c r="R28" s="2878"/>
      <c r="S28" s="2878"/>
      <c r="T28" s="2878"/>
      <c r="U28" s="2878"/>
      <c r="V28" s="2878"/>
      <c r="W28" s="2178"/>
      <c r="X28" s="2178"/>
      <c r="Y28" s="2178"/>
      <c r="Z28" s="2178"/>
      <c r="AA28" s="2178"/>
      <c r="AB28" s="2178"/>
      <c r="AC28" s="2178"/>
      <c r="AD28" s="1460"/>
      <c r="AE28" s="1460"/>
      <c r="AF28" s="1460"/>
      <c r="AG28" s="1460"/>
    </row>
    <row r="29" spans="1:40" ht="24">
      <c r="A29" s="1489"/>
      <c r="B29" s="1490" t="s">
        <v>993</v>
      </c>
      <c r="C29" s="1059" t="e">
        <f>ROUND(C5*C18*C19*C20*C21*C24,0)</f>
        <v>#DIV/0!</v>
      </c>
      <c r="D29" s="1491"/>
      <c r="E29" s="1832" t="e">
        <f>ROUND(C29*D29/10000,0)</f>
        <v>#DIV/0!</v>
      </c>
      <c r="F29" s="1492" t="s">
        <v>1700</v>
      </c>
      <c r="G29" s="1493"/>
      <c r="H29" s="1493"/>
      <c r="I29" s="1493"/>
      <c r="J29" s="1494"/>
      <c r="K29" s="3150"/>
      <c r="L29" s="3150"/>
      <c r="M29" s="3150"/>
      <c r="N29" s="3150"/>
      <c r="O29" s="3150"/>
      <c r="P29" s="1397"/>
      <c r="Q29" s="2178"/>
      <c r="R29" s="2178"/>
      <c r="S29" s="2178"/>
      <c r="T29" s="2178"/>
      <c r="U29" s="2178"/>
      <c r="V29" s="2178"/>
      <c r="W29" s="2878"/>
      <c r="X29" s="2878"/>
      <c r="Y29" s="2878"/>
      <c r="Z29" s="2878"/>
      <c r="AA29" s="2878"/>
      <c r="AB29" s="2178"/>
      <c r="AC29" s="2178"/>
      <c r="AD29" s="2178"/>
      <c r="AE29" s="2178"/>
      <c r="AF29" s="2178"/>
      <c r="AG29" s="2178"/>
      <c r="AH29" s="2178"/>
      <c r="AJ29" s="1399"/>
      <c r="AK29" s="1399"/>
      <c r="AL29" s="1399"/>
      <c r="AM29" s="1398"/>
      <c r="AN29" s="1398"/>
    </row>
    <row r="30" spans="1:40" ht="24.6" thickBot="1">
      <c r="A30" s="1495"/>
      <c r="B30" s="1496" t="s">
        <v>994</v>
      </c>
      <c r="C30" s="1051" t="e">
        <f>ROUND(IF(E2="工业",C29*M39,C29*M38),0)</f>
        <v>#DIV/0!</v>
      </c>
      <c r="D30" s="1497"/>
      <c r="E30" s="1832" t="e">
        <f>ROUND(C30*D30/10000,0)</f>
        <v>#DIV/0!</v>
      </c>
      <c r="F30" s="1498" t="s">
        <v>995</v>
      </c>
      <c r="G30" s="1499"/>
      <c r="H30" s="1499"/>
      <c r="I30" s="1499"/>
      <c r="J30" s="1500"/>
      <c r="K30" s="1452"/>
      <c r="L30" s="1452"/>
      <c r="M30" s="1452"/>
      <c r="N30" s="1452"/>
      <c r="O30" s="1452"/>
      <c r="P30" s="1397"/>
      <c r="Q30" s="2172"/>
      <c r="R30" s="2172"/>
      <c r="S30" s="2172"/>
      <c r="T30" s="2172"/>
      <c r="U30" s="2172"/>
      <c r="V30" s="2172"/>
      <c r="W30" s="2173"/>
      <c r="X30" s="2173"/>
      <c r="Y30" s="2173"/>
      <c r="Z30" s="2173"/>
      <c r="AA30" s="2173"/>
      <c r="AB30" s="2172"/>
      <c r="AC30" s="2172"/>
      <c r="AD30" s="2172"/>
      <c r="AE30" s="2172"/>
      <c r="AF30" s="2172"/>
      <c r="AG30" s="2172"/>
      <c r="AH30" s="2172"/>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2"/>
      <c r="R31" s="2172"/>
      <c r="S31" s="2172"/>
      <c r="T31" s="2172"/>
      <c r="U31" s="2172"/>
      <c r="V31" s="2172"/>
      <c r="W31" s="2173"/>
      <c r="X31" s="2173"/>
      <c r="Y31" s="2173"/>
      <c r="Z31" s="2173"/>
      <c r="AA31" s="2173"/>
      <c r="AB31" s="2172"/>
      <c r="AC31" s="2172"/>
      <c r="AD31" s="2172"/>
      <c r="AE31" s="2172"/>
      <c r="AF31" s="2172"/>
      <c r="AG31" s="2172"/>
      <c r="AH31" s="2172"/>
      <c r="AJ31" s="1399"/>
      <c r="AK31" s="1399"/>
      <c r="AL31" s="1399"/>
      <c r="AM31" s="1398"/>
      <c r="AN31" s="1398"/>
    </row>
    <row r="32" spans="1:40" ht="36">
      <c r="A32" s="1489"/>
      <c r="B32" s="1505"/>
      <c r="C32" s="1506" t="s">
        <v>990</v>
      </c>
      <c r="D32" s="1507" t="s">
        <v>991</v>
      </c>
      <c r="E32" s="1507" t="s">
        <v>992</v>
      </c>
      <c r="F32" s="1508" t="s">
        <v>998</v>
      </c>
      <c r="G32" s="1467" t="s">
        <v>990</v>
      </c>
      <c r="H32" s="1467" t="s">
        <v>991</v>
      </c>
      <c r="I32" s="1467" t="s">
        <v>992</v>
      </c>
      <c r="J32" s="1509"/>
      <c r="K32" s="3151"/>
      <c r="L32" s="3151"/>
      <c r="M32" s="3151"/>
      <c r="N32" s="3151"/>
      <c r="O32" s="3151"/>
      <c r="P32" s="1397"/>
      <c r="Q32" s="2172"/>
      <c r="R32" s="2172"/>
      <c r="S32" s="2172"/>
      <c r="T32" s="2172"/>
      <c r="U32" s="2172"/>
      <c r="V32" s="2172"/>
      <c r="W32" s="2173"/>
      <c r="X32" s="2173"/>
      <c r="Y32" s="2173"/>
      <c r="Z32" s="2173"/>
      <c r="AA32" s="2173"/>
      <c r="AB32" s="2172"/>
      <c r="AC32" s="2172"/>
      <c r="AD32" s="2172"/>
      <c r="AE32" s="2172"/>
      <c r="AF32" s="2172"/>
      <c r="AG32" s="2172"/>
      <c r="AH32" s="2172"/>
      <c r="AI32" s="1398"/>
      <c r="AJ32" s="1398"/>
      <c r="AK32" s="1398"/>
      <c r="AL32" s="1398"/>
      <c r="AM32" s="1398"/>
      <c r="AN32" s="1398"/>
    </row>
    <row r="33" spans="1:44" ht="13.2">
      <c r="A33" s="3442" t="s">
        <v>2954</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2"/>
      <c r="L33" s="3152"/>
      <c r="M33" s="3152"/>
      <c r="N33" s="3152"/>
      <c r="O33" s="3152"/>
      <c r="P33" s="1397"/>
      <c r="Q33" s="2172"/>
      <c r="R33" s="2172"/>
      <c r="S33" s="2172"/>
      <c r="T33" s="2172"/>
      <c r="U33" s="2172"/>
      <c r="V33" s="2172"/>
      <c r="W33" s="2173"/>
      <c r="X33" s="2173"/>
      <c r="Y33" s="2173"/>
      <c r="Z33" s="2173"/>
      <c r="AA33" s="2173"/>
      <c r="AB33" s="2172"/>
      <c r="AC33" s="2172"/>
      <c r="AD33" s="2172"/>
      <c r="AE33" s="2172"/>
      <c r="AF33" s="2172"/>
      <c r="AG33" s="2172"/>
      <c r="AH33" s="2173"/>
      <c r="AJ33" s="1399"/>
      <c r="AK33" s="1399"/>
      <c r="AL33" s="1399"/>
      <c r="AM33" s="1399"/>
      <c r="AN33" s="1399"/>
      <c r="AO33" s="1400"/>
      <c r="AP33" s="1400"/>
      <c r="AQ33" s="1400"/>
      <c r="AR33" s="1400"/>
    </row>
    <row r="34" spans="1:44" ht="13.2">
      <c r="A34" s="3443"/>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2"/>
      <c r="L34" s="3152"/>
      <c r="M34" s="3152"/>
      <c r="N34" s="3152"/>
      <c r="O34" s="3152"/>
      <c r="P34" s="1397"/>
      <c r="Q34" s="2172"/>
      <c r="R34" s="2172"/>
      <c r="S34" s="2172"/>
      <c r="T34" s="2172"/>
      <c r="U34" s="2172"/>
      <c r="V34" s="2172"/>
      <c r="W34" s="2173"/>
      <c r="X34" s="2173"/>
      <c r="Y34" s="2173"/>
      <c r="Z34" s="2173"/>
      <c r="AA34" s="2173"/>
      <c r="AB34" s="2172"/>
      <c r="AC34" s="2172"/>
      <c r="AD34" s="2172"/>
      <c r="AE34" s="2172"/>
      <c r="AF34" s="2172"/>
      <c r="AG34" s="2172"/>
      <c r="AH34" s="2173"/>
      <c r="AJ34" s="1399"/>
      <c r="AK34" s="1399"/>
      <c r="AL34" s="1399"/>
      <c r="AM34" s="1399"/>
      <c r="AN34" s="1399"/>
      <c r="AO34" s="1400"/>
      <c r="AP34" s="1400"/>
      <c r="AQ34" s="1400"/>
      <c r="AR34" s="1400"/>
    </row>
    <row r="35" spans="1:44" ht="13.2">
      <c r="A35" s="3443"/>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2"/>
      <c r="L35" s="3152"/>
      <c r="M35" s="3152"/>
      <c r="N35" s="3152"/>
      <c r="O35" s="3152"/>
      <c r="P35" s="1397"/>
      <c r="Q35" s="2172"/>
      <c r="R35" s="2172"/>
      <c r="S35" s="2172"/>
      <c r="T35" s="2172"/>
      <c r="U35" s="2172"/>
      <c r="V35" s="2172"/>
      <c r="W35" s="2173"/>
      <c r="X35" s="2173"/>
      <c r="Y35" s="2173"/>
      <c r="Z35" s="2173"/>
      <c r="AA35" s="2173"/>
      <c r="AB35" s="2172"/>
      <c r="AC35" s="2172"/>
      <c r="AD35" s="2172"/>
      <c r="AE35" s="2172"/>
      <c r="AF35" s="2172"/>
      <c r="AG35" s="2172"/>
      <c r="AH35" s="2173"/>
      <c r="AJ35" s="1399"/>
      <c r="AK35" s="1399"/>
      <c r="AL35" s="1399"/>
      <c r="AM35" s="1399"/>
      <c r="AN35" s="1399"/>
      <c r="AO35" s="1400"/>
      <c r="AP35" s="1400"/>
      <c r="AQ35" s="1400"/>
      <c r="AR35" s="1400"/>
    </row>
    <row r="36" spans="1:44" ht="13.8" thickBot="1">
      <c r="A36" s="3444"/>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2"/>
      <c r="L36" s="3152"/>
      <c r="M36" s="3152"/>
      <c r="N36" s="3152"/>
      <c r="O36" s="3152"/>
      <c r="P36" s="1397"/>
      <c r="Q36" s="2172"/>
      <c r="R36" s="2172"/>
      <c r="S36" s="2172"/>
      <c r="T36" s="2172"/>
      <c r="U36" s="2172"/>
      <c r="V36" s="2172"/>
      <c r="W36" s="2173"/>
      <c r="X36" s="2173"/>
      <c r="Y36" s="2173"/>
      <c r="Z36" s="2173"/>
      <c r="AA36" s="2173"/>
      <c r="AB36" s="2172"/>
      <c r="AC36" s="2172"/>
      <c r="AD36" s="2172"/>
      <c r="AE36" s="2172"/>
      <c r="AF36" s="2172"/>
      <c r="AG36" s="2172"/>
      <c r="AH36" s="2173"/>
      <c r="AJ36" s="1399"/>
      <c r="AK36" s="1399"/>
      <c r="AL36" s="1399"/>
      <c r="AM36" s="1399"/>
      <c r="AN36" s="1399"/>
      <c r="AO36" s="1400"/>
      <c r="AP36" s="1400"/>
      <c r="AQ36" s="1400"/>
      <c r="AR36" s="1400"/>
    </row>
    <row r="37" spans="1:44" ht="13.2">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1702</v>
      </c>
      <c r="M37" s="1531"/>
      <c r="N37" s="2172"/>
      <c r="O37" s="2172"/>
      <c r="P37" s="2172"/>
      <c r="Q37" s="2172"/>
      <c r="R37" s="2173"/>
      <c r="S37" s="2173"/>
      <c r="T37" s="2173"/>
      <c r="U37" s="2173"/>
      <c r="V37" s="2173"/>
      <c r="W37" s="2172"/>
      <c r="X37" s="2172"/>
      <c r="Y37" s="2172"/>
      <c r="Z37" s="2172"/>
      <c r="AA37" s="2172"/>
      <c r="AB37" s="2172"/>
      <c r="AC37" s="2173"/>
    </row>
    <row r="38" spans="1:44" ht="13.2">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1704</v>
      </c>
      <c r="M38" s="1533">
        <v>0.25</v>
      </c>
      <c r="N38" s="2172"/>
      <c r="O38" s="2172"/>
      <c r="P38" s="2172"/>
      <c r="Q38" s="2172"/>
      <c r="R38" s="2173"/>
      <c r="S38" s="2173"/>
      <c r="T38" s="2173"/>
      <c r="U38" s="2173"/>
      <c r="V38" s="2173"/>
      <c r="W38" s="2172"/>
      <c r="X38" s="2172"/>
      <c r="Y38" s="2172"/>
      <c r="Z38" s="2172"/>
      <c r="AA38" s="2172"/>
      <c r="AB38" s="2172"/>
      <c r="AC38" s="2173"/>
    </row>
    <row r="39" spans="1:44" ht="13.8"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1703</v>
      </c>
      <c r="M39" s="1535">
        <v>0.15</v>
      </c>
      <c r="N39" s="2172"/>
      <c r="O39" s="2172"/>
      <c r="P39" s="2172"/>
      <c r="Q39" s="2172"/>
      <c r="R39" s="2173"/>
      <c r="S39" s="2173"/>
      <c r="T39" s="2173"/>
      <c r="U39" s="2173"/>
      <c r="V39" s="2173"/>
      <c r="W39" s="2172"/>
      <c r="X39" s="2172"/>
      <c r="Y39" s="2172"/>
      <c r="Z39" s="2172"/>
      <c r="AA39" s="2172"/>
      <c r="AB39" s="2172"/>
      <c r="AC39" s="2173"/>
    </row>
    <row r="40" spans="1:44" s="1398"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9"/>
      <c r="AE40" s="1399"/>
      <c r="AF40" s="1399"/>
      <c r="AG40" s="1399"/>
      <c r="AH40" s="1399"/>
      <c r="AI40" s="1399"/>
      <c r="AJ40" s="1399"/>
      <c r="AK40" s="1399"/>
      <c r="AL40" s="1399"/>
      <c r="AM40" s="1399"/>
    </row>
    <row r="41" spans="1:44" s="1398" customFormat="1" ht="24">
      <c r="A41" s="1399"/>
      <c r="B41" s="3143" t="s">
        <v>2978</v>
      </c>
      <c r="C41" s="839" t="e">
        <f>ROUND(POWER(1+E41,H41-G41)*(POWER(1+E41,G41)-1)/(POWER(1+E41,H41)-1),4)</f>
        <v>#DIV/0!</v>
      </c>
      <c r="D41" s="378" t="s">
        <v>2976</v>
      </c>
      <c r="E41" s="3142">
        <f>G20</f>
        <v>0</v>
      </c>
      <c r="F41" s="378" t="s">
        <v>2977</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9"/>
      <c r="AE41" s="1399"/>
      <c r="AF41" s="1399"/>
      <c r="AG41" s="1399"/>
      <c r="AH41" s="1399"/>
      <c r="AI41" s="1399"/>
      <c r="AJ41" s="1399"/>
      <c r="AK41" s="1399"/>
      <c r="AL41" s="1399"/>
      <c r="AM41" s="1399"/>
    </row>
    <row r="42" spans="1:44" s="1398" customFormat="1">
      <c r="A42" s="1399"/>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9"/>
      <c r="AE42" s="1399"/>
      <c r="AF42" s="1399"/>
      <c r="AG42" s="1399"/>
      <c r="AH42" s="1399"/>
      <c r="AI42" s="1399"/>
      <c r="AJ42" s="1399"/>
      <c r="AK42" s="1399"/>
      <c r="AL42" s="1399"/>
      <c r="AM42" s="1399"/>
    </row>
    <row r="43" spans="1:44" s="1398" customFormat="1">
      <c r="A43" s="1399"/>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9"/>
      <c r="AE43" s="1399"/>
      <c r="AF43" s="1399"/>
      <c r="AG43" s="1399"/>
      <c r="AH43" s="1399"/>
      <c r="AI43" s="1399"/>
      <c r="AJ43" s="1399"/>
      <c r="AK43" s="1399"/>
      <c r="AL43" s="1399"/>
      <c r="AM43" s="1399"/>
    </row>
    <row r="44" spans="1:44" s="1398" customFormat="1" ht="15" thickBot="1">
      <c r="A44" s="2381" t="s">
        <v>1006</v>
      </c>
      <c r="B44" s="2382"/>
      <c r="C44" s="2383"/>
      <c r="D44" s="2384"/>
      <c r="E44" s="2384"/>
      <c r="F44" s="2385"/>
      <c r="G44" s="1062"/>
      <c r="H44" s="2385"/>
      <c r="I44" s="1062"/>
      <c r="J44" s="1062"/>
      <c r="K44" s="1062"/>
      <c r="L44" s="1062"/>
      <c r="M44" s="1062"/>
      <c r="O44" s="2179"/>
      <c r="P44" s="2179"/>
      <c r="Q44" s="2179"/>
      <c r="R44" s="2180"/>
      <c r="S44" s="2180"/>
      <c r="T44" s="2180"/>
      <c r="U44" s="2180"/>
      <c r="V44" s="2180"/>
      <c r="W44" s="2179"/>
      <c r="X44" s="2179"/>
      <c r="Y44" s="2179"/>
      <c r="Z44" s="2179"/>
      <c r="AA44" s="2179"/>
      <c r="AB44" s="2179"/>
      <c r="AC44" s="2180"/>
      <c r="AD44" s="1399"/>
      <c r="AE44" s="1399"/>
      <c r="AF44" s="1399"/>
      <c r="AG44" s="1399"/>
      <c r="AH44" s="1399"/>
      <c r="AI44" s="1399"/>
      <c r="AJ44" s="1399"/>
      <c r="AK44" s="1399"/>
      <c r="AL44" s="1399"/>
      <c r="AM44" s="1399"/>
    </row>
    <row r="45" spans="1:44" s="1398" customFormat="1" ht="14.4">
      <c r="A45" s="2386" t="s">
        <v>1007</v>
      </c>
      <c r="B45" s="2387">
        <f>1+E47</f>
        <v>1</v>
      </c>
      <c r="C45" s="2388"/>
      <c r="D45" s="2389"/>
      <c r="E45" s="2390"/>
      <c r="F45" s="2391"/>
      <c r="G45" s="2385"/>
      <c r="H45" s="2385"/>
      <c r="I45" s="1062"/>
      <c r="J45" s="1062"/>
      <c r="K45" s="1062"/>
      <c r="L45" s="1062"/>
      <c r="M45" s="1062"/>
      <c r="O45" s="2179"/>
      <c r="P45" s="2179"/>
      <c r="Q45" s="2179"/>
      <c r="R45" s="2180"/>
      <c r="S45" s="2180"/>
      <c r="T45" s="2180"/>
      <c r="U45" s="2180"/>
      <c r="V45" s="2180"/>
      <c r="W45" s="2179"/>
      <c r="X45" s="2179"/>
      <c r="Y45" s="2179"/>
      <c r="Z45" s="2179"/>
      <c r="AA45" s="2179"/>
      <c r="AB45" s="2179"/>
      <c r="AC45" s="2180"/>
      <c r="AD45" s="1399"/>
      <c r="AE45" s="1399"/>
      <c r="AF45" s="1399"/>
      <c r="AG45" s="1399"/>
      <c r="AH45" s="1399"/>
      <c r="AI45" s="1399"/>
      <c r="AJ45" s="1399"/>
      <c r="AK45" s="1399"/>
      <c r="AL45" s="1399"/>
      <c r="AM45" s="1399"/>
    </row>
    <row r="46" spans="1:44" s="1398" customFormat="1" ht="24">
      <c r="A46" s="1063" t="s">
        <v>1008</v>
      </c>
      <c r="B46" s="2370" t="s">
        <v>1009</v>
      </c>
      <c r="C46" s="2392" t="s">
        <v>1010</v>
      </c>
      <c r="D46" s="2393" t="s">
        <v>1011</v>
      </c>
      <c r="E46" s="2394" t="s">
        <v>1013</v>
      </c>
      <c r="F46" s="2395" t="s">
        <v>2247</v>
      </c>
      <c r="G46" s="2393" t="s">
        <v>1014</v>
      </c>
      <c r="H46" s="2376" t="s">
        <v>2415</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9"/>
      <c r="AF46" s="1399"/>
      <c r="AG46" s="1399"/>
      <c r="AH46" s="1399"/>
      <c r="AI46" s="1399"/>
      <c r="AJ46" s="1399"/>
      <c r="AK46" s="1399"/>
      <c r="AL46" s="1399"/>
      <c r="AM46" s="1399"/>
      <c r="AN46" s="1399"/>
    </row>
    <row r="47" spans="1:44" s="1398" customFormat="1" ht="24">
      <c r="A47" s="1063" t="s">
        <v>1020</v>
      </c>
      <c r="B47" s="2373" t="str">
        <f>估价对象房地状况!C16</f>
        <v>较好</v>
      </c>
      <c r="C47" s="1050"/>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9"/>
      <c r="AF47" s="1399"/>
      <c r="AG47" s="1399"/>
      <c r="AH47" s="1399"/>
      <c r="AI47" s="1399"/>
      <c r="AJ47" s="1399"/>
      <c r="AK47" s="1399"/>
      <c r="AL47" s="1399"/>
      <c r="AM47" s="1399"/>
      <c r="AN47" s="1399"/>
    </row>
    <row r="48" spans="1:44" s="1398" customFormat="1" ht="24">
      <c r="A48" s="1063" t="s">
        <v>1021</v>
      </c>
      <c r="B48" s="2370" t="str">
        <f>估价对象房地状况!C18</f>
        <v>较好</v>
      </c>
      <c r="C48" s="1050"/>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9"/>
      <c r="AF48" s="1399"/>
      <c r="AG48" s="1399"/>
      <c r="AH48" s="1399"/>
      <c r="AI48" s="1399"/>
      <c r="AJ48" s="1399"/>
      <c r="AK48" s="1399"/>
      <c r="AL48" s="1399"/>
      <c r="AM48" s="1399"/>
      <c r="AN48" s="1399"/>
    </row>
    <row r="49" spans="1:40" s="1398" customFormat="1" ht="24">
      <c r="A49" s="1063" t="s">
        <v>1022</v>
      </c>
      <c r="B49" s="2370">
        <f>估价对象房地状况!C19</f>
        <v>0</v>
      </c>
      <c r="C49" s="1050"/>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9"/>
      <c r="AF49" s="1399"/>
      <c r="AG49" s="1399"/>
      <c r="AH49" s="1399"/>
      <c r="AI49" s="1399"/>
      <c r="AJ49" s="1399"/>
      <c r="AK49" s="1399"/>
      <c r="AL49" s="1399"/>
      <c r="AM49" s="1399"/>
      <c r="AN49" s="1399"/>
    </row>
    <row r="50" spans="1:40" s="1398" customFormat="1" ht="48">
      <c r="A50" s="1063" t="s">
        <v>1023</v>
      </c>
      <c r="B50" s="3045" t="s">
        <v>2931</v>
      </c>
      <c r="C50" s="1050"/>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9"/>
      <c r="AF50" s="1399"/>
      <c r="AG50" s="1399"/>
      <c r="AH50" s="1399"/>
      <c r="AI50" s="1399"/>
      <c r="AJ50" s="1399"/>
      <c r="AK50" s="1399"/>
      <c r="AL50" s="1399"/>
      <c r="AM50" s="1399"/>
      <c r="AN50" s="1399"/>
    </row>
    <row r="51" spans="1:40" s="1398" customFormat="1" ht="24">
      <c r="A51" s="1063" t="s">
        <v>1024</v>
      </c>
      <c r="B51" s="2370" t="str">
        <f>估价对象房地状况!C24</f>
        <v>次干道</v>
      </c>
      <c r="C51" s="1050"/>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9"/>
      <c r="AF51" s="1399"/>
      <c r="AG51" s="1399"/>
      <c r="AH51" s="1399"/>
      <c r="AI51" s="1399"/>
      <c r="AJ51" s="1399"/>
      <c r="AK51" s="1399"/>
      <c r="AL51" s="1399"/>
      <c r="AM51" s="1399"/>
      <c r="AN51" s="1399"/>
    </row>
    <row r="52" spans="1:40" s="1398" customFormat="1" ht="36">
      <c r="A52" s="1063" t="s">
        <v>1025</v>
      </c>
      <c r="B52" s="3044" t="s">
        <v>2930</v>
      </c>
      <c r="C52" s="1050"/>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9"/>
      <c r="AF52" s="1399"/>
      <c r="AG52" s="1399"/>
      <c r="AH52" s="1399"/>
      <c r="AI52" s="1399"/>
      <c r="AJ52" s="1399"/>
      <c r="AK52" s="1399"/>
      <c r="AL52" s="1399"/>
      <c r="AM52" s="1399"/>
      <c r="AN52" s="1399"/>
    </row>
    <row r="53" spans="1:40" s="1398" customFormat="1" ht="24">
      <c r="A53" s="2402" t="s">
        <v>1026</v>
      </c>
      <c r="B53" s="2371" t="str">
        <f>估价对象房地状况!C21</f>
        <v>较好</v>
      </c>
      <c r="C53" s="1050"/>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9"/>
      <c r="AF53" s="1399"/>
      <c r="AG53" s="1399"/>
      <c r="AH53" s="1399"/>
      <c r="AI53" s="1399"/>
      <c r="AJ53" s="1399"/>
      <c r="AK53" s="1399"/>
      <c r="AL53" s="1399"/>
      <c r="AM53" s="1399"/>
      <c r="AN53" s="1399"/>
    </row>
    <row r="54" spans="1:40" s="1398" customFormat="1" ht="24">
      <c r="A54" s="2402" t="s">
        <v>1027</v>
      </c>
      <c r="B54" s="2370" t="str">
        <f>估价对象房地状况!C22</f>
        <v>六通</v>
      </c>
      <c r="C54" s="1050"/>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9"/>
      <c r="AF54" s="1399"/>
      <c r="AG54" s="1399"/>
      <c r="AH54" s="1399"/>
      <c r="AI54" s="1399"/>
      <c r="AJ54" s="1399"/>
      <c r="AK54" s="1399"/>
      <c r="AL54" s="1399"/>
      <c r="AM54" s="1399"/>
      <c r="AN54" s="1399"/>
    </row>
    <row r="55" spans="1:40" s="1398" customFormat="1" ht="36.6" thickBot="1">
      <c r="A55" s="2403" t="s">
        <v>1028</v>
      </c>
      <c r="B55" s="2374" t="str">
        <f>估价对象房地状况!C20</f>
        <v>较好</v>
      </c>
      <c r="C55" s="1050"/>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9"/>
      <c r="AF55" s="1399"/>
      <c r="AG55" s="1399"/>
      <c r="AH55" s="1399"/>
      <c r="AI55" s="1399"/>
      <c r="AJ55" s="1399"/>
      <c r="AK55" s="1399"/>
      <c r="AL55" s="1399"/>
      <c r="AM55" s="1399"/>
      <c r="AN55" s="1399"/>
    </row>
    <row r="56" spans="1:40" s="1398" customFormat="1" ht="14.4">
      <c r="A56" s="2386" t="s">
        <v>1029</v>
      </c>
      <c r="B56" s="2387">
        <f>1+E58</f>
        <v>1</v>
      </c>
      <c r="C56" s="2406"/>
      <c r="D56" s="2389"/>
      <c r="E56" s="2390"/>
      <c r="F56" s="2391"/>
      <c r="G56" s="2385"/>
      <c r="H56" s="2385"/>
      <c r="I56" s="2385"/>
      <c r="J56" s="1062"/>
      <c r="K56" s="1062"/>
      <c r="L56" s="1062"/>
      <c r="M56" s="1062"/>
      <c r="N56" s="1062"/>
      <c r="P56" s="2179"/>
      <c r="Q56" s="2179"/>
      <c r="R56" s="2180"/>
      <c r="S56" s="2180"/>
      <c r="T56" s="2180"/>
      <c r="U56" s="2180"/>
      <c r="V56" s="2180"/>
      <c r="W56" s="2179"/>
      <c r="X56" s="2179"/>
      <c r="Y56" s="2179"/>
      <c r="Z56" s="2179"/>
      <c r="AA56" s="2179"/>
      <c r="AB56" s="2179"/>
      <c r="AC56" s="2179"/>
      <c r="AD56" s="2180"/>
      <c r="AE56" s="1399"/>
      <c r="AF56" s="1399"/>
      <c r="AG56" s="1399"/>
      <c r="AH56" s="1399"/>
      <c r="AI56" s="1399"/>
      <c r="AJ56" s="1399"/>
      <c r="AK56" s="1399"/>
      <c r="AL56" s="1399"/>
      <c r="AM56" s="1399"/>
      <c r="AN56" s="1399"/>
    </row>
    <row r="57" spans="1:40" s="1398" customFormat="1" ht="24">
      <c r="A57" s="1063" t="s">
        <v>1008</v>
      </c>
      <c r="B57" s="2370"/>
      <c r="C57" s="2392" t="s">
        <v>1010</v>
      </c>
      <c r="D57" s="2393" t="s">
        <v>1011</v>
      </c>
      <c r="E57" s="2394" t="s">
        <v>1013</v>
      </c>
      <c r="F57" s="2395" t="s">
        <v>2248</v>
      </c>
      <c r="G57" s="2393" t="s">
        <v>1014</v>
      </c>
      <c r="H57" s="2376" t="s">
        <v>2415</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9"/>
      <c r="AF57" s="1399"/>
      <c r="AG57" s="1399"/>
      <c r="AH57" s="1399"/>
      <c r="AI57" s="1399"/>
      <c r="AJ57" s="1399"/>
      <c r="AK57" s="1399"/>
      <c r="AL57" s="1399"/>
      <c r="AM57" s="1399"/>
      <c r="AN57" s="1399"/>
    </row>
    <row r="58" spans="1:40" s="1398" customFormat="1" ht="24">
      <c r="A58" s="1063" t="s">
        <v>1030</v>
      </c>
      <c r="B58" s="2373">
        <f>估价对象房地状况!C17</f>
        <v>0</v>
      </c>
      <c r="C58" s="1050"/>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9"/>
      <c r="AF58" s="1399"/>
      <c r="AG58" s="1399"/>
      <c r="AH58" s="1399"/>
      <c r="AI58" s="1399"/>
      <c r="AJ58" s="1399"/>
      <c r="AK58" s="1399"/>
      <c r="AL58" s="1399"/>
      <c r="AM58" s="1399"/>
      <c r="AN58" s="1399"/>
    </row>
    <row r="59" spans="1:40" s="1398" customFormat="1" ht="24">
      <c r="A59" s="1063" t="s">
        <v>1021</v>
      </c>
      <c r="B59" s="2370" t="str">
        <f>估价对象房地状况!C18</f>
        <v>较好</v>
      </c>
      <c r="C59" s="1050"/>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9"/>
      <c r="AF59" s="1399"/>
      <c r="AG59" s="1399"/>
      <c r="AH59" s="1399"/>
      <c r="AI59" s="1399"/>
      <c r="AJ59" s="1399"/>
      <c r="AK59" s="1399"/>
      <c r="AL59" s="1399"/>
      <c r="AM59" s="1399"/>
      <c r="AN59" s="1399"/>
    </row>
    <row r="60" spans="1:40" s="1398" customFormat="1" ht="24">
      <c r="A60" s="1063" t="s">
        <v>1022</v>
      </c>
      <c r="B60" s="2370">
        <f>估价对象房地状况!C19</f>
        <v>0</v>
      </c>
      <c r="C60" s="1050"/>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9"/>
      <c r="AF60" s="1399"/>
      <c r="AG60" s="1399"/>
      <c r="AH60" s="1399"/>
      <c r="AI60" s="1399"/>
      <c r="AJ60" s="1399"/>
      <c r="AK60" s="1399"/>
      <c r="AL60" s="1399"/>
      <c r="AM60" s="1399"/>
      <c r="AN60" s="1399"/>
    </row>
    <row r="61" spans="1:40" s="1398" customFormat="1" ht="48">
      <c r="A61" s="1063" t="s">
        <v>1023</v>
      </c>
      <c r="B61" s="3045" t="s">
        <v>2932</v>
      </c>
      <c r="C61" s="1050"/>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9"/>
      <c r="AF61" s="1399"/>
      <c r="AG61" s="1399"/>
      <c r="AH61" s="1399"/>
      <c r="AI61" s="1399"/>
      <c r="AJ61" s="1399"/>
      <c r="AK61" s="1399"/>
      <c r="AL61" s="1399"/>
      <c r="AM61" s="1399"/>
      <c r="AN61" s="1399"/>
    </row>
    <row r="62" spans="1:40" s="1398" customFormat="1" ht="24">
      <c r="A62" s="1063" t="s">
        <v>1024</v>
      </c>
      <c r="B62" s="2370" t="str">
        <f>估价对象房地状况!C24</f>
        <v>次干道</v>
      </c>
      <c r="C62" s="1050"/>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9"/>
      <c r="AF62" s="1399"/>
      <c r="AG62" s="1399"/>
      <c r="AH62" s="1399"/>
      <c r="AI62" s="1399"/>
      <c r="AJ62" s="1399"/>
      <c r="AK62" s="1399"/>
      <c r="AL62" s="1399"/>
      <c r="AM62" s="1399"/>
      <c r="AN62" s="1399"/>
    </row>
    <row r="63" spans="1:40" s="1398" customFormat="1" ht="36">
      <c r="A63" s="1063" t="s">
        <v>1025</v>
      </c>
      <c r="B63" s="3044" t="s">
        <v>2930</v>
      </c>
      <c r="C63" s="1050"/>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9"/>
      <c r="AF63" s="1399"/>
      <c r="AG63" s="1399"/>
      <c r="AH63" s="1399"/>
      <c r="AI63" s="1399"/>
      <c r="AJ63" s="1399"/>
      <c r="AK63" s="1399"/>
      <c r="AL63" s="1399"/>
      <c r="AM63" s="1399"/>
      <c r="AN63" s="1399"/>
    </row>
    <row r="64" spans="1:40" s="1398" customFormat="1" ht="24">
      <c r="A64" s="1063" t="s">
        <v>1026</v>
      </c>
      <c r="B64" s="2371" t="str">
        <f>估价对象房地状况!C21</f>
        <v>较好</v>
      </c>
      <c r="C64" s="1050"/>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9"/>
      <c r="AF64" s="1399"/>
      <c r="AG64" s="1399"/>
      <c r="AH64" s="1399"/>
      <c r="AI64" s="1399"/>
      <c r="AJ64" s="1399"/>
      <c r="AK64" s="1399"/>
      <c r="AL64" s="1399"/>
      <c r="AM64" s="1399"/>
      <c r="AN64" s="1399"/>
    </row>
    <row r="65" spans="1:40" s="1398" customFormat="1" ht="24">
      <c r="A65" s="1063" t="s">
        <v>1027</v>
      </c>
      <c r="B65" s="2371" t="str">
        <f>估价对象房地状况!C22</f>
        <v>六通</v>
      </c>
      <c r="C65" s="1050"/>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9"/>
      <c r="AF65" s="1399"/>
      <c r="AG65" s="1399"/>
      <c r="AH65" s="1399"/>
      <c r="AI65" s="1399"/>
      <c r="AJ65" s="1399"/>
      <c r="AK65" s="1399"/>
      <c r="AL65" s="1399"/>
      <c r="AM65" s="1399"/>
      <c r="AN65" s="1399"/>
    </row>
    <row r="66" spans="1:40" s="1398" customFormat="1" ht="36.6" thickBot="1">
      <c r="A66" s="2403" t="s">
        <v>1028</v>
      </c>
      <c r="B66" s="2375" t="str">
        <f>估价对象房地状况!C20</f>
        <v>较好</v>
      </c>
      <c r="C66" s="1050"/>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9"/>
      <c r="AF66" s="1399"/>
      <c r="AG66" s="1399"/>
      <c r="AH66" s="1399"/>
      <c r="AI66" s="1399"/>
      <c r="AJ66" s="1399"/>
      <c r="AK66" s="1399"/>
      <c r="AL66" s="1399"/>
      <c r="AM66" s="1399"/>
      <c r="AN66" s="1399"/>
    </row>
    <row r="67" spans="1:40" s="1398" customFormat="1" ht="14.4">
      <c r="A67" s="2386" t="s">
        <v>1031</v>
      </c>
      <c r="B67" s="2387">
        <f>1+E69</f>
        <v>1</v>
      </c>
      <c r="C67" s="2406"/>
      <c r="D67" s="2389"/>
      <c r="E67" s="2390"/>
      <c r="F67" s="2391"/>
      <c r="G67" s="2385"/>
      <c r="H67" s="2385"/>
      <c r="I67" s="2385"/>
      <c r="J67" s="1062"/>
      <c r="K67" s="1062"/>
      <c r="L67" s="1062"/>
      <c r="M67" s="1062"/>
      <c r="N67" s="1062"/>
      <c r="P67" s="2179"/>
      <c r="Q67" s="2179"/>
      <c r="R67" s="2180"/>
      <c r="S67" s="2180"/>
      <c r="T67" s="2180"/>
      <c r="U67" s="2180"/>
      <c r="V67" s="2180"/>
      <c r="W67" s="2179"/>
      <c r="X67" s="2179"/>
      <c r="Y67" s="2179"/>
      <c r="Z67" s="2179"/>
      <c r="AA67" s="2179"/>
      <c r="AB67" s="2179"/>
      <c r="AC67" s="2179"/>
      <c r="AD67" s="2180"/>
      <c r="AE67" s="1399"/>
      <c r="AF67" s="1399"/>
      <c r="AG67" s="1399"/>
      <c r="AH67" s="1399"/>
      <c r="AI67" s="1399"/>
      <c r="AJ67" s="1399"/>
      <c r="AK67" s="1399"/>
      <c r="AL67" s="1399"/>
      <c r="AM67" s="1399"/>
      <c r="AN67" s="1399"/>
    </row>
    <row r="68" spans="1:40" s="1398" customFormat="1" ht="24">
      <c r="A68" s="1063" t="s">
        <v>1008</v>
      </c>
      <c r="B68" s="2370"/>
      <c r="C68" s="2392" t="s">
        <v>1010</v>
      </c>
      <c r="D68" s="2393" t="s">
        <v>1011</v>
      </c>
      <c r="E68" s="2394" t="s">
        <v>1013</v>
      </c>
      <c r="F68" s="2395" t="s">
        <v>2249</v>
      </c>
      <c r="G68" s="2393" t="s">
        <v>1014</v>
      </c>
      <c r="H68" s="2376" t="s">
        <v>2415</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9"/>
      <c r="AF68" s="1399"/>
      <c r="AG68" s="1399"/>
      <c r="AH68" s="1399"/>
      <c r="AI68" s="1399"/>
      <c r="AJ68" s="1399"/>
      <c r="AK68" s="1399"/>
      <c r="AL68" s="1399"/>
      <c r="AM68" s="1399"/>
      <c r="AN68" s="1399"/>
    </row>
    <row r="69" spans="1:40" s="1398" customFormat="1" ht="24">
      <c r="A69" s="1063" t="s">
        <v>1032</v>
      </c>
      <c r="B69" s="2373" t="str">
        <f>估价对象房地状况!C15</f>
        <v>较好</v>
      </c>
      <c r="C69" s="1155"/>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9"/>
      <c r="AF69" s="1399"/>
      <c r="AG69" s="1399"/>
      <c r="AH69" s="1399"/>
      <c r="AI69" s="1399"/>
      <c r="AJ69" s="1399"/>
      <c r="AK69" s="1399"/>
      <c r="AL69" s="1399"/>
      <c r="AM69" s="1399"/>
      <c r="AN69" s="1399"/>
    </row>
    <row r="70" spans="1:40" s="1398" customFormat="1" ht="24">
      <c r="A70" s="1063" t="s">
        <v>1033</v>
      </c>
      <c r="B70" s="2370" t="str">
        <f>估价对象房地状况!C18</f>
        <v>较好</v>
      </c>
      <c r="C70" s="1155"/>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9"/>
      <c r="AF70" s="1399"/>
      <c r="AG70" s="1399"/>
      <c r="AH70" s="1399"/>
      <c r="AI70" s="1399"/>
      <c r="AJ70" s="1399"/>
      <c r="AK70" s="1399"/>
      <c r="AL70" s="1399"/>
      <c r="AM70" s="1399"/>
      <c r="AN70" s="1399"/>
    </row>
    <row r="71" spans="1:40" s="1398" customFormat="1" ht="24">
      <c r="A71" s="1063" t="s">
        <v>1022</v>
      </c>
      <c r="B71" s="2370">
        <f>估价对象房地状况!C19</f>
        <v>0</v>
      </c>
      <c r="C71" s="1155"/>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9"/>
      <c r="AF71" s="1399"/>
      <c r="AG71" s="1399"/>
      <c r="AH71" s="1399"/>
      <c r="AI71" s="1399"/>
      <c r="AJ71" s="1399"/>
      <c r="AK71" s="1399"/>
      <c r="AL71" s="1399"/>
      <c r="AM71" s="1399"/>
      <c r="AN71" s="1399"/>
    </row>
    <row r="72" spans="1:40" s="1398" customFormat="1" ht="13.8">
      <c r="A72" s="1063" t="s">
        <v>1034</v>
      </c>
      <c r="B72" s="2370" t="str">
        <f>估价对象房地状况!C24</f>
        <v>次干道</v>
      </c>
      <c r="C72" s="1155"/>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9"/>
      <c r="AF72" s="1399"/>
      <c r="AG72" s="1399"/>
      <c r="AH72" s="1399"/>
      <c r="AI72" s="1399"/>
      <c r="AJ72" s="1399"/>
      <c r="AK72" s="1399"/>
      <c r="AL72" s="1399"/>
      <c r="AM72" s="1399"/>
      <c r="AN72" s="1399"/>
    </row>
    <row r="73" spans="1:40" s="1398" customFormat="1" ht="24">
      <c r="A73" s="1063" t="s">
        <v>1026</v>
      </c>
      <c r="B73" s="2371" t="str">
        <f>估价对象房地状况!C21</f>
        <v>较好</v>
      </c>
      <c r="C73" s="1155"/>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9"/>
      <c r="AF73" s="1399"/>
      <c r="AG73" s="1399"/>
      <c r="AH73" s="1399"/>
      <c r="AI73" s="1399"/>
      <c r="AJ73" s="1399"/>
      <c r="AK73" s="1399"/>
      <c r="AL73" s="1399"/>
      <c r="AM73" s="1399"/>
      <c r="AN73" s="1399"/>
    </row>
    <row r="74" spans="1:40" s="1398" customFormat="1" ht="24">
      <c r="A74" s="1063" t="s">
        <v>1027</v>
      </c>
      <c r="B74" s="2371" t="str">
        <f>估价对象房地状况!C22</f>
        <v>六通</v>
      </c>
      <c r="C74" s="1155"/>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9"/>
      <c r="AF74" s="1399"/>
      <c r="AG74" s="1399"/>
      <c r="AH74" s="1399"/>
      <c r="AI74" s="1399"/>
      <c r="AJ74" s="1399"/>
      <c r="AK74" s="1399"/>
      <c r="AL74" s="1399"/>
      <c r="AM74" s="1399"/>
      <c r="AN74" s="1399"/>
    </row>
    <row r="75" spans="1:40" s="1398" customFormat="1" ht="36">
      <c r="A75" s="1063" t="s">
        <v>1025</v>
      </c>
      <c r="B75" s="3044" t="s">
        <v>2930</v>
      </c>
      <c r="C75" s="1155"/>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9"/>
      <c r="AF75" s="1399"/>
      <c r="AG75" s="1399"/>
      <c r="AH75" s="1399"/>
      <c r="AI75" s="1399"/>
      <c r="AJ75" s="1399"/>
      <c r="AK75" s="1399"/>
      <c r="AL75" s="1399"/>
      <c r="AM75" s="1399"/>
      <c r="AN75" s="1399"/>
    </row>
    <row r="76" spans="1:40" ht="36">
      <c r="A76" s="1063" t="s">
        <v>1028</v>
      </c>
      <c r="B76" s="2373" t="str">
        <f>估价对象房地状况!C20</f>
        <v>较好</v>
      </c>
      <c r="C76" s="1155"/>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9"/>
      <c r="AN76" s="1400"/>
    </row>
    <row r="77" spans="1:40" ht="36.6" thickBot="1">
      <c r="A77" s="2403" t="s">
        <v>1035</v>
      </c>
      <c r="B77" s="1833"/>
      <c r="C77" s="1155"/>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1"/>
      <c r="AD77" s="1400"/>
      <c r="AJ77" s="1399"/>
      <c r="AN77" s="1400"/>
    </row>
    <row r="78" spans="1:40" ht="14.4">
      <c r="A78" s="2386" t="s">
        <v>1036</v>
      </c>
      <c r="B78" s="2387">
        <f>1+E80</f>
        <v>1</v>
      </c>
      <c r="C78" s="2406"/>
      <c r="D78" s="2389"/>
      <c r="E78" s="2390"/>
      <c r="F78" s="2391"/>
      <c r="G78" s="2385"/>
      <c r="H78" s="2385"/>
      <c r="I78" s="2385"/>
      <c r="J78" s="1062"/>
      <c r="K78" s="1062"/>
      <c r="L78" s="1062"/>
      <c r="M78" s="1062"/>
      <c r="N78" s="1062"/>
      <c r="AC78" s="1401"/>
      <c r="AD78" s="1400"/>
      <c r="AJ78" s="1399"/>
      <c r="AN78" s="1400"/>
    </row>
    <row r="79" spans="1:40" ht="24">
      <c r="A79" s="1063" t="s">
        <v>1008</v>
      </c>
      <c r="B79" s="2370"/>
      <c r="C79" s="2392" t="s">
        <v>1010</v>
      </c>
      <c r="D79" s="2393" t="s">
        <v>1011</v>
      </c>
      <c r="E79" s="2394" t="s">
        <v>1013</v>
      </c>
      <c r="F79" s="2395" t="s">
        <v>2250</v>
      </c>
      <c r="G79" s="2393" t="s">
        <v>1014</v>
      </c>
      <c r="H79" s="2376" t="s">
        <v>2415</v>
      </c>
      <c r="I79" s="2393" t="s">
        <v>1012</v>
      </c>
      <c r="J79" s="2396" t="s">
        <v>1015</v>
      </c>
      <c r="K79" s="2396" t="s">
        <v>1016</v>
      </c>
      <c r="L79" s="2396" t="s">
        <v>1017</v>
      </c>
      <c r="M79" s="2396" t="s">
        <v>1018</v>
      </c>
      <c r="N79" s="2396" t="s">
        <v>1019</v>
      </c>
      <c r="AC79" s="1401"/>
      <c r="AD79" s="1400"/>
      <c r="AJ79" s="1399"/>
      <c r="AN79" s="1400"/>
    </row>
    <row r="80" spans="1:40" ht="36">
      <c r="A80" s="1063" t="s">
        <v>1037</v>
      </c>
      <c r="B80" s="2370" t="str">
        <f>估价对象房地状况!G15</f>
        <v>估价对象位于XX开发区，园区建设成熟度XX，产业集聚程度XX</v>
      </c>
      <c r="C80" s="1050"/>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1"/>
      <c r="AD80" s="1400"/>
      <c r="AJ80" s="1399"/>
      <c r="AN80" s="1400"/>
    </row>
    <row r="81" spans="1:40" ht="48">
      <c r="A81" s="1063" t="s">
        <v>1033</v>
      </c>
      <c r="B81" s="2370" t="str">
        <f>估价对象房地状况!G16</f>
        <v>估价对象周边道路状况、公共交通通达情况、停车便捷程度，综合评价交通便捷度较好</v>
      </c>
      <c r="C81" s="1050"/>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1"/>
      <c r="AD81" s="1400"/>
      <c r="AJ81" s="1399"/>
      <c r="AN81" s="1400"/>
    </row>
    <row r="82" spans="1:40" ht="24">
      <c r="A82" s="1063" t="s">
        <v>1022</v>
      </c>
      <c r="B82" s="2370">
        <f>估价对象房地状况!G17</f>
        <v>0</v>
      </c>
      <c r="C82" s="1050"/>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1"/>
      <c r="AD82" s="1400"/>
      <c r="AJ82" s="1399"/>
      <c r="AN82" s="1400"/>
    </row>
    <row r="83" spans="1:40" ht="13.8">
      <c r="A83" s="1063" t="s">
        <v>1034</v>
      </c>
      <c r="B83" s="2370">
        <f>估价对象房地状况!G22</f>
        <v>0</v>
      </c>
      <c r="C83" s="1050"/>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1"/>
      <c r="AD83" s="1400"/>
      <c r="AJ83" s="1399"/>
      <c r="AN83" s="1400"/>
    </row>
    <row r="84" spans="1:40" ht="24">
      <c r="A84" s="1063" t="s">
        <v>1026</v>
      </c>
      <c r="B84" s="2371" t="str">
        <f>估价对象房地状况!G19</f>
        <v>估价对象所在区域公共配套设施齐备情况</v>
      </c>
      <c r="C84" s="1050"/>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1"/>
      <c r="AD84" s="1400"/>
      <c r="AJ84" s="1399"/>
      <c r="AN84" s="1400"/>
    </row>
    <row r="85" spans="1:40" ht="24">
      <c r="A85" s="1063" t="s">
        <v>1027</v>
      </c>
      <c r="B85" s="2371" t="str">
        <f>估价对象房地状况!G20</f>
        <v>估价对象所在区域基础设施水平</v>
      </c>
      <c r="C85" s="1050"/>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1"/>
      <c r="AD85" s="1400"/>
      <c r="AJ85" s="1399"/>
      <c r="AN85" s="1400"/>
    </row>
    <row r="86" spans="1:40" ht="36">
      <c r="A86" s="1063" t="s">
        <v>1025</v>
      </c>
      <c r="B86" s="3044" t="s">
        <v>2930</v>
      </c>
      <c r="C86" s="1050"/>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1"/>
      <c r="AD86" s="1400"/>
      <c r="AJ86" s="1399"/>
      <c r="AN86" s="1400"/>
    </row>
    <row r="87" spans="1:40" ht="48.6" thickBot="1">
      <c r="A87" s="2403" t="s">
        <v>1038</v>
      </c>
      <c r="B87" s="2372" t="str">
        <f>估价对象房地状况!G18</f>
        <v>该园区内是否有污染型企业，绿化情况，卫生条件，整体环境状况判断</v>
      </c>
      <c r="C87" s="1050"/>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1"/>
      <c r="AD87" s="1400"/>
      <c r="AJ87" s="1399"/>
      <c r="AN87" s="1400"/>
    </row>
    <row r="90" spans="1:40">
      <c r="A90" s="3440" t="s">
        <v>1633</v>
      </c>
      <c r="B90" s="3440"/>
      <c r="C90" s="3440"/>
      <c r="D90" s="3440"/>
      <c r="E90" s="3440"/>
      <c r="F90" s="3440"/>
      <c r="G90" s="3440"/>
      <c r="H90" s="3440"/>
      <c r="I90" s="3440"/>
      <c r="J90" s="3440"/>
      <c r="K90" s="2412"/>
      <c r="L90" s="2412"/>
      <c r="M90" s="2412"/>
      <c r="N90" s="2412"/>
    </row>
    <row r="91" spans="1:40">
      <c r="A91" s="3441" t="s">
        <v>1443</v>
      </c>
      <c r="B91" s="3441" t="s">
        <v>1634</v>
      </c>
      <c r="C91" s="1136" t="s">
        <v>1635</v>
      </c>
      <c r="D91" s="1137"/>
      <c r="E91" s="1137"/>
      <c r="F91" s="1137"/>
      <c r="G91" s="1137"/>
      <c r="H91" s="1137"/>
      <c r="I91" s="1137"/>
      <c r="J91" s="1138"/>
      <c r="K91" s="1130"/>
      <c r="L91" s="1130"/>
      <c r="M91" s="1130"/>
      <c r="N91" s="1130"/>
    </row>
    <row r="92" spans="1:40">
      <c r="A92" s="3441"/>
      <c r="B92" s="3441"/>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27"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8"/>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7" t="s">
        <v>1637</v>
      </c>
      <c r="B101" s="1143" t="s">
        <v>906</v>
      </c>
      <c r="C101" s="1144">
        <f>$G$3</f>
        <v>3.5</v>
      </c>
      <c r="D101" s="1144">
        <f t="shared" ref="D101:N101" si="31">$G$3</f>
        <v>3.5</v>
      </c>
      <c r="E101" s="1144">
        <f t="shared" si="31"/>
        <v>3.5</v>
      </c>
      <c r="F101" s="1144">
        <f t="shared" si="31"/>
        <v>3.5</v>
      </c>
      <c r="G101" s="1144">
        <f t="shared" si="31"/>
        <v>3.5</v>
      </c>
      <c r="H101" s="1144">
        <f t="shared" si="31"/>
        <v>3.5</v>
      </c>
      <c r="I101" s="1144">
        <f t="shared" si="31"/>
        <v>3.5</v>
      </c>
      <c r="J101" s="1144">
        <f t="shared" si="31"/>
        <v>3.5</v>
      </c>
      <c r="K101" s="1144">
        <f t="shared" si="31"/>
        <v>3.5</v>
      </c>
      <c r="L101" s="1144">
        <f t="shared" si="31"/>
        <v>3.5</v>
      </c>
      <c r="M101" s="1144">
        <f t="shared" si="31"/>
        <v>3.5</v>
      </c>
      <c r="N101" s="1144">
        <f t="shared" si="31"/>
        <v>3.5</v>
      </c>
    </row>
    <row r="102" spans="1:14">
      <c r="A102" s="3428"/>
      <c r="B102" s="1139">
        <v>1</v>
      </c>
      <c r="C102" s="1140">
        <f>1.9362/C101</f>
        <v>0.55320000000000003</v>
      </c>
      <c r="D102" s="1140">
        <f>1.9362/D101</f>
        <v>0.55320000000000003</v>
      </c>
      <c r="E102" s="1140">
        <f>1.8629/E101</f>
        <v>0.53225714285714287</v>
      </c>
      <c r="F102" s="1140">
        <f>1.8629/F101</f>
        <v>0.53225714285714287</v>
      </c>
      <c r="G102" s="1140">
        <f>1.8629/G101</f>
        <v>0.53225714285714287</v>
      </c>
      <c r="H102" s="1140">
        <f>1.8629/H101</f>
        <v>0.53225714285714287</v>
      </c>
      <c r="I102" s="1140">
        <f>1.8629/I101</f>
        <v>0.53225714285714287</v>
      </c>
      <c r="J102" s="1140">
        <f>1.942/J101</f>
        <v>0.55485714285714283</v>
      </c>
      <c r="K102" s="1140">
        <f>1.942/K101</f>
        <v>0.55485714285714283</v>
      </c>
      <c r="L102" s="1140">
        <f>1.942/L101</f>
        <v>0.55485714285714283</v>
      </c>
      <c r="M102" s="1140">
        <f>1.942/M101</f>
        <v>0.55485714285714283</v>
      </c>
      <c r="N102" s="1140">
        <f>1.942/N101</f>
        <v>0.55485714285714283</v>
      </c>
    </row>
    <row r="103" spans="1:14">
      <c r="A103" s="3428"/>
      <c r="B103" s="1139">
        <v>2</v>
      </c>
      <c r="C103" s="1140">
        <f>1.4198/C101</f>
        <v>0.40565714285714283</v>
      </c>
      <c r="D103" s="1140">
        <f>1.4198/D101</f>
        <v>0.40565714285714283</v>
      </c>
      <c r="E103" s="1140">
        <f>1.3372/E101</f>
        <v>0.38205714285714282</v>
      </c>
      <c r="F103" s="1140">
        <f>1.3372/F101</f>
        <v>0.38205714285714282</v>
      </c>
      <c r="G103" s="1140">
        <f>1.3372/G101</f>
        <v>0.38205714285714282</v>
      </c>
      <c r="H103" s="1140">
        <f>1.3372/H101</f>
        <v>0.38205714285714282</v>
      </c>
      <c r="I103" s="1140">
        <f>1.3372/I101</f>
        <v>0.38205714285714282</v>
      </c>
      <c r="J103" s="1140">
        <f>1.2799/J101</f>
        <v>0.36568571428571428</v>
      </c>
      <c r="K103" s="1140">
        <f>1.2799/K101</f>
        <v>0.36568571428571428</v>
      </c>
      <c r="L103" s="1140">
        <f>1.2799/L101</f>
        <v>0.36568571428571428</v>
      </c>
      <c r="M103" s="1140">
        <f>1.2799/M101</f>
        <v>0.36568571428571428</v>
      </c>
      <c r="N103" s="1140">
        <f>1.2799/N101</f>
        <v>0.36568571428571428</v>
      </c>
    </row>
    <row r="104" spans="1:14">
      <c r="A104" s="3428"/>
      <c r="B104" s="1139">
        <v>3</v>
      </c>
      <c r="C104" s="1140">
        <f>1.1594/C101</f>
        <v>0.33125714285714286</v>
      </c>
      <c r="D104" s="1140">
        <f>1.1594/D101</f>
        <v>0.33125714285714286</v>
      </c>
      <c r="E104" s="1140">
        <f>1.0788/E101</f>
        <v>0.30822857142857141</v>
      </c>
      <c r="F104" s="1140">
        <f>1.0788/F101</f>
        <v>0.30822857142857141</v>
      </c>
      <c r="G104" s="1140">
        <f>1.0788/G101</f>
        <v>0.30822857142857141</v>
      </c>
      <c r="H104" s="1140">
        <f>1.0788/H101</f>
        <v>0.30822857142857141</v>
      </c>
      <c r="I104" s="1140">
        <f>1.0788/I101</f>
        <v>0.30822857142857141</v>
      </c>
      <c r="J104" s="1140">
        <f>1.0072/J101</f>
        <v>0.28777142857142862</v>
      </c>
      <c r="K104" s="1140">
        <f>1.0072/K101</f>
        <v>0.28777142857142862</v>
      </c>
      <c r="L104" s="1140">
        <f>1.0072/L101</f>
        <v>0.28777142857142862</v>
      </c>
      <c r="M104" s="1140">
        <f>1.0072/M101</f>
        <v>0.28777142857142862</v>
      </c>
      <c r="N104" s="1140">
        <f>1.0072/N101</f>
        <v>0.28777142857142862</v>
      </c>
    </row>
    <row r="105" spans="1:14">
      <c r="A105" s="3428"/>
      <c r="B105" s="1139">
        <v>4</v>
      </c>
      <c r="C105" s="1140">
        <f>0.9622/C101</f>
        <v>0.27491428571428572</v>
      </c>
      <c r="D105" s="1140">
        <f>0.9622/D101</f>
        <v>0.27491428571428572</v>
      </c>
      <c r="E105" s="1140">
        <f>0.8656/E101</f>
        <v>0.24731428571428574</v>
      </c>
      <c r="F105" s="1140">
        <f>0.8656/F101</f>
        <v>0.24731428571428574</v>
      </c>
      <c r="G105" s="1140">
        <f>0.8656/G101</f>
        <v>0.24731428571428574</v>
      </c>
      <c r="H105" s="1140">
        <f>0.8656/H101</f>
        <v>0.24731428571428574</v>
      </c>
      <c r="I105" s="1140">
        <f>0.8656/I101</f>
        <v>0.24731428571428574</v>
      </c>
      <c r="J105" s="1140">
        <f>0.7525/J101</f>
        <v>0.215</v>
      </c>
      <c r="K105" s="1140">
        <f>0.7525/K101</f>
        <v>0.215</v>
      </c>
      <c r="L105" s="1140">
        <f>0.7525/L101</f>
        <v>0.215</v>
      </c>
      <c r="M105" s="1140">
        <f>0.7525/M101</f>
        <v>0.215</v>
      </c>
      <c r="N105" s="1140">
        <f>0.7525/N101</f>
        <v>0.215</v>
      </c>
    </row>
    <row r="106" spans="1:14">
      <c r="A106" s="3428"/>
      <c r="B106" s="1139">
        <v>5</v>
      </c>
      <c r="C106" s="1140">
        <f>0.8417/C101</f>
        <v>0.24048571428571427</v>
      </c>
      <c r="D106" s="1140">
        <f>0.8417/D101</f>
        <v>0.24048571428571427</v>
      </c>
      <c r="E106" s="1140">
        <f>0.7371/E101</f>
        <v>0.21059999999999998</v>
      </c>
      <c r="F106" s="1140">
        <f>0.7371/F101</f>
        <v>0.21059999999999998</v>
      </c>
      <c r="G106" s="1140">
        <f>0.7371/G101</f>
        <v>0.21059999999999998</v>
      </c>
      <c r="H106" s="1140">
        <f>0.7371/H101</f>
        <v>0.21059999999999998</v>
      </c>
      <c r="I106" s="1140">
        <f>0.7371/I101</f>
        <v>0.21059999999999998</v>
      </c>
      <c r="J106" s="1140">
        <f>0.5659/J101</f>
        <v>0.16168571428571427</v>
      </c>
      <c r="K106" s="1140">
        <f>0.5659/K101</f>
        <v>0.16168571428571427</v>
      </c>
      <c r="L106" s="1140">
        <f>0.5659/L101</f>
        <v>0.16168571428571427</v>
      </c>
      <c r="M106" s="1140">
        <f>0.5659/M101</f>
        <v>0.16168571428571427</v>
      </c>
      <c r="N106" s="1140">
        <f>0.5659/N101</f>
        <v>0.16168571428571427</v>
      </c>
    </row>
    <row r="107" spans="1:14">
      <c r="A107" s="3428"/>
      <c r="B107" s="1139">
        <v>6</v>
      </c>
      <c r="C107" s="1140">
        <f>0.7608/C101</f>
        <v>0.21737142857142858</v>
      </c>
      <c r="D107" s="1140">
        <f>0.7608/D101</f>
        <v>0.21737142857142858</v>
      </c>
      <c r="E107" s="1140">
        <f>0.6482/E101</f>
        <v>0.1852</v>
      </c>
      <c r="F107" s="1140">
        <f>0.6482/F101</f>
        <v>0.1852</v>
      </c>
      <c r="G107" s="1140">
        <f>0.6482/G101</f>
        <v>0.1852</v>
      </c>
      <c r="H107" s="1140">
        <f>0.6482/H101</f>
        <v>0.1852</v>
      </c>
      <c r="I107" s="1140">
        <f>0.6482/I101</f>
        <v>0.1852</v>
      </c>
      <c r="J107" s="1140">
        <f>0.4525/J101</f>
        <v>0.12928571428571428</v>
      </c>
      <c r="K107" s="1140">
        <f>0.4525/K101</f>
        <v>0.12928571428571428</v>
      </c>
      <c r="L107" s="1140">
        <f>0.4525/L101</f>
        <v>0.12928571428571428</v>
      </c>
      <c r="M107" s="1140">
        <f>0.4525/M101</f>
        <v>0.12928571428571428</v>
      </c>
      <c r="N107" s="1140">
        <f>0.4525/N101</f>
        <v>0.12928571428571428</v>
      </c>
    </row>
    <row r="108" spans="1:14">
      <c r="A108" s="3428"/>
      <c r="B108" s="3430"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9"/>
      <c r="B109" s="3431"/>
      <c r="C109" s="1142">
        <f>(-0.163*(C108^2)-0.59*C108+7617)*(10^(-4))/C101</f>
        <v>0.21719565714285713</v>
      </c>
      <c r="D109" s="1142">
        <f>(-0.163*(D108^2)-0.59*D108+7617)*(10^(-4))/D101</f>
        <v>0.21719565714285713</v>
      </c>
      <c r="E109" s="1142">
        <f>(-0.161*(E108^2)-7.509*E108+6533)*(10^(-4))/E101</f>
        <v>0.18464640000000002</v>
      </c>
      <c r="F109" s="1142">
        <f>(-0.161*(F108^2)-7.509*F108+6533)*(10^(-4))/F101</f>
        <v>0.18464640000000002</v>
      </c>
      <c r="G109" s="1142">
        <f>(-0.161*(G108^2)-7.509*G108+6533)*(10^(-4))/G101</f>
        <v>0.18464640000000002</v>
      </c>
      <c r="H109" s="1142">
        <f>(-0.161*(H108^2)-7.509*H108+6533)*(10^(-4))/H101</f>
        <v>0.18464640000000002</v>
      </c>
      <c r="I109" s="1142">
        <f>(-0.161*(I108^2)-7.509*I108+6533)*(10^(-4))/I101</f>
        <v>0.18464640000000002</v>
      </c>
      <c r="J109" s="1142">
        <f>(-0.214*(J108^2)-21.991*J108+4665)*(10^(-4))/J101</f>
        <v>0.12786788571428573</v>
      </c>
      <c r="K109" s="1142">
        <f>(-0.214*(K108^2)-21.991*K108+4665)*(10^(-4))/K101</f>
        <v>0.12786788571428573</v>
      </c>
      <c r="L109" s="1142">
        <f>(-0.214*(L108^2)-21.991*L108+4665)*(10^(-4))/L101</f>
        <v>0.12786788571428573</v>
      </c>
      <c r="M109" s="1142">
        <f>(-0.214*(M108^2)-21.991*M108+4665)*(10^(-4))/M101</f>
        <v>0.12786788571428573</v>
      </c>
      <c r="N109" s="1142">
        <f>(-0.214*(N108^2)-21.991*N108+4665)*(10^(-4))/N101</f>
        <v>0.12786788571428573</v>
      </c>
    </row>
    <row r="110" spans="1:14">
      <c r="A110" s="3434" t="s">
        <v>1639</v>
      </c>
      <c r="B110" s="3434"/>
      <c r="C110" s="3434"/>
      <c r="D110" s="3434"/>
      <c r="E110" s="3434"/>
      <c r="F110" s="3434"/>
      <c r="G110" s="3434"/>
      <c r="H110" s="3434"/>
      <c r="I110" s="3434"/>
      <c r="J110" s="3434"/>
      <c r="K110" s="2410"/>
      <c r="L110" s="2410"/>
      <c r="M110" s="2410"/>
      <c r="N110" s="2410"/>
    </row>
    <row r="112" spans="1:14" ht="12.6" thickBot="1"/>
    <row r="113" spans="1:13" ht="25.8" thickBot="1">
      <c r="A113" s="1016" t="s">
        <v>896</v>
      </c>
      <c r="B113" s="2413">
        <f>G3</f>
        <v>3.5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0.90059999999999996</v>
      </c>
      <c r="C115" s="1030">
        <f>B115</f>
        <v>0.90059999999999996</v>
      </c>
      <c r="D115" s="1030">
        <f>ROUND(0.8331-0.0109*B113,4)</f>
        <v>0.79500000000000004</v>
      </c>
      <c r="E115" s="1030">
        <f>D115</f>
        <v>0.79500000000000004</v>
      </c>
      <c r="F115" s="1030">
        <f>E115</f>
        <v>0.79500000000000004</v>
      </c>
      <c r="G115" s="1030">
        <f>F115</f>
        <v>0.79500000000000004</v>
      </c>
      <c r="H115" s="1030">
        <f>G115</f>
        <v>0.79500000000000004</v>
      </c>
      <c r="I115" s="1030">
        <f>ROUND(0.689-0.0155*B113,4)</f>
        <v>0.63480000000000003</v>
      </c>
      <c r="J115" s="1030">
        <f t="shared" ref="J115:M118" si="33">I115</f>
        <v>0.63480000000000003</v>
      </c>
      <c r="K115" s="1030">
        <f t="shared" si="33"/>
        <v>0.63480000000000003</v>
      </c>
      <c r="L115" s="1030">
        <f t="shared" si="33"/>
        <v>0.63480000000000003</v>
      </c>
      <c r="M115" s="1031">
        <f t="shared" si="33"/>
        <v>0.63480000000000003</v>
      </c>
    </row>
    <row r="116" spans="1:13" ht="13.2">
      <c r="A116" s="1029" t="s">
        <v>901</v>
      </c>
      <c r="B116" s="1030">
        <f>ROUND(0.949-0.012*B113,4)</f>
        <v>0.90700000000000003</v>
      </c>
      <c r="C116" s="1030">
        <f>B116</f>
        <v>0.90700000000000003</v>
      </c>
      <c r="D116" s="1030">
        <f>ROUND(0.8567-0.013*B113,4)</f>
        <v>0.81120000000000003</v>
      </c>
      <c r="E116" s="1030">
        <f t="shared" ref="E116:H117" si="34">D116</f>
        <v>0.81120000000000003</v>
      </c>
      <c r="F116" s="1030">
        <f t="shared" si="34"/>
        <v>0.81120000000000003</v>
      </c>
      <c r="G116" s="1030">
        <f t="shared" si="34"/>
        <v>0.81120000000000003</v>
      </c>
      <c r="H116" s="1030">
        <f t="shared" si="34"/>
        <v>0.81120000000000003</v>
      </c>
      <c r="I116" s="1030">
        <f>ROUND(0.7694-0.014*B113,4)</f>
        <v>0.72040000000000004</v>
      </c>
      <c r="J116" s="1030">
        <f t="shared" si="33"/>
        <v>0.72040000000000004</v>
      </c>
      <c r="K116" s="1030">
        <f t="shared" si="33"/>
        <v>0.72040000000000004</v>
      </c>
      <c r="L116" s="1030">
        <f t="shared" si="33"/>
        <v>0.72040000000000004</v>
      </c>
      <c r="M116" s="1031">
        <f t="shared" si="33"/>
        <v>0.72040000000000004</v>
      </c>
    </row>
    <row r="117" spans="1:13" ht="13.2">
      <c r="A117" s="1032" t="s">
        <v>902</v>
      </c>
      <c r="B117" s="1030">
        <f>ROUND(0.8808-0.006*B113,4)</f>
        <v>0.85980000000000001</v>
      </c>
      <c r="C117" s="1030">
        <f>B117</f>
        <v>0.85980000000000001</v>
      </c>
      <c r="D117" s="1030">
        <f>ROUND(0.8748-0.008*B113,4)</f>
        <v>0.8468</v>
      </c>
      <c r="E117" s="1030">
        <f t="shared" si="34"/>
        <v>0.8468</v>
      </c>
      <c r="F117" s="1030">
        <f t="shared" si="34"/>
        <v>0.8468</v>
      </c>
      <c r="G117" s="1030">
        <f t="shared" si="34"/>
        <v>0.8468</v>
      </c>
      <c r="H117" s="1030">
        <f t="shared" si="34"/>
        <v>0.8468</v>
      </c>
      <c r="I117" s="1030">
        <f>ROUND(0.7412-0.0095*B113,4)</f>
        <v>0.70799999999999996</v>
      </c>
      <c r="J117" s="1030">
        <f t="shared" si="33"/>
        <v>0.70799999999999996</v>
      </c>
      <c r="K117" s="1030">
        <f t="shared" si="33"/>
        <v>0.70799999999999996</v>
      </c>
      <c r="L117" s="1030">
        <f t="shared" si="33"/>
        <v>0.70799999999999996</v>
      </c>
      <c r="M117" s="1031">
        <f t="shared" si="33"/>
        <v>0.70799999999999996</v>
      </c>
    </row>
    <row r="118" spans="1:13" ht="13.8" thickBot="1">
      <c r="A118" s="1033" t="s">
        <v>903</v>
      </c>
      <c r="B118" s="1034">
        <f>ROUND(0.7275-0.01*B113,4)</f>
        <v>0.6925</v>
      </c>
      <c r="C118" s="1034">
        <f>B118</f>
        <v>0.6925</v>
      </c>
      <c r="D118" s="1034">
        <f>ROUND(0.7043-0.012*B113,4)</f>
        <v>0.6623</v>
      </c>
      <c r="E118" s="1034">
        <f>D118</f>
        <v>0.6623</v>
      </c>
      <c r="F118" s="1034">
        <f>E118</f>
        <v>0.6623</v>
      </c>
      <c r="G118" s="1034">
        <f>ROUND(0.6299-0.0122*B113,4)</f>
        <v>0.58720000000000006</v>
      </c>
      <c r="H118" s="1034">
        <f>G118</f>
        <v>0.58720000000000006</v>
      </c>
      <c r="I118" s="1034">
        <f>ROUND(0.5667-0.0136*B113,4)</f>
        <v>0.51910000000000001</v>
      </c>
      <c r="J118" s="1034">
        <f t="shared" si="33"/>
        <v>0.51910000000000001</v>
      </c>
      <c r="K118" s="1034">
        <f t="shared" si="33"/>
        <v>0.51910000000000001</v>
      </c>
      <c r="L118" s="1034">
        <f t="shared" si="33"/>
        <v>0.51910000000000001</v>
      </c>
      <c r="M118" s="1035">
        <f t="shared" si="33"/>
        <v>0.51910000000000001</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2" t="s">
        <v>2981</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41" t="s">
        <v>1007</v>
      </c>
      <c r="B18" s="1150" t="s">
        <v>1446</v>
      </c>
      <c r="C18" s="1127" t="s">
        <v>1447</v>
      </c>
      <c r="D18" s="1128"/>
      <c r="E18" s="1150">
        <v>1</v>
      </c>
      <c r="F18" s="1129" t="s">
        <v>1448</v>
      </c>
      <c r="G18" s="1130"/>
      <c r="H18" s="1101"/>
      <c r="I18" s="1101"/>
    </row>
    <row r="19" spans="1:9" s="1584" customFormat="1" ht="19.5" customHeight="1">
      <c r="A19" s="3441"/>
      <c r="B19" s="3441" t="s">
        <v>1449</v>
      </c>
      <c r="C19" s="1127" t="s">
        <v>1450</v>
      </c>
      <c r="D19" s="1128"/>
      <c r="E19" s="1150">
        <v>0.9</v>
      </c>
      <c r="F19" s="1129" t="s">
        <v>1451</v>
      </c>
      <c r="G19" s="1130"/>
      <c r="H19" s="1101"/>
      <c r="I19" s="1101"/>
    </row>
    <row r="20" spans="1:9" s="1584" customFormat="1" ht="19.5" customHeight="1">
      <c r="A20" s="3441"/>
      <c r="B20" s="3441"/>
      <c r="C20" s="1127" t="s">
        <v>1452</v>
      </c>
      <c r="D20" s="1128"/>
      <c r="E20" s="1150">
        <v>1.1000000000000001</v>
      </c>
      <c r="F20" s="1129" t="s">
        <v>1453</v>
      </c>
      <c r="G20" s="1130"/>
      <c r="H20" s="1101"/>
      <c r="I20" s="1101"/>
    </row>
    <row r="21" spans="1:9" s="1584" customFormat="1" ht="19.5" customHeight="1">
      <c r="A21" s="3441"/>
      <c r="B21" s="3441"/>
      <c r="C21" s="1127" t="s">
        <v>1454</v>
      </c>
      <c r="D21" s="1128"/>
      <c r="E21" s="1150">
        <v>0.8</v>
      </c>
      <c r="F21" s="1129" t="s">
        <v>1455</v>
      </c>
      <c r="G21" s="1130"/>
      <c r="H21" s="1101"/>
      <c r="I21" s="1101"/>
    </row>
    <row r="22" spans="1:9" s="1584" customFormat="1" ht="19.5" customHeight="1">
      <c r="A22" s="3441"/>
      <c r="B22" s="3441"/>
      <c r="C22" s="1127" t="s">
        <v>1456</v>
      </c>
      <c r="D22" s="1128"/>
      <c r="E22" s="1150">
        <v>0.5</v>
      </c>
      <c r="F22" s="1129"/>
      <c r="G22" s="1130"/>
      <c r="H22" s="1101"/>
      <c r="I22" s="1101"/>
    </row>
    <row r="23" spans="1:9" s="1584" customFormat="1" ht="19.5" customHeight="1">
      <c r="A23" s="3441" t="s">
        <v>1029</v>
      </c>
      <c r="B23" s="1150" t="s">
        <v>1446</v>
      </c>
      <c r="C23" s="1127" t="s">
        <v>1457</v>
      </c>
      <c r="D23" s="1128"/>
      <c r="E23" s="1150">
        <v>1</v>
      </c>
      <c r="F23" s="1129" t="s">
        <v>1458</v>
      </c>
      <c r="G23" s="1130"/>
      <c r="H23" s="1101"/>
      <c r="I23" s="1101"/>
    </row>
    <row r="24" spans="1:9" s="1584" customFormat="1" ht="19.5" customHeight="1">
      <c r="A24" s="3441"/>
      <c r="B24" s="3441" t="s">
        <v>1449</v>
      </c>
      <c r="C24" s="1127" t="s">
        <v>1459</v>
      </c>
      <c r="D24" s="1128"/>
      <c r="E24" s="1150">
        <v>0.5</v>
      </c>
      <c r="F24" s="1129"/>
      <c r="G24" s="1130"/>
      <c r="H24" s="1101"/>
      <c r="I24" s="1101"/>
    </row>
    <row r="25" spans="1:9" s="1584" customFormat="1" ht="19.5" customHeight="1">
      <c r="A25" s="3441"/>
      <c r="B25" s="3441"/>
      <c r="C25" s="1127" t="s">
        <v>1460</v>
      </c>
      <c r="D25" s="1128"/>
      <c r="E25" s="1150">
        <v>1.1000000000000001</v>
      </c>
      <c r="F25" s="1129"/>
      <c r="G25" s="1130"/>
      <c r="H25" s="1101"/>
      <c r="I25" s="1101"/>
    </row>
    <row r="26" spans="1:9" s="1584" customFormat="1" ht="19.5" customHeight="1">
      <c r="A26" s="3441"/>
      <c r="B26" s="3441"/>
      <c r="C26" s="1127" t="s">
        <v>1461</v>
      </c>
      <c r="D26" s="1128"/>
      <c r="E26" s="1150">
        <v>1.1000000000000001</v>
      </c>
      <c r="F26" s="1129"/>
      <c r="G26" s="1130"/>
      <c r="H26" s="1101"/>
      <c r="I26" s="1101"/>
    </row>
    <row r="27" spans="1:9" s="1584" customFormat="1" ht="19.5" customHeight="1">
      <c r="A27" s="3441"/>
      <c r="B27" s="3441"/>
      <c r="C27" s="1127" t="s">
        <v>1462</v>
      </c>
      <c r="D27" s="1128"/>
      <c r="E27" s="1150">
        <v>0.9</v>
      </c>
      <c r="F27" s="1129" t="s">
        <v>1463</v>
      </c>
      <c r="G27" s="1130"/>
      <c r="H27" s="1101"/>
      <c r="I27" s="1101"/>
    </row>
    <row r="28" spans="1:9" s="1584" customFormat="1" ht="19.5" customHeight="1">
      <c r="A28" s="3441"/>
      <c r="B28" s="3441"/>
      <c r="C28" s="1127" t="s">
        <v>1464</v>
      </c>
      <c r="D28" s="1128"/>
      <c r="E28" s="1150">
        <v>0.9</v>
      </c>
      <c r="F28" s="1129" t="s">
        <v>1465</v>
      </c>
      <c r="G28" s="1130"/>
      <c r="H28" s="1101"/>
      <c r="I28" s="1101"/>
    </row>
    <row r="29" spans="1:9" s="1584" customFormat="1" ht="19.5" customHeight="1">
      <c r="A29" s="3441"/>
      <c r="B29" s="3441"/>
      <c r="C29" s="1127" t="s">
        <v>1466</v>
      </c>
      <c r="D29" s="1128"/>
      <c r="E29" s="1150">
        <v>0.9</v>
      </c>
      <c r="F29" s="1129" t="s">
        <v>1467</v>
      </c>
      <c r="G29" s="1130"/>
      <c r="H29" s="1101"/>
      <c r="I29" s="1101"/>
    </row>
    <row r="30" spans="1:9" s="1584" customFormat="1" ht="19.5" customHeight="1">
      <c r="A30" s="3441"/>
      <c r="B30" s="3441"/>
      <c r="C30" s="1127" t="s">
        <v>1468</v>
      </c>
      <c r="D30" s="1128"/>
      <c r="E30" s="1150">
        <v>0.9</v>
      </c>
      <c r="F30" s="1129" t="s">
        <v>1469</v>
      </c>
      <c r="G30" s="1130"/>
      <c r="H30" s="1101"/>
      <c r="I30" s="1101"/>
    </row>
    <row r="31" spans="1:9" s="1584" customFormat="1" ht="19.5" customHeight="1">
      <c r="A31" s="3441"/>
      <c r="B31" s="3441"/>
      <c r="C31" s="1127" t="s">
        <v>1470</v>
      </c>
      <c r="D31" s="1128"/>
      <c r="E31" s="1150">
        <v>0.8</v>
      </c>
      <c r="F31" s="1129" t="s">
        <v>1471</v>
      </c>
      <c r="G31" s="1130"/>
      <c r="H31" s="1101"/>
      <c r="I31" s="1101"/>
    </row>
    <row r="32" spans="1:9" s="1584" customFormat="1" ht="19.5" customHeight="1">
      <c r="A32" s="3441"/>
      <c r="B32" s="3441"/>
      <c r="C32" s="1127" t="s">
        <v>1472</v>
      </c>
      <c r="D32" s="1128"/>
      <c r="E32" s="1150">
        <v>0.8</v>
      </c>
      <c r="F32" s="1129" t="s">
        <v>1473</v>
      </c>
      <c r="G32" s="1130"/>
      <c r="H32" s="1101"/>
      <c r="I32" s="1101"/>
    </row>
    <row r="33" spans="1:9" s="1584" customFormat="1" ht="19.5" customHeight="1">
      <c r="A33" s="3441" t="s">
        <v>1474</v>
      </c>
      <c r="B33" s="1150" t="s">
        <v>1446</v>
      </c>
      <c r="C33" s="1127" t="s">
        <v>1475</v>
      </c>
      <c r="D33" s="1128"/>
      <c r="E33" s="1150">
        <v>1</v>
      </c>
      <c r="F33" s="1129" t="s">
        <v>1476</v>
      </c>
      <c r="G33" s="1130"/>
      <c r="H33" s="1101"/>
      <c r="I33" s="1101"/>
    </row>
    <row r="34" spans="1:9" s="1584" customFormat="1" ht="19.5" customHeight="1">
      <c r="A34" s="3441"/>
      <c r="B34" s="1150" t="s">
        <v>1449</v>
      </c>
      <c r="C34" s="1127" t="s">
        <v>1477</v>
      </c>
      <c r="D34" s="1128"/>
      <c r="E34" s="1150">
        <v>1.5</v>
      </c>
      <c r="F34" s="1129" t="s">
        <v>1478</v>
      </c>
      <c r="G34" s="1130"/>
      <c r="H34" s="1101"/>
      <c r="I34" s="1101"/>
    </row>
    <row r="35" spans="1:9" s="1584" customFormat="1" ht="19.5" customHeight="1">
      <c r="A35" s="3441" t="s">
        <v>1432</v>
      </c>
      <c r="B35" s="1150" t="s">
        <v>1446</v>
      </c>
      <c r="C35" s="1127" t="s">
        <v>1479</v>
      </c>
      <c r="D35" s="1128"/>
      <c r="E35" s="1150">
        <v>1</v>
      </c>
      <c r="F35" s="1129" t="s">
        <v>1480</v>
      </c>
      <c r="G35" s="1130"/>
      <c r="H35" s="1101"/>
      <c r="I35" s="1101"/>
    </row>
    <row r="36" spans="1:9" s="1584" customFormat="1" ht="19.5" customHeight="1">
      <c r="A36" s="3441"/>
      <c r="B36" s="3441" t="s">
        <v>1449</v>
      </c>
      <c r="C36" s="1127" t="s">
        <v>1481</v>
      </c>
      <c r="D36" s="1128"/>
      <c r="E36" s="1150">
        <v>1</v>
      </c>
      <c r="F36" s="1129" t="s">
        <v>1482</v>
      </c>
      <c r="G36" s="1130"/>
      <c r="H36" s="1101"/>
      <c r="I36" s="1101"/>
    </row>
    <row r="37" spans="1:9" s="1584" customFormat="1" ht="19.5" customHeight="1">
      <c r="A37" s="3441"/>
      <c r="B37" s="3441"/>
      <c r="C37" s="1127" t="s">
        <v>1483</v>
      </c>
      <c r="D37" s="1128"/>
      <c r="E37" s="1150">
        <v>1.5</v>
      </c>
      <c r="F37" s="1129" t="s">
        <v>1484</v>
      </c>
      <c r="G37" s="1130"/>
      <c r="H37" s="1101"/>
      <c r="I37" s="1101"/>
    </row>
    <row r="38" spans="1:9" s="1584" customFormat="1" ht="19.5" customHeight="1">
      <c r="A38" s="3441"/>
      <c r="B38" s="3441"/>
      <c r="C38" s="1127" t="s">
        <v>1485</v>
      </c>
      <c r="D38" s="1128"/>
      <c r="E38" s="1150">
        <v>1</v>
      </c>
      <c r="F38" s="1129" t="s">
        <v>1486</v>
      </c>
      <c r="G38" s="1130"/>
      <c r="H38" s="1101"/>
      <c r="I38" s="1101"/>
    </row>
    <row r="39" spans="1:9" s="1584" customFormat="1" ht="19.5" customHeight="1">
      <c r="A39" s="3441"/>
      <c r="B39" s="3441"/>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41" t="s">
        <v>1501</v>
      </c>
      <c r="C61" s="1064" t="s">
        <v>1502</v>
      </c>
      <c r="D61" s="1064" t="s">
        <v>1503</v>
      </c>
      <c r="E61" s="1135">
        <v>0.5</v>
      </c>
      <c r="F61" s="1150">
        <v>80</v>
      </c>
      <c r="H61" s="1101">
        <f>SUMIF(C59:C119,基准地价!C8,E59:E119)</f>
        <v>0</v>
      </c>
    </row>
    <row r="62" spans="1:8" s="1101" customFormat="1" ht="36">
      <c r="A62" s="1150">
        <v>2</v>
      </c>
      <c r="B62" s="3441"/>
      <c r="C62" s="1064" t="s">
        <v>1504</v>
      </c>
      <c r="D62" s="1064" t="s">
        <v>1505</v>
      </c>
      <c r="E62" s="1135">
        <v>0.5</v>
      </c>
      <c r="F62" s="1150">
        <v>80</v>
      </c>
    </row>
    <row r="63" spans="1:8" s="1101" customFormat="1" ht="48">
      <c r="A63" s="1150">
        <v>3</v>
      </c>
      <c r="B63" s="3441"/>
      <c r="C63" s="1064" t="s">
        <v>1506</v>
      </c>
      <c r="D63" s="1064" t="s">
        <v>1507</v>
      </c>
      <c r="E63" s="1135">
        <v>0.5</v>
      </c>
      <c r="F63" s="1150">
        <v>80</v>
      </c>
    </row>
    <row r="64" spans="1:8" s="1101" customFormat="1" ht="48">
      <c r="A64" s="1150">
        <v>4</v>
      </c>
      <c r="B64" s="3441"/>
      <c r="C64" s="1064" t="s">
        <v>1508</v>
      </c>
      <c r="D64" s="1064" t="s">
        <v>1509</v>
      </c>
      <c r="E64" s="1135">
        <v>0.4</v>
      </c>
      <c r="F64" s="1150">
        <v>60</v>
      </c>
    </row>
    <row r="65" spans="1:6" s="1101" customFormat="1" ht="48">
      <c r="A65" s="1150">
        <v>5</v>
      </c>
      <c r="B65" s="3441"/>
      <c r="C65" s="1064" t="s">
        <v>1510</v>
      </c>
      <c r="D65" s="1064" t="s">
        <v>1511</v>
      </c>
      <c r="E65" s="1135">
        <v>0.2</v>
      </c>
      <c r="F65" s="1150">
        <v>30</v>
      </c>
    </row>
    <row r="66" spans="1:6" s="1101" customFormat="1" ht="48">
      <c r="A66" s="1150">
        <v>6</v>
      </c>
      <c r="B66" s="3441"/>
      <c r="C66" s="1064" t="s">
        <v>1512</v>
      </c>
      <c r="D66" s="1064" t="s">
        <v>1513</v>
      </c>
      <c r="E66" s="1135">
        <v>0.3</v>
      </c>
      <c r="F66" s="1150">
        <v>50</v>
      </c>
    </row>
    <row r="67" spans="1:6" s="1101" customFormat="1" ht="48">
      <c r="A67" s="1150">
        <v>7</v>
      </c>
      <c r="B67" s="3441"/>
      <c r="C67" s="1064" t="s">
        <v>1514</v>
      </c>
      <c r="D67" s="1064" t="s">
        <v>1515</v>
      </c>
      <c r="E67" s="1135">
        <v>0.2</v>
      </c>
      <c r="F67" s="1150">
        <v>30</v>
      </c>
    </row>
    <row r="68" spans="1:6" s="1101" customFormat="1" ht="48">
      <c r="A68" s="1150">
        <v>8</v>
      </c>
      <c r="B68" s="3441"/>
      <c r="C68" s="1064" t="s">
        <v>1516</v>
      </c>
      <c r="D68" s="1064" t="s">
        <v>1517</v>
      </c>
      <c r="E68" s="1135">
        <v>0.2</v>
      </c>
      <c r="F68" s="1150">
        <v>30</v>
      </c>
    </row>
    <row r="69" spans="1:6" s="1101" customFormat="1" ht="48">
      <c r="A69" s="1150">
        <v>9</v>
      </c>
      <c r="B69" s="3441"/>
      <c r="C69" s="1064" t="s">
        <v>1518</v>
      </c>
      <c r="D69" s="1064" t="s">
        <v>1519</v>
      </c>
      <c r="E69" s="1135">
        <v>0.2</v>
      </c>
      <c r="F69" s="1150">
        <v>30</v>
      </c>
    </row>
    <row r="70" spans="1:6" s="1101" customFormat="1" ht="60">
      <c r="A70" s="1150">
        <v>10</v>
      </c>
      <c r="B70" s="3441"/>
      <c r="C70" s="1064" t="s">
        <v>1520</v>
      </c>
      <c r="D70" s="1064" t="s">
        <v>1521</v>
      </c>
      <c r="E70" s="1135">
        <v>0.2</v>
      </c>
      <c r="F70" s="1150">
        <v>30</v>
      </c>
    </row>
    <row r="71" spans="1:6" s="1101" customFormat="1" ht="60">
      <c r="A71" s="1150">
        <v>11</v>
      </c>
      <c r="B71" s="3441"/>
      <c r="C71" s="1064" t="s">
        <v>1522</v>
      </c>
      <c r="D71" s="1064" t="s">
        <v>1523</v>
      </c>
      <c r="E71" s="1135">
        <v>0.2</v>
      </c>
      <c r="F71" s="1150">
        <v>30</v>
      </c>
    </row>
    <row r="72" spans="1:6" s="1101" customFormat="1" ht="36">
      <c r="A72" s="1150">
        <v>12</v>
      </c>
      <c r="B72" s="3441"/>
      <c r="C72" s="1064" t="s">
        <v>1524</v>
      </c>
      <c r="D72" s="1064" t="s">
        <v>1525</v>
      </c>
      <c r="E72" s="1135">
        <v>0.5</v>
      </c>
      <c r="F72" s="1150">
        <v>80</v>
      </c>
    </row>
    <row r="73" spans="1:6" s="1101" customFormat="1" ht="36">
      <c r="A73" s="1150">
        <v>13</v>
      </c>
      <c r="B73" s="3441"/>
      <c r="C73" s="1064" t="s">
        <v>1526</v>
      </c>
      <c r="D73" s="1064" t="s">
        <v>1527</v>
      </c>
      <c r="E73" s="1135">
        <v>0.4</v>
      </c>
      <c r="F73" s="1150">
        <v>60</v>
      </c>
    </row>
    <row r="74" spans="1:6" s="1101" customFormat="1" ht="36">
      <c r="A74" s="1150">
        <v>14</v>
      </c>
      <c r="B74" s="3441"/>
      <c r="C74" s="1064" t="s">
        <v>1528</v>
      </c>
      <c r="D74" s="1064" t="s">
        <v>1529</v>
      </c>
      <c r="E74" s="1135">
        <v>0.2</v>
      </c>
      <c r="F74" s="1150">
        <v>30</v>
      </c>
    </row>
    <row r="75" spans="1:6" s="1101" customFormat="1" ht="36">
      <c r="A75" s="1150">
        <v>15</v>
      </c>
      <c r="B75" s="3441"/>
      <c r="C75" s="1064" t="s">
        <v>1530</v>
      </c>
      <c r="D75" s="1064" t="s">
        <v>1531</v>
      </c>
      <c r="E75" s="1135">
        <v>0.2</v>
      </c>
      <c r="F75" s="1150">
        <v>30</v>
      </c>
    </row>
    <row r="76" spans="1:6" s="1101" customFormat="1" ht="36">
      <c r="A76" s="1150">
        <v>16</v>
      </c>
      <c r="B76" s="3441" t="s">
        <v>1532</v>
      </c>
      <c r="C76" s="1064" t="s">
        <v>1533</v>
      </c>
      <c r="D76" s="1064" t="s">
        <v>1534</v>
      </c>
      <c r="E76" s="1135">
        <v>0.5</v>
      </c>
      <c r="F76" s="1150">
        <v>80</v>
      </c>
    </row>
    <row r="77" spans="1:6" s="1101" customFormat="1" ht="36">
      <c r="A77" s="1150">
        <v>17</v>
      </c>
      <c r="B77" s="3441"/>
      <c r="C77" s="1064" t="s">
        <v>1535</v>
      </c>
      <c r="D77" s="1064" t="s">
        <v>1536</v>
      </c>
      <c r="E77" s="1135">
        <v>0.5</v>
      </c>
      <c r="F77" s="1150">
        <v>80</v>
      </c>
    </row>
    <row r="78" spans="1:6" s="1101" customFormat="1" ht="36">
      <c r="A78" s="1150">
        <v>18</v>
      </c>
      <c r="B78" s="3441"/>
      <c r="C78" s="1064" t="s">
        <v>1537</v>
      </c>
      <c r="D78" s="1064" t="s">
        <v>1538</v>
      </c>
      <c r="E78" s="1135">
        <v>0.2</v>
      </c>
      <c r="F78" s="1150">
        <v>30</v>
      </c>
    </row>
    <row r="79" spans="1:6" s="1101" customFormat="1" ht="36">
      <c r="A79" s="1150">
        <v>19</v>
      </c>
      <c r="B79" s="3441"/>
      <c r="C79" s="1064" t="s">
        <v>1539</v>
      </c>
      <c r="D79" s="1064" t="s">
        <v>1540</v>
      </c>
      <c r="E79" s="1135">
        <v>0.5</v>
      </c>
      <c r="F79" s="1150">
        <v>80</v>
      </c>
    </row>
    <row r="80" spans="1:6" s="1101" customFormat="1" ht="36">
      <c r="A80" s="1150">
        <v>20</v>
      </c>
      <c r="B80" s="3441"/>
      <c r="C80" s="1064" t="s">
        <v>1541</v>
      </c>
      <c r="D80" s="1064" t="s">
        <v>1542</v>
      </c>
      <c r="E80" s="1135">
        <v>0.2</v>
      </c>
      <c r="F80" s="1150">
        <v>30</v>
      </c>
    </row>
    <row r="81" spans="1:6" s="1101" customFormat="1" ht="36">
      <c r="A81" s="1150">
        <v>21</v>
      </c>
      <c r="B81" s="3441"/>
      <c r="C81" s="1064" t="s">
        <v>1543</v>
      </c>
      <c r="D81" s="1064" t="s">
        <v>1544</v>
      </c>
      <c r="E81" s="1135">
        <v>0.2</v>
      </c>
      <c r="F81" s="1150">
        <v>30</v>
      </c>
    </row>
    <row r="82" spans="1:6" s="1101" customFormat="1" ht="60">
      <c r="A82" s="1150">
        <v>22</v>
      </c>
      <c r="B82" s="3441"/>
      <c r="C82" s="1064" t="s">
        <v>1545</v>
      </c>
      <c r="D82" s="1064" t="s">
        <v>1546</v>
      </c>
      <c r="E82" s="1135">
        <v>0.2</v>
      </c>
      <c r="F82" s="1150">
        <v>30</v>
      </c>
    </row>
    <row r="83" spans="1:6" s="1101" customFormat="1" ht="60">
      <c r="A83" s="1150">
        <v>23</v>
      </c>
      <c r="B83" s="3441"/>
      <c r="C83" s="1064" t="s">
        <v>1547</v>
      </c>
      <c r="D83" s="1064" t="s">
        <v>1548</v>
      </c>
      <c r="E83" s="1135">
        <v>0.2</v>
      </c>
      <c r="F83" s="1150">
        <v>30</v>
      </c>
    </row>
    <row r="84" spans="1:6" s="1101" customFormat="1" ht="48">
      <c r="A84" s="1150">
        <v>24</v>
      </c>
      <c r="B84" s="3441"/>
      <c r="C84" s="1064" t="s">
        <v>1549</v>
      </c>
      <c r="D84" s="1064" t="s">
        <v>1550</v>
      </c>
      <c r="E84" s="1135">
        <v>0.2</v>
      </c>
      <c r="F84" s="1150">
        <v>30</v>
      </c>
    </row>
    <row r="85" spans="1:6" s="1101" customFormat="1" ht="36">
      <c r="A85" s="1150">
        <v>25</v>
      </c>
      <c r="B85" s="3441"/>
      <c r="C85" s="1064" t="s">
        <v>1551</v>
      </c>
      <c r="D85" s="1064" t="s">
        <v>1552</v>
      </c>
      <c r="E85" s="1135">
        <v>0.5</v>
      </c>
      <c r="F85" s="1150">
        <v>80</v>
      </c>
    </row>
    <row r="86" spans="1:6" s="1101" customFormat="1" ht="36">
      <c r="A86" s="1150">
        <v>26</v>
      </c>
      <c r="B86" s="3441"/>
      <c r="C86" s="1064" t="s">
        <v>1553</v>
      </c>
      <c r="D86" s="1064" t="s">
        <v>1554</v>
      </c>
      <c r="E86" s="1135">
        <v>0.2</v>
      </c>
      <c r="F86" s="1150">
        <v>30</v>
      </c>
    </row>
    <row r="87" spans="1:6" s="1101" customFormat="1" ht="36">
      <c r="A87" s="1150">
        <v>27</v>
      </c>
      <c r="B87" s="3441"/>
      <c r="C87" s="1064" t="s">
        <v>1555</v>
      </c>
      <c r="D87" s="1064" t="s">
        <v>1556</v>
      </c>
      <c r="E87" s="1135">
        <v>0.2</v>
      </c>
      <c r="F87" s="1150">
        <v>30</v>
      </c>
    </row>
    <row r="88" spans="1:6" s="1101" customFormat="1" ht="36">
      <c r="A88" s="1150">
        <v>28</v>
      </c>
      <c r="B88" s="3441"/>
      <c r="C88" s="1064" t="s">
        <v>1557</v>
      </c>
      <c r="D88" s="1064" t="s">
        <v>1558</v>
      </c>
      <c r="E88" s="1135">
        <v>0.2</v>
      </c>
      <c r="F88" s="1150">
        <v>30</v>
      </c>
    </row>
    <row r="89" spans="1:6" s="1101" customFormat="1" ht="36">
      <c r="A89" s="1150">
        <v>29</v>
      </c>
      <c r="B89" s="3441"/>
      <c r="C89" s="1064" t="s">
        <v>1559</v>
      </c>
      <c r="D89" s="1064" t="s">
        <v>1560</v>
      </c>
      <c r="E89" s="1135">
        <v>0.2</v>
      </c>
      <c r="F89" s="1150">
        <v>30</v>
      </c>
    </row>
    <row r="90" spans="1:6" s="1101" customFormat="1" ht="36">
      <c r="A90" s="1150">
        <v>30</v>
      </c>
      <c r="B90" s="3441"/>
      <c r="C90" s="1064" t="s">
        <v>1561</v>
      </c>
      <c r="D90" s="1064" t="s">
        <v>1562</v>
      </c>
      <c r="E90" s="1135">
        <v>0.2</v>
      </c>
      <c r="F90" s="1150">
        <v>30</v>
      </c>
    </row>
    <row r="91" spans="1:6" s="1101" customFormat="1" ht="48">
      <c r="A91" s="1150">
        <v>31</v>
      </c>
      <c r="B91" s="3441"/>
      <c r="C91" s="1064" t="s">
        <v>1563</v>
      </c>
      <c r="D91" s="1064" t="s">
        <v>1564</v>
      </c>
      <c r="E91" s="1135">
        <v>0.2</v>
      </c>
      <c r="F91" s="1150">
        <v>30</v>
      </c>
    </row>
    <row r="92" spans="1:6" s="1101" customFormat="1" ht="36">
      <c r="A92" s="1150">
        <v>32</v>
      </c>
      <c r="B92" s="3441" t="s">
        <v>1565</v>
      </c>
      <c r="C92" s="1150" t="s">
        <v>1566</v>
      </c>
      <c r="D92" s="1064" t="s">
        <v>1567</v>
      </c>
      <c r="E92" s="1135">
        <v>0.2</v>
      </c>
      <c r="F92" s="1150">
        <v>30</v>
      </c>
    </row>
    <row r="93" spans="1:6" s="1101" customFormat="1" ht="36">
      <c r="A93" s="1150">
        <v>33</v>
      </c>
      <c r="B93" s="3441"/>
      <c r="C93" s="1150" t="s">
        <v>1568</v>
      </c>
      <c r="D93" s="1064" t="s">
        <v>1569</v>
      </c>
      <c r="E93" s="1135">
        <v>0.2</v>
      </c>
      <c r="F93" s="1150">
        <v>30</v>
      </c>
    </row>
    <row r="94" spans="1:6" s="1101" customFormat="1" ht="60">
      <c r="A94" s="1150">
        <v>34</v>
      </c>
      <c r="B94" s="3441"/>
      <c r="C94" s="1150" t="s">
        <v>1570</v>
      </c>
      <c r="D94" s="1064" t="s">
        <v>1571</v>
      </c>
      <c r="E94" s="1135">
        <v>0.2</v>
      </c>
      <c r="F94" s="1150">
        <v>30</v>
      </c>
    </row>
    <row r="95" spans="1:6" s="1101" customFormat="1" ht="48">
      <c r="A95" s="1150">
        <v>35</v>
      </c>
      <c r="B95" s="3441"/>
      <c r="C95" s="1150" t="s">
        <v>1572</v>
      </c>
      <c r="D95" s="1064" t="s">
        <v>1573</v>
      </c>
      <c r="E95" s="1135">
        <v>0.2</v>
      </c>
      <c r="F95" s="1150">
        <v>30</v>
      </c>
    </row>
    <row r="96" spans="1:6" s="1101" customFormat="1" ht="72">
      <c r="A96" s="1150">
        <v>36</v>
      </c>
      <c r="B96" s="3441"/>
      <c r="C96" s="1064" t="s">
        <v>1574</v>
      </c>
      <c r="D96" s="1064" t="s">
        <v>1575</v>
      </c>
      <c r="E96" s="1135">
        <v>0.2</v>
      </c>
      <c r="F96" s="1150">
        <v>30</v>
      </c>
    </row>
    <row r="97" spans="1:6" s="1101" customFormat="1" ht="36">
      <c r="A97" s="1150">
        <v>37</v>
      </c>
      <c r="B97" s="3441"/>
      <c r="C97" s="1150" t="s">
        <v>1576</v>
      </c>
      <c r="D97" s="1064" t="s">
        <v>1577</v>
      </c>
      <c r="E97" s="1135">
        <v>0.2</v>
      </c>
      <c r="F97" s="1150">
        <v>30</v>
      </c>
    </row>
    <row r="98" spans="1:6" s="1101" customFormat="1" ht="36">
      <c r="A98" s="1150">
        <v>38</v>
      </c>
      <c r="B98" s="3441"/>
      <c r="C98" s="1150" t="s">
        <v>1578</v>
      </c>
      <c r="D98" s="1064" t="s">
        <v>1579</v>
      </c>
      <c r="E98" s="1135">
        <v>0.2</v>
      </c>
      <c r="F98" s="1150">
        <v>30</v>
      </c>
    </row>
    <row r="99" spans="1:6" s="1101" customFormat="1" ht="36">
      <c r="A99" s="1150">
        <v>39</v>
      </c>
      <c r="B99" s="3441" t="s">
        <v>1580</v>
      </c>
      <c r="C99" s="1150" t="s">
        <v>1581</v>
      </c>
      <c r="D99" s="1064" t="s">
        <v>1582</v>
      </c>
      <c r="E99" s="1135">
        <v>0.3</v>
      </c>
      <c r="F99" s="1150">
        <v>50</v>
      </c>
    </row>
    <row r="100" spans="1:6" s="1101" customFormat="1" ht="36">
      <c r="A100" s="1150">
        <v>40</v>
      </c>
      <c r="B100" s="3441"/>
      <c r="C100" s="1150" t="s">
        <v>1583</v>
      </c>
      <c r="D100" s="1064" t="s">
        <v>1584</v>
      </c>
      <c r="E100" s="1135">
        <v>0.2</v>
      </c>
      <c r="F100" s="1150">
        <v>30</v>
      </c>
    </row>
    <row r="101" spans="1:6" s="1101" customFormat="1" ht="36">
      <c r="A101" s="1150">
        <v>41</v>
      </c>
      <c r="B101" s="3441"/>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41" t="s">
        <v>1595</v>
      </c>
      <c r="C105" s="1150" t="s">
        <v>1596</v>
      </c>
      <c r="D105" s="1064" t="s">
        <v>1597</v>
      </c>
      <c r="E105" s="1135">
        <v>0.2</v>
      </c>
      <c r="F105" s="1150">
        <v>30</v>
      </c>
    </row>
    <row r="106" spans="1:6" s="1101" customFormat="1" ht="48">
      <c r="A106" s="1150">
        <v>46</v>
      </c>
      <c r="B106" s="3441"/>
      <c r="C106" s="1150" t="s">
        <v>1598</v>
      </c>
      <c r="D106" s="1064" t="s">
        <v>1599</v>
      </c>
      <c r="E106" s="1135">
        <v>0.2</v>
      </c>
      <c r="F106" s="1150">
        <v>30</v>
      </c>
    </row>
    <row r="107" spans="1:6" s="1101" customFormat="1" ht="36">
      <c r="A107" s="1150">
        <v>47</v>
      </c>
      <c r="B107" s="3441" t="s">
        <v>1600</v>
      </c>
      <c r="C107" s="1150" t="s">
        <v>1601</v>
      </c>
      <c r="D107" s="1064" t="s">
        <v>1602</v>
      </c>
      <c r="E107" s="1135">
        <v>0.3</v>
      </c>
      <c r="F107" s="1150">
        <v>50</v>
      </c>
    </row>
    <row r="108" spans="1:6" s="1101" customFormat="1" ht="48">
      <c r="A108" s="1150">
        <v>48</v>
      </c>
      <c r="B108" s="3441"/>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41" t="s">
        <v>1611</v>
      </c>
      <c r="C111" s="1150" t="s">
        <v>1612</v>
      </c>
      <c r="D111" s="1064" t="s">
        <v>1613</v>
      </c>
      <c r="E111" s="1135">
        <v>0.2</v>
      </c>
      <c r="F111" s="1150">
        <v>30</v>
      </c>
    </row>
    <row r="112" spans="1:6" s="1101" customFormat="1" ht="36">
      <c r="A112" s="1150">
        <v>52</v>
      </c>
      <c r="B112" s="3441"/>
      <c r="C112" s="1150" t="s">
        <v>1614</v>
      </c>
      <c r="D112" s="1064" t="s">
        <v>1615</v>
      </c>
      <c r="E112" s="1135">
        <v>0.2</v>
      </c>
      <c r="F112" s="1150">
        <v>30</v>
      </c>
    </row>
    <row r="113" spans="1:14" s="1101" customFormat="1" ht="36">
      <c r="A113" s="1150">
        <v>53</v>
      </c>
      <c r="B113" s="3441"/>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41" t="s">
        <v>1624</v>
      </c>
      <c r="C116" s="1150" t="s">
        <v>1625</v>
      </c>
      <c r="D116" s="1064" t="s">
        <v>1626</v>
      </c>
      <c r="E116" s="1135">
        <v>0.2</v>
      </c>
      <c r="F116" s="1150">
        <v>30</v>
      </c>
    </row>
    <row r="117" spans="1:14" ht="36">
      <c r="A117" s="1150">
        <v>57</v>
      </c>
      <c r="B117" s="3441"/>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40" t="s">
        <v>1633</v>
      </c>
      <c r="B121" s="3440"/>
      <c r="C121" s="3440"/>
      <c r="D121" s="3440"/>
      <c r="E121" s="3440"/>
      <c r="F121" s="3440"/>
      <c r="G121" s="3440"/>
      <c r="H121" s="3440"/>
      <c r="I121" s="3440"/>
      <c r="J121" s="344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45" t="s">
        <v>1039</v>
      </c>
      <c r="B1" s="3445"/>
      <c r="C1" s="3445"/>
      <c r="D1" s="3445"/>
      <c r="E1" s="3445"/>
      <c r="F1" s="3445"/>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46" t="s">
        <v>1052</v>
      </c>
      <c r="B2" s="3446"/>
      <c r="C2" s="3446"/>
      <c r="D2" s="3446"/>
      <c r="E2" s="3446"/>
      <c r="F2" s="3446"/>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7"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8"/>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4"/>
  <cols>
    <col min="1" max="1" width="12.6640625" style="1863" customWidth="1"/>
    <col min="2" max="2" width="10.21875" style="1864" customWidth="1"/>
  </cols>
  <sheetData>
    <row r="1" spans="1:6">
      <c r="A1" s="3449" t="s">
        <v>2076</v>
      </c>
      <c r="B1" s="3449"/>
    </row>
    <row r="2" spans="1:6" ht="15" thickBot="1">
      <c r="A2" s="1834"/>
      <c r="B2" s="1834"/>
    </row>
    <row r="3" spans="1:6" ht="15" thickBot="1">
      <c r="A3" s="1834"/>
      <c r="B3" s="1834"/>
      <c r="C3" s="1835" t="s">
        <v>2077</v>
      </c>
      <c r="D3" s="1835" t="s">
        <v>2078</v>
      </c>
      <c r="E3" s="1835" t="s">
        <v>2079</v>
      </c>
      <c r="F3" s="1835" t="s">
        <v>2080</v>
      </c>
    </row>
    <row r="4" spans="1:6" ht="15" thickBot="1">
      <c r="A4" s="1836" t="s">
        <v>2081</v>
      </c>
      <c r="B4" s="1837" t="s">
        <v>2082</v>
      </c>
      <c r="C4" s="1835"/>
      <c r="D4" s="1835"/>
      <c r="E4" s="1835"/>
      <c r="F4" s="1835"/>
    </row>
    <row r="5" spans="1:6" ht="15" thickBot="1">
      <c r="A5" s="1838" t="s">
        <v>2083</v>
      </c>
      <c r="B5" s="1839" t="s">
        <v>2084</v>
      </c>
      <c r="C5" s="1840">
        <v>8.8999999999999996E-2</v>
      </c>
      <c r="D5" s="1840">
        <v>7.3999999999999996E-2</v>
      </c>
      <c r="E5" s="1840">
        <v>7.4999999999999997E-2</v>
      </c>
      <c r="F5" s="1841">
        <v>0.1</v>
      </c>
    </row>
    <row r="6" spans="1:6" ht="15" thickBot="1">
      <c r="A6" s="1838" t="s">
        <v>1096</v>
      </c>
      <c r="B6" s="1842" t="s">
        <v>2085</v>
      </c>
      <c r="C6" s="1843">
        <v>0.1</v>
      </c>
      <c r="D6" s="1843">
        <v>9.0999999999999998E-2</v>
      </c>
      <c r="E6" s="1843">
        <v>9.0999999999999998E-2</v>
      </c>
      <c r="F6" s="1844">
        <v>0.1</v>
      </c>
    </row>
    <row r="7" spans="1:6" ht="15" thickBot="1">
      <c r="A7" s="1838" t="s">
        <v>1096</v>
      </c>
      <c r="B7" s="1845" t="s">
        <v>1084</v>
      </c>
      <c r="C7" s="1843">
        <v>8.5999999999999993E-2</v>
      </c>
      <c r="D7" s="1843">
        <v>9.6000000000000002E-2</v>
      </c>
      <c r="E7" s="1843">
        <v>7.5999999999999998E-2</v>
      </c>
      <c r="F7" s="1844">
        <v>0.1</v>
      </c>
    </row>
    <row r="8" spans="1:6" ht="15" thickBot="1">
      <c r="A8" s="1838" t="s">
        <v>1096</v>
      </c>
      <c r="B8" s="1842" t="s">
        <v>1097</v>
      </c>
      <c r="C8" s="1843">
        <v>9.9000000000000005E-2</v>
      </c>
      <c r="D8" s="1843">
        <v>9.8000000000000004E-2</v>
      </c>
      <c r="E8" s="1843">
        <v>9.8000000000000004E-2</v>
      </c>
      <c r="F8" s="1844">
        <v>0.1</v>
      </c>
    </row>
    <row r="9" spans="1:6" ht="15" thickBot="1">
      <c r="A9" s="1846" t="s">
        <v>1096</v>
      </c>
      <c r="B9" s="1847" t="s">
        <v>1111</v>
      </c>
      <c r="C9" s="1848">
        <v>0.05</v>
      </c>
      <c r="D9" s="1849"/>
      <c r="E9" s="1849"/>
      <c r="F9" s="1850"/>
    </row>
    <row r="10" spans="1:6" ht="15" thickBot="1">
      <c r="A10" s="1838" t="s">
        <v>1155</v>
      </c>
      <c r="B10" s="1839" t="s">
        <v>2086</v>
      </c>
      <c r="C10" s="1840">
        <v>8.8999999999999996E-2</v>
      </c>
      <c r="D10" s="1840">
        <v>7.2999999999999995E-2</v>
      </c>
      <c r="E10" s="1840">
        <v>8.2000000000000003E-2</v>
      </c>
      <c r="F10" s="1841">
        <v>0.1</v>
      </c>
    </row>
    <row r="11" spans="1:6" ht="15" thickBot="1">
      <c r="A11" s="1838" t="s">
        <v>1155</v>
      </c>
      <c r="B11" s="1845" t="s">
        <v>1071</v>
      </c>
      <c r="C11" s="1843">
        <v>8.8999999999999996E-2</v>
      </c>
      <c r="D11" s="1843">
        <v>7.2999999999999995E-2</v>
      </c>
      <c r="E11" s="1843">
        <v>8.2000000000000003E-2</v>
      </c>
      <c r="F11" s="1844">
        <v>0.1</v>
      </c>
    </row>
    <row r="12" spans="1:6" ht="15" thickBot="1">
      <c r="A12" s="1838" t="s">
        <v>1155</v>
      </c>
      <c r="B12" s="1845" t="s">
        <v>1085</v>
      </c>
      <c r="C12" s="1843">
        <v>6.0999999999999999E-2</v>
      </c>
      <c r="D12" s="1843">
        <v>7.0999999999999994E-2</v>
      </c>
      <c r="E12" s="1843">
        <v>9.6000000000000002E-2</v>
      </c>
      <c r="F12" s="1844">
        <v>0.1</v>
      </c>
    </row>
    <row r="13" spans="1:6" ht="15" thickBot="1">
      <c r="A13" s="1838" t="s">
        <v>1155</v>
      </c>
      <c r="B13" s="1845" t="s">
        <v>1098</v>
      </c>
      <c r="C13" s="1843">
        <v>6.9000000000000006E-2</v>
      </c>
      <c r="D13" s="1843">
        <v>6.5000000000000002E-2</v>
      </c>
      <c r="E13" s="1843">
        <v>6.6000000000000003E-2</v>
      </c>
      <c r="F13" s="1844">
        <v>0.1</v>
      </c>
    </row>
    <row r="14" spans="1:6" ht="15" thickBot="1">
      <c r="A14" s="1838" t="s">
        <v>1155</v>
      </c>
      <c r="B14" s="1845" t="s">
        <v>1112</v>
      </c>
      <c r="C14" s="1843">
        <v>0.1</v>
      </c>
      <c r="D14" s="1843">
        <v>6.5000000000000002E-2</v>
      </c>
      <c r="E14" s="1843">
        <v>7.0000000000000007E-2</v>
      </c>
      <c r="F14" s="1844">
        <v>0.1</v>
      </c>
    </row>
    <row r="15" spans="1:6" ht="15" thickBot="1">
      <c r="A15" s="1838" t="s">
        <v>1155</v>
      </c>
      <c r="B15" s="1845" t="s">
        <v>1123</v>
      </c>
      <c r="C15" s="1843">
        <v>9.8000000000000004E-2</v>
      </c>
      <c r="D15" s="1843">
        <v>8.8999999999999996E-2</v>
      </c>
      <c r="E15" s="1843">
        <v>8.8999999999999996E-2</v>
      </c>
      <c r="F15" s="1844">
        <v>0.1</v>
      </c>
    </row>
    <row r="16" spans="1:6" ht="15" thickBot="1">
      <c r="A16" s="1838" t="s">
        <v>1155</v>
      </c>
      <c r="B16" s="1845" t="s">
        <v>1134</v>
      </c>
      <c r="C16" s="1843">
        <v>7.0000000000000007E-2</v>
      </c>
      <c r="D16" s="1843">
        <v>9.2999999999999999E-2</v>
      </c>
      <c r="E16" s="1843">
        <v>9.6000000000000002E-2</v>
      </c>
      <c r="F16" s="1844">
        <v>0.1</v>
      </c>
    </row>
    <row r="17" spans="1:6" ht="15" thickBot="1">
      <c r="A17" s="1838" t="s">
        <v>1155</v>
      </c>
      <c r="B17" s="1845" t="s">
        <v>1145</v>
      </c>
      <c r="C17" s="1843">
        <v>9.5000000000000001E-2</v>
      </c>
      <c r="D17" s="1843">
        <v>0.1</v>
      </c>
      <c r="E17" s="1843">
        <v>0.1</v>
      </c>
      <c r="F17" s="1851"/>
    </row>
    <row r="18" spans="1:6" ht="15" thickBot="1">
      <c r="A18" s="1838" t="s">
        <v>1155</v>
      </c>
      <c r="B18" s="1845" t="s">
        <v>1157</v>
      </c>
      <c r="C18" s="1843">
        <v>7.3999999999999996E-2</v>
      </c>
      <c r="D18" s="1843">
        <v>9.9000000000000005E-2</v>
      </c>
      <c r="E18" s="1843">
        <v>0.1</v>
      </c>
      <c r="F18" s="1851"/>
    </row>
    <row r="19" spans="1:6" ht="15" thickBot="1">
      <c r="A19" s="1838" t="s">
        <v>1155</v>
      </c>
      <c r="B19" s="1845" t="s">
        <v>1167</v>
      </c>
      <c r="C19" s="1843">
        <v>9.9000000000000005E-2</v>
      </c>
      <c r="D19" s="1843">
        <v>7.5999999999999998E-2</v>
      </c>
      <c r="E19" s="1843">
        <v>8.6999999999999994E-2</v>
      </c>
      <c r="F19" s="1851"/>
    </row>
    <row r="20" spans="1:6" ht="15" thickBot="1">
      <c r="A20" s="1838" t="s">
        <v>1155</v>
      </c>
      <c r="B20" s="1845" t="s">
        <v>1177</v>
      </c>
      <c r="C20" s="1843">
        <v>9.8000000000000004E-2</v>
      </c>
      <c r="D20" s="1843">
        <v>8.5000000000000006E-2</v>
      </c>
      <c r="E20" s="1843">
        <v>8.2000000000000003E-2</v>
      </c>
      <c r="F20" s="1851"/>
    </row>
    <row r="21" spans="1:6" ht="15" thickBot="1">
      <c r="A21" s="1838" t="s">
        <v>1155</v>
      </c>
      <c r="B21" s="1845" t="s">
        <v>1187</v>
      </c>
      <c r="C21" s="1843">
        <v>6.6000000000000003E-2</v>
      </c>
      <c r="D21" s="1843">
        <v>6.4000000000000001E-2</v>
      </c>
      <c r="E21" s="1843">
        <v>6.5000000000000002E-2</v>
      </c>
      <c r="F21" s="1851"/>
    </row>
    <row r="22" spans="1:6" ht="15" thickBot="1">
      <c r="A22" s="1838" t="s">
        <v>1155</v>
      </c>
      <c r="B22" s="1845" t="s">
        <v>2087</v>
      </c>
      <c r="C22" s="1843">
        <v>0.08</v>
      </c>
      <c r="D22" s="1843">
        <v>9.8000000000000004E-2</v>
      </c>
      <c r="E22" s="1843">
        <v>9.8000000000000004E-2</v>
      </c>
      <c r="F22" s="1851"/>
    </row>
    <row r="23" spans="1:6" ht="15" thickBot="1">
      <c r="A23" s="1838" t="s">
        <v>1155</v>
      </c>
      <c r="B23" s="1845" t="s">
        <v>1207</v>
      </c>
      <c r="C23" s="1843">
        <v>9.9000000000000005E-2</v>
      </c>
      <c r="D23" s="1843">
        <v>9.8000000000000004E-2</v>
      </c>
      <c r="E23" s="1843">
        <v>9.0999999999999998E-2</v>
      </c>
      <c r="F23" s="1851"/>
    </row>
    <row r="24" spans="1:6" ht="15" thickBot="1">
      <c r="A24" s="1838" t="s">
        <v>1155</v>
      </c>
      <c r="B24" s="1845" t="s">
        <v>1217</v>
      </c>
      <c r="C24" s="1843">
        <v>8.8999999999999996E-2</v>
      </c>
      <c r="D24" s="1843">
        <v>9.7000000000000003E-2</v>
      </c>
      <c r="E24" s="1843">
        <v>7.0000000000000007E-2</v>
      </c>
      <c r="F24" s="1851"/>
    </row>
    <row r="25" spans="1:6" ht="15" thickBot="1">
      <c r="A25" s="1838" t="s">
        <v>1155</v>
      </c>
      <c r="B25" s="1845" t="s">
        <v>1227</v>
      </c>
      <c r="C25" s="1843">
        <v>8.8999999999999996E-2</v>
      </c>
      <c r="D25" s="1843">
        <v>0.1</v>
      </c>
      <c r="E25" s="1843">
        <v>8.1000000000000003E-2</v>
      </c>
      <c r="F25" s="1851"/>
    </row>
    <row r="26" spans="1:6" ht="15" thickBot="1">
      <c r="A26" s="1838" t="s">
        <v>1155</v>
      </c>
      <c r="B26" s="1845" t="s">
        <v>1237</v>
      </c>
      <c r="C26" s="1852"/>
      <c r="D26" s="1843">
        <v>9.6000000000000002E-2</v>
      </c>
      <c r="E26" s="1843">
        <v>9.2999999999999999E-2</v>
      </c>
      <c r="F26" s="1851"/>
    </row>
    <row r="27" spans="1:6" ht="15" thickBot="1">
      <c r="A27" s="1838" t="s">
        <v>1155</v>
      </c>
      <c r="B27" s="1845" t="s">
        <v>1247</v>
      </c>
      <c r="C27" s="1852"/>
      <c r="D27" s="1843">
        <v>7.5999999999999998E-2</v>
      </c>
      <c r="E27" s="1843">
        <v>9.1999999999999998E-2</v>
      </c>
      <c r="F27" s="1851"/>
    </row>
    <row r="28" spans="1:6" ht="15" thickBot="1">
      <c r="A28" s="1846" t="s">
        <v>1155</v>
      </c>
      <c r="B28" s="1847" t="s">
        <v>1257</v>
      </c>
      <c r="C28" s="1849"/>
      <c r="D28" s="1848">
        <v>7.5999999999999998E-2</v>
      </c>
      <c r="E28" s="1848">
        <v>9.1999999999999998E-2</v>
      </c>
      <c r="F28" s="1850"/>
    </row>
    <row r="29" spans="1:6" ht="15" thickBot="1">
      <c r="A29" s="1838" t="s">
        <v>1326</v>
      </c>
      <c r="B29" s="1839" t="s">
        <v>2088</v>
      </c>
      <c r="C29" s="1840">
        <v>6.4000000000000001E-2</v>
      </c>
      <c r="D29" s="1840">
        <v>6.5000000000000002E-2</v>
      </c>
      <c r="E29" s="1840">
        <v>6.9000000000000006E-2</v>
      </c>
      <c r="F29" s="1841">
        <v>0.1</v>
      </c>
    </row>
    <row r="30" spans="1:6" ht="15" thickBot="1">
      <c r="A30" s="1838" t="s">
        <v>1326</v>
      </c>
      <c r="B30" s="1845" t="s">
        <v>1072</v>
      </c>
      <c r="C30" s="1843">
        <v>6.4000000000000001E-2</v>
      </c>
      <c r="D30" s="1843">
        <v>9.9000000000000005E-2</v>
      </c>
      <c r="E30" s="1843">
        <v>0.1</v>
      </c>
      <c r="F30" s="1844">
        <v>0.1</v>
      </c>
    </row>
    <row r="31" spans="1:6" ht="15" thickBot="1">
      <c r="A31" s="1838" t="s">
        <v>1326</v>
      </c>
      <c r="B31" s="1845" t="s">
        <v>1086</v>
      </c>
      <c r="C31" s="1843">
        <v>0.1</v>
      </c>
      <c r="D31" s="1843">
        <v>9.5000000000000001E-2</v>
      </c>
      <c r="E31" s="1843">
        <v>8.8999999999999996E-2</v>
      </c>
      <c r="F31" s="1844">
        <v>0.1</v>
      </c>
    </row>
    <row r="32" spans="1:6" ht="15" thickBot="1">
      <c r="A32" s="1838" t="s">
        <v>1326</v>
      </c>
      <c r="B32" s="1845" t="s">
        <v>1099</v>
      </c>
      <c r="C32" s="1843">
        <v>0.05</v>
      </c>
      <c r="D32" s="1843">
        <v>0.05</v>
      </c>
      <c r="E32" s="1843">
        <v>8.7999999999999995E-2</v>
      </c>
      <c r="F32" s="1844">
        <v>0.1</v>
      </c>
    </row>
    <row r="33" spans="1:6" ht="15" thickBot="1">
      <c r="A33" s="1838" t="s">
        <v>1326</v>
      </c>
      <c r="B33" s="1845" t="s">
        <v>1113</v>
      </c>
      <c r="C33" s="1843">
        <v>7.4999999999999997E-2</v>
      </c>
      <c r="D33" s="1843">
        <v>9.4E-2</v>
      </c>
      <c r="E33" s="1843">
        <v>9.7000000000000003E-2</v>
      </c>
      <c r="F33" s="1844">
        <v>0.1</v>
      </c>
    </row>
    <row r="34" spans="1:6" ht="15" thickBot="1">
      <c r="A34" s="1838" t="s">
        <v>1326</v>
      </c>
      <c r="B34" s="1845" t="s">
        <v>1124</v>
      </c>
      <c r="C34" s="1843">
        <v>9.8000000000000004E-2</v>
      </c>
      <c r="D34" s="1843">
        <v>8.5999999999999993E-2</v>
      </c>
      <c r="E34" s="1843">
        <v>9.7000000000000003E-2</v>
      </c>
      <c r="F34" s="1844">
        <v>0.1</v>
      </c>
    </row>
    <row r="35" spans="1:6" ht="15" thickBot="1">
      <c r="A35" s="1838" t="s">
        <v>1326</v>
      </c>
      <c r="B35" s="1845" t="s">
        <v>1135</v>
      </c>
      <c r="C35" s="1843">
        <v>5.8999999999999997E-2</v>
      </c>
      <c r="D35" s="1843">
        <v>6.5000000000000002E-2</v>
      </c>
      <c r="E35" s="1843">
        <v>7.0000000000000007E-2</v>
      </c>
      <c r="F35" s="1844">
        <v>0.1</v>
      </c>
    </row>
    <row r="36" spans="1:6" ht="15" thickBot="1">
      <c r="A36" s="1838" t="s">
        <v>1326</v>
      </c>
      <c r="B36" s="1845" t="s">
        <v>1146</v>
      </c>
      <c r="C36" s="1843">
        <v>6.3E-2</v>
      </c>
      <c r="D36" s="1843">
        <v>0.1</v>
      </c>
      <c r="E36" s="1843">
        <v>0.1</v>
      </c>
      <c r="F36" s="1844">
        <v>0.1</v>
      </c>
    </row>
    <row r="37" spans="1:6" ht="15" thickBot="1">
      <c r="A37" s="1838" t="s">
        <v>1326</v>
      </c>
      <c r="B37" s="1845" t="s">
        <v>1158</v>
      </c>
      <c r="C37" s="1843">
        <v>7.3999999999999996E-2</v>
      </c>
      <c r="D37" s="1843">
        <v>0.1</v>
      </c>
      <c r="E37" s="1843">
        <v>0.1</v>
      </c>
      <c r="F37" s="1844">
        <v>0.1</v>
      </c>
    </row>
    <row r="38" spans="1:6" ht="15" thickBot="1">
      <c r="A38" s="1838" t="s">
        <v>1326</v>
      </c>
      <c r="B38" s="1845" t="s">
        <v>1168</v>
      </c>
      <c r="C38" s="1843">
        <v>0.1</v>
      </c>
      <c r="D38" s="1843">
        <v>9.6000000000000002E-2</v>
      </c>
      <c r="E38" s="1843">
        <v>9.6000000000000002E-2</v>
      </c>
      <c r="F38" s="1851"/>
    </row>
    <row r="39" spans="1:6" ht="15" thickBot="1">
      <c r="A39" s="1838" t="s">
        <v>1326</v>
      </c>
      <c r="B39" s="1845" t="s">
        <v>1178</v>
      </c>
      <c r="C39" s="1843">
        <v>0.1</v>
      </c>
      <c r="D39" s="1843">
        <v>9.6000000000000002E-2</v>
      </c>
      <c r="E39" s="1843">
        <v>9.6000000000000002E-2</v>
      </c>
      <c r="F39" s="1851"/>
    </row>
    <row r="40" spans="1:6" ht="15" thickBot="1">
      <c r="A40" s="1838" t="s">
        <v>1326</v>
      </c>
      <c r="B40" s="1845" t="s">
        <v>1188</v>
      </c>
      <c r="C40" s="1843">
        <v>9.6000000000000002E-2</v>
      </c>
      <c r="D40" s="1843">
        <v>0.1</v>
      </c>
      <c r="E40" s="1843">
        <v>9.9000000000000005E-2</v>
      </c>
      <c r="F40" s="1851"/>
    </row>
    <row r="41" spans="1:6" ht="15" thickBot="1">
      <c r="A41" s="1838" t="s">
        <v>1326</v>
      </c>
      <c r="B41" s="1845" t="s">
        <v>1198</v>
      </c>
      <c r="C41" s="1843">
        <v>9.6000000000000002E-2</v>
      </c>
      <c r="D41" s="1843">
        <v>9.8000000000000004E-2</v>
      </c>
      <c r="E41" s="1843">
        <v>9.8000000000000004E-2</v>
      </c>
      <c r="F41" s="1851"/>
    </row>
    <row r="42" spans="1:6" ht="15" thickBot="1">
      <c r="A42" s="1838" t="s">
        <v>1326</v>
      </c>
      <c r="B42" s="1845" t="s">
        <v>1208</v>
      </c>
      <c r="C42" s="1843">
        <v>0.1</v>
      </c>
      <c r="D42" s="1843">
        <v>8.7999999999999995E-2</v>
      </c>
      <c r="E42" s="1843">
        <v>0.1</v>
      </c>
      <c r="F42" s="1851"/>
    </row>
    <row r="43" spans="1:6" ht="15" thickBot="1">
      <c r="A43" s="1838" t="s">
        <v>1326</v>
      </c>
      <c r="B43" s="1845" t="s">
        <v>1218</v>
      </c>
      <c r="C43" s="1843">
        <v>9.8000000000000004E-2</v>
      </c>
      <c r="D43" s="1843">
        <v>9.7000000000000003E-2</v>
      </c>
      <c r="E43" s="1843">
        <v>9.6000000000000002E-2</v>
      </c>
      <c r="F43" s="1851"/>
    </row>
    <row r="44" spans="1:6" ht="15" thickBot="1">
      <c r="A44" s="1838" t="s">
        <v>1326</v>
      </c>
      <c r="B44" s="1845" t="s">
        <v>1228</v>
      </c>
      <c r="C44" s="1843">
        <v>8.5999999999999993E-2</v>
      </c>
      <c r="D44" s="1843">
        <v>7.9000000000000001E-2</v>
      </c>
      <c r="E44" s="1843">
        <v>7.0999999999999994E-2</v>
      </c>
      <c r="F44" s="1851"/>
    </row>
    <row r="45" spans="1:6" ht="15" thickBot="1">
      <c r="A45" s="1838" t="s">
        <v>1326</v>
      </c>
      <c r="B45" s="1845" t="s">
        <v>1238</v>
      </c>
      <c r="C45" s="1843">
        <v>9.8000000000000004E-2</v>
      </c>
      <c r="D45" s="1843">
        <v>9.6000000000000002E-2</v>
      </c>
      <c r="E45" s="1843">
        <v>9.6000000000000002E-2</v>
      </c>
      <c r="F45" s="1851"/>
    </row>
    <row r="46" spans="1:6" ht="15" thickBot="1">
      <c r="A46" s="1838" t="s">
        <v>1326</v>
      </c>
      <c r="B46" s="1845" t="s">
        <v>1248</v>
      </c>
      <c r="C46" s="1843">
        <v>8.5999999999999993E-2</v>
      </c>
      <c r="D46" s="1843">
        <v>9.8000000000000004E-2</v>
      </c>
      <c r="E46" s="1843">
        <v>8.7999999999999995E-2</v>
      </c>
      <c r="F46" s="1851"/>
    </row>
    <row r="47" spans="1:6" ht="15" thickBot="1">
      <c r="A47" s="1838" t="s">
        <v>1326</v>
      </c>
      <c r="B47" s="1845" t="s">
        <v>1258</v>
      </c>
      <c r="C47" s="1843">
        <v>9.6000000000000002E-2</v>
      </c>
      <c r="D47" s="1852"/>
      <c r="E47" s="1843">
        <v>6.9000000000000006E-2</v>
      </c>
      <c r="F47" s="1851"/>
    </row>
    <row r="48" spans="1:6" ht="15" thickBot="1">
      <c r="A48" s="1846" t="s">
        <v>1326</v>
      </c>
      <c r="B48" s="1847" t="s">
        <v>1267</v>
      </c>
      <c r="C48" s="1848">
        <v>9.8000000000000004E-2</v>
      </c>
      <c r="D48" s="1849"/>
      <c r="E48" s="1848">
        <v>9.5000000000000001E-2</v>
      </c>
      <c r="F48" s="1850"/>
    </row>
    <row r="49" spans="1:6" ht="15" thickBot="1">
      <c r="A49" s="1838" t="s">
        <v>925</v>
      </c>
      <c r="B49" s="1839" t="s">
        <v>2089</v>
      </c>
      <c r="C49" s="1840">
        <v>9.7000000000000003E-2</v>
      </c>
      <c r="D49" s="1840">
        <v>9.5000000000000001E-2</v>
      </c>
      <c r="E49" s="1840">
        <v>9.7000000000000003E-2</v>
      </c>
      <c r="F49" s="1841">
        <v>0.1</v>
      </c>
    </row>
    <row r="50" spans="1:6" ht="15" thickBot="1">
      <c r="A50" s="1838" t="s">
        <v>925</v>
      </c>
      <c r="B50" s="1842" t="s">
        <v>1073</v>
      </c>
      <c r="C50" s="1843">
        <v>7.4999999999999997E-2</v>
      </c>
      <c r="D50" s="1843">
        <v>9.5000000000000001E-2</v>
      </c>
      <c r="E50" s="1843">
        <v>0.1</v>
      </c>
      <c r="F50" s="1844">
        <v>0.1</v>
      </c>
    </row>
    <row r="51" spans="1:6" ht="15" thickBot="1">
      <c r="A51" s="1838" t="s">
        <v>925</v>
      </c>
      <c r="B51" s="1842" t="s">
        <v>1087</v>
      </c>
      <c r="C51" s="1843">
        <v>9.8000000000000004E-2</v>
      </c>
      <c r="D51" s="1843">
        <v>8.8999999999999996E-2</v>
      </c>
      <c r="E51" s="1843">
        <v>0.1</v>
      </c>
      <c r="F51" s="1844">
        <v>0.1</v>
      </c>
    </row>
    <row r="52" spans="1:6" ht="15" thickBot="1">
      <c r="A52" s="1838" t="s">
        <v>925</v>
      </c>
      <c r="B52" s="1842" t="s">
        <v>1100</v>
      </c>
      <c r="C52" s="1843">
        <v>9.8000000000000004E-2</v>
      </c>
      <c r="D52" s="1843">
        <v>9.7000000000000003E-2</v>
      </c>
      <c r="E52" s="1843">
        <v>8.1000000000000003E-2</v>
      </c>
      <c r="F52" s="1844">
        <v>0.1</v>
      </c>
    </row>
    <row r="53" spans="1:6" ht="15" thickBot="1">
      <c r="A53" s="1838" t="s">
        <v>925</v>
      </c>
      <c r="B53" s="1842" t="s">
        <v>1114</v>
      </c>
      <c r="C53" s="1843">
        <v>9.7000000000000003E-2</v>
      </c>
      <c r="D53" s="1843">
        <v>7.5999999999999998E-2</v>
      </c>
      <c r="E53" s="1843">
        <v>7.0999999999999994E-2</v>
      </c>
      <c r="F53" s="1844">
        <v>0.1</v>
      </c>
    </row>
    <row r="54" spans="1:6" ht="15" thickBot="1">
      <c r="A54" s="1838" t="s">
        <v>925</v>
      </c>
      <c r="B54" s="1842" t="s">
        <v>1125</v>
      </c>
      <c r="C54" s="1843">
        <v>7.5999999999999998E-2</v>
      </c>
      <c r="D54" s="1843">
        <v>0.1</v>
      </c>
      <c r="E54" s="1843">
        <v>9.9000000000000005E-2</v>
      </c>
      <c r="F54" s="1844">
        <v>0.1</v>
      </c>
    </row>
    <row r="55" spans="1:6" ht="15" thickBot="1">
      <c r="A55" s="1838" t="s">
        <v>925</v>
      </c>
      <c r="B55" s="1842" t="s">
        <v>1136</v>
      </c>
      <c r="C55" s="1843">
        <v>0.1</v>
      </c>
      <c r="D55" s="1843">
        <v>0.1</v>
      </c>
      <c r="E55" s="1843">
        <v>9.6000000000000002E-2</v>
      </c>
      <c r="F55" s="1844">
        <v>0.1</v>
      </c>
    </row>
    <row r="56" spans="1:6" ht="15" thickBot="1">
      <c r="A56" s="1838" t="s">
        <v>925</v>
      </c>
      <c r="B56" s="1842" t="s">
        <v>1147</v>
      </c>
      <c r="C56" s="1843">
        <v>0.1</v>
      </c>
      <c r="D56" s="1843">
        <v>9.6000000000000002E-2</v>
      </c>
      <c r="E56" s="1843">
        <v>5.1999999999999998E-2</v>
      </c>
      <c r="F56" s="1844">
        <v>0.1</v>
      </c>
    </row>
    <row r="57" spans="1:6" ht="15" thickBot="1">
      <c r="A57" s="1838" t="s">
        <v>925</v>
      </c>
      <c r="B57" s="1842" t="s">
        <v>1159</v>
      </c>
      <c r="C57" s="1843">
        <v>9.7000000000000003E-2</v>
      </c>
      <c r="D57" s="1843">
        <v>9.6000000000000002E-2</v>
      </c>
      <c r="E57" s="1843">
        <v>9.6000000000000002E-2</v>
      </c>
      <c r="F57" s="1844">
        <v>0.1</v>
      </c>
    </row>
    <row r="58" spans="1:6" ht="15" thickBot="1">
      <c r="A58" s="1838" t="s">
        <v>925</v>
      </c>
      <c r="B58" s="1842" t="s">
        <v>1169</v>
      </c>
      <c r="C58" s="1843">
        <v>9.6000000000000002E-2</v>
      </c>
      <c r="D58" s="1843">
        <v>9.9000000000000005E-2</v>
      </c>
      <c r="E58" s="1843">
        <v>9.6000000000000002E-2</v>
      </c>
      <c r="F58" s="1844">
        <v>0.1</v>
      </c>
    </row>
    <row r="59" spans="1:6" ht="15" thickBot="1">
      <c r="A59" s="1838" t="s">
        <v>925</v>
      </c>
      <c r="B59" s="1842" t="s">
        <v>1179</v>
      </c>
      <c r="C59" s="1843">
        <v>7.1999999999999995E-2</v>
      </c>
      <c r="D59" s="1843">
        <v>9.6000000000000002E-2</v>
      </c>
      <c r="E59" s="1843">
        <v>7.0999999999999994E-2</v>
      </c>
      <c r="F59" s="1844">
        <v>0.1</v>
      </c>
    </row>
    <row r="60" spans="1:6" ht="15" thickBot="1">
      <c r="A60" s="1838" t="s">
        <v>925</v>
      </c>
      <c r="B60" s="1842" t="s">
        <v>1189</v>
      </c>
      <c r="C60" s="1843">
        <v>9.6000000000000002E-2</v>
      </c>
      <c r="D60" s="1843">
        <v>8.8999999999999996E-2</v>
      </c>
      <c r="E60" s="1843">
        <v>9.6000000000000002E-2</v>
      </c>
      <c r="F60" s="1844">
        <v>0.1</v>
      </c>
    </row>
    <row r="61" spans="1:6" ht="15" thickBot="1">
      <c r="A61" s="1838" t="s">
        <v>925</v>
      </c>
      <c r="B61" s="1842" t="s">
        <v>1199</v>
      </c>
      <c r="C61" s="1843">
        <v>8.8999999999999996E-2</v>
      </c>
      <c r="D61" s="1843">
        <v>9.8000000000000004E-2</v>
      </c>
      <c r="E61" s="1843">
        <v>8.7999999999999995E-2</v>
      </c>
      <c r="F61" s="1851"/>
    </row>
    <row r="62" spans="1:6" ht="15" thickBot="1">
      <c r="A62" s="1838" t="s">
        <v>925</v>
      </c>
      <c r="B62" s="1842" t="s">
        <v>1209</v>
      </c>
      <c r="C62" s="1843">
        <v>9.8000000000000004E-2</v>
      </c>
      <c r="D62" s="1843">
        <v>9.2999999999999999E-2</v>
      </c>
      <c r="E62" s="1843">
        <v>9.7000000000000003E-2</v>
      </c>
      <c r="F62" s="1851"/>
    </row>
    <row r="63" spans="1:6" ht="15" thickBot="1">
      <c r="A63" s="1838" t="s">
        <v>925</v>
      </c>
      <c r="B63" s="1842" t="s">
        <v>1219</v>
      </c>
      <c r="C63" s="1843">
        <v>9.6000000000000002E-2</v>
      </c>
      <c r="D63" s="1843">
        <v>9.8000000000000004E-2</v>
      </c>
      <c r="E63" s="1843">
        <v>0.09</v>
      </c>
      <c r="F63" s="1851"/>
    </row>
    <row r="64" spans="1:6" ht="15" thickBot="1">
      <c r="A64" s="1838" t="s">
        <v>925</v>
      </c>
      <c r="B64" s="1842" t="s">
        <v>1229</v>
      </c>
      <c r="C64" s="1843">
        <v>9.9000000000000005E-2</v>
      </c>
      <c r="D64" s="1843">
        <v>9.7000000000000003E-2</v>
      </c>
      <c r="E64" s="1843">
        <v>9.9000000000000005E-2</v>
      </c>
      <c r="F64" s="1851"/>
    </row>
    <row r="65" spans="1:6" ht="15" thickBot="1">
      <c r="A65" s="1838" t="s">
        <v>925</v>
      </c>
      <c r="B65" s="1842" t="s">
        <v>1239</v>
      </c>
      <c r="C65" s="1843">
        <v>9.8000000000000004E-2</v>
      </c>
      <c r="D65" s="1843">
        <v>9.6000000000000002E-2</v>
      </c>
      <c r="E65" s="1843">
        <v>9.6000000000000002E-2</v>
      </c>
      <c r="F65" s="1851"/>
    </row>
    <row r="66" spans="1:6" ht="15" thickBot="1">
      <c r="A66" s="1838" t="s">
        <v>925</v>
      </c>
      <c r="B66" s="1842" t="s">
        <v>1249</v>
      </c>
      <c r="C66" s="1843">
        <v>9.6000000000000002E-2</v>
      </c>
      <c r="D66" s="1843">
        <v>9.1999999999999998E-2</v>
      </c>
      <c r="E66" s="1843">
        <v>9.6000000000000002E-2</v>
      </c>
      <c r="F66" s="1851"/>
    </row>
    <row r="67" spans="1:6" ht="15" thickBot="1">
      <c r="A67" s="1838" t="s">
        <v>925</v>
      </c>
      <c r="B67" s="1842" t="s">
        <v>1259</v>
      </c>
      <c r="C67" s="1843">
        <v>9.4E-2</v>
      </c>
      <c r="D67" s="1843">
        <v>0.1</v>
      </c>
      <c r="E67" s="1843">
        <v>8.7999999999999995E-2</v>
      </c>
      <c r="F67" s="1851"/>
    </row>
    <row r="68" spans="1:6" ht="15" thickBot="1">
      <c r="A68" s="1838" t="s">
        <v>925</v>
      </c>
      <c r="B68" s="1842" t="s">
        <v>1268</v>
      </c>
      <c r="C68" s="1843">
        <v>0.1</v>
      </c>
      <c r="D68" s="1843">
        <v>8.7999999999999995E-2</v>
      </c>
      <c r="E68" s="1843">
        <v>9.7000000000000003E-2</v>
      </c>
      <c r="F68" s="1851"/>
    </row>
    <row r="69" spans="1:6" ht="15" thickBot="1">
      <c r="A69" s="1838" t="s">
        <v>925</v>
      </c>
      <c r="B69" s="1842" t="s">
        <v>1277</v>
      </c>
      <c r="C69" s="1843">
        <v>6.4000000000000001E-2</v>
      </c>
      <c r="D69" s="1843">
        <v>0.1</v>
      </c>
      <c r="E69" s="1843">
        <v>0.1</v>
      </c>
      <c r="F69" s="1851"/>
    </row>
    <row r="70" spans="1:6" ht="15" thickBot="1">
      <c r="A70" s="1838" t="s">
        <v>925</v>
      </c>
      <c r="B70" s="1842" t="s">
        <v>1285</v>
      </c>
      <c r="C70" s="1843">
        <v>9.0999999999999998E-2</v>
      </c>
      <c r="D70" s="1852"/>
      <c r="E70" s="1852"/>
      <c r="F70" s="1851"/>
    </row>
    <row r="71" spans="1:6" ht="15" thickBot="1">
      <c r="A71" s="1838" t="s">
        <v>925</v>
      </c>
      <c r="B71" s="1842" t="s">
        <v>1292</v>
      </c>
      <c r="C71" s="1843">
        <v>0.1</v>
      </c>
      <c r="D71" s="1852"/>
      <c r="E71" s="1852"/>
      <c r="F71" s="1851"/>
    </row>
    <row r="72" spans="1:6" ht="24.6" thickBot="1">
      <c r="A72" s="1838" t="s">
        <v>925</v>
      </c>
      <c r="B72" s="1842" t="s">
        <v>2090</v>
      </c>
      <c r="C72" s="1852"/>
      <c r="D72" s="1852"/>
      <c r="E72" s="1852"/>
      <c r="F72" s="1844">
        <v>0.05</v>
      </c>
    </row>
    <row r="73" spans="1:6" ht="24.6" thickBot="1">
      <c r="A73" s="1838" t="s">
        <v>925</v>
      </c>
      <c r="B73" s="1842" t="s">
        <v>2091</v>
      </c>
      <c r="C73" s="1852"/>
      <c r="D73" s="1852"/>
      <c r="E73" s="1852"/>
      <c r="F73" s="1844">
        <v>0.05</v>
      </c>
    </row>
    <row r="74" spans="1:6" ht="24.6" thickBot="1">
      <c r="A74" s="1838" t="s">
        <v>925</v>
      </c>
      <c r="B74" s="1842" t="s">
        <v>2092</v>
      </c>
      <c r="C74" s="1852"/>
      <c r="D74" s="1852"/>
      <c r="E74" s="1852"/>
      <c r="F74" s="1844">
        <v>0.05</v>
      </c>
    </row>
    <row r="75" spans="1:6" ht="24.6" thickBot="1">
      <c r="A75" s="1846" t="s">
        <v>925</v>
      </c>
      <c r="B75" s="1853" t="s">
        <v>2093</v>
      </c>
      <c r="C75" s="1849"/>
      <c r="D75" s="1849"/>
      <c r="E75" s="1849"/>
      <c r="F75" s="1854">
        <v>0.05</v>
      </c>
    </row>
    <row r="76" spans="1:6" ht="15" thickBot="1">
      <c r="A76" s="1838" t="s">
        <v>1407</v>
      </c>
      <c r="B76" s="1839" t="s">
        <v>2094</v>
      </c>
      <c r="C76" s="1840">
        <v>0.1</v>
      </c>
      <c r="D76" s="1840">
        <v>0.1</v>
      </c>
      <c r="E76" s="1840">
        <v>0.1</v>
      </c>
      <c r="F76" s="1841">
        <v>0.1</v>
      </c>
    </row>
    <row r="77" spans="1:6" ht="15" thickBot="1">
      <c r="A77" s="1838" t="s">
        <v>1407</v>
      </c>
      <c r="B77" s="1842" t="s">
        <v>1074</v>
      </c>
      <c r="C77" s="1843">
        <v>8.7999999999999995E-2</v>
      </c>
      <c r="D77" s="1843">
        <v>8.6999999999999994E-2</v>
      </c>
      <c r="E77" s="1843">
        <v>7.9000000000000001E-2</v>
      </c>
      <c r="F77" s="1844">
        <v>0.1</v>
      </c>
    </row>
    <row r="78" spans="1:6" ht="15" thickBot="1">
      <c r="A78" s="1838" t="s">
        <v>1407</v>
      </c>
      <c r="B78" s="1842" t="s">
        <v>1088</v>
      </c>
      <c r="C78" s="1843">
        <v>8.6999999999999994E-2</v>
      </c>
      <c r="D78" s="1843">
        <v>8.4000000000000005E-2</v>
      </c>
      <c r="E78" s="1843">
        <v>9.6000000000000002E-2</v>
      </c>
      <c r="F78" s="1844">
        <v>0.1</v>
      </c>
    </row>
    <row r="79" spans="1:6" ht="15" thickBot="1">
      <c r="A79" s="1838" t="s">
        <v>1407</v>
      </c>
      <c r="B79" s="1842" t="s">
        <v>1101</v>
      </c>
      <c r="C79" s="1843">
        <v>9.8000000000000004E-2</v>
      </c>
      <c r="D79" s="1843">
        <v>9.8000000000000004E-2</v>
      </c>
      <c r="E79" s="1843">
        <v>9.0999999999999998E-2</v>
      </c>
      <c r="F79" s="1844">
        <v>0.1</v>
      </c>
    </row>
    <row r="80" spans="1:6" ht="15" thickBot="1">
      <c r="A80" s="1838" t="s">
        <v>1407</v>
      </c>
      <c r="B80" s="1842" t="s">
        <v>1115</v>
      </c>
      <c r="C80" s="1843">
        <v>9.6000000000000002E-2</v>
      </c>
      <c r="D80" s="1843">
        <v>9.6000000000000002E-2</v>
      </c>
      <c r="E80" s="1843">
        <v>0.1</v>
      </c>
      <c r="F80" s="1844">
        <v>0.1</v>
      </c>
    </row>
    <row r="81" spans="1:6" ht="15" thickBot="1">
      <c r="A81" s="1838" t="s">
        <v>1407</v>
      </c>
      <c r="B81" s="1842" t="s">
        <v>1126</v>
      </c>
      <c r="C81" s="1843">
        <v>9.9000000000000005E-2</v>
      </c>
      <c r="D81" s="1843">
        <v>9.9000000000000005E-2</v>
      </c>
      <c r="E81" s="1843">
        <v>9.8000000000000004E-2</v>
      </c>
      <c r="F81" s="1844">
        <v>0.1</v>
      </c>
    </row>
    <row r="82" spans="1:6" ht="15" thickBot="1">
      <c r="A82" s="1838" t="s">
        <v>1407</v>
      </c>
      <c r="B82" s="1842" t="s">
        <v>1137</v>
      </c>
      <c r="C82" s="1843">
        <v>9.9000000000000005E-2</v>
      </c>
      <c r="D82" s="1843">
        <v>9.9000000000000005E-2</v>
      </c>
      <c r="E82" s="1843">
        <v>9.7000000000000003E-2</v>
      </c>
      <c r="F82" s="1844">
        <v>0.1</v>
      </c>
    </row>
    <row r="83" spans="1:6" ht="15" thickBot="1">
      <c r="A83" s="1838" t="s">
        <v>1407</v>
      </c>
      <c r="B83" s="1842" t="s">
        <v>1148</v>
      </c>
      <c r="C83" s="1843">
        <v>9.8000000000000004E-2</v>
      </c>
      <c r="D83" s="1843">
        <v>9.8000000000000004E-2</v>
      </c>
      <c r="E83" s="1843">
        <v>9.8000000000000004E-2</v>
      </c>
      <c r="F83" s="1844">
        <v>0.1</v>
      </c>
    </row>
    <row r="84" spans="1:6" ht="15" thickBot="1">
      <c r="A84" s="1838" t="s">
        <v>1407</v>
      </c>
      <c r="B84" s="1842" t="s">
        <v>1160</v>
      </c>
      <c r="C84" s="1843">
        <v>9.9000000000000005E-2</v>
      </c>
      <c r="D84" s="1843">
        <v>9.9000000000000005E-2</v>
      </c>
      <c r="E84" s="1843">
        <v>9.9000000000000005E-2</v>
      </c>
      <c r="F84" s="1844">
        <v>0.1</v>
      </c>
    </row>
    <row r="85" spans="1:6" ht="15" thickBot="1">
      <c r="A85" s="1838" t="s">
        <v>1407</v>
      </c>
      <c r="B85" s="1842" t="s">
        <v>1170</v>
      </c>
      <c r="C85" s="1843">
        <v>9.9000000000000005E-2</v>
      </c>
      <c r="D85" s="1843">
        <v>9.9000000000000005E-2</v>
      </c>
      <c r="E85" s="1843">
        <v>9.9000000000000005E-2</v>
      </c>
      <c r="F85" s="1844">
        <v>0.1</v>
      </c>
    </row>
    <row r="86" spans="1:6" ht="15" thickBot="1">
      <c r="A86" s="1838" t="s">
        <v>1407</v>
      </c>
      <c r="B86" s="1842" t="s">
        <v>1180</v>
      </c>
      <c r="C86" s="1843">
        <v>0.1</v>
      </c>
      <c r="D86" s="1843">
        <v>0.1</v>
      </c>
      <c r="E86" s="1843">
        <v>7.6999999999999999E-2</v>
      </c>
      <c r="F86" s="1844">
        <v>0.1</v>
      </c>
    </row>
    <row r="87" spans="1:6" ht="15" thickBot="1">
      <c r="A87" s="1838" t="s">
        <v>1407</v>
      </c>
      <c r="B87" s="1842" t="s">
        <v>1190</v>
      </c>
      <c r="C87" s="1843">
        <v>0.1</v>
      </c>
      <c r="D87" s="1843">
        <v>0.1</v>
      </c>
      <c r="E87" s="1843">
        <v>9.8000000000000004E-2</v>
      </c>
      <c r="F87" s="1851"/>
    </row>
    <row r="88" spans="1:6" ht="15" thickBot="1">
      <c r="A88" s="1838" t="s">
        <v>1407</v>
      </c>
      <c r="B88" s="1842" t="s">
        <v>1200</v>
      </c>
      <c r="C88" s="1843">
        <v>9.1999999999999998E-2</v>
      </c>
      <c r="D88" s="1843">
        <v>8.5000000000000006E-2</v>
      </c>
      <c r="E88" s="1843">
        <v>9.6000000000000002E-2</v>
      </c>
      <c r="F88" s="1851"/>
    </row>
    <row r="89" spans="1:6" ht="15" thickBot="1">
      <c r="A89" s="1838" t="s">
        <v>1407</v>
      </c>
      <c r="B89" s="1842" t="s">
        <v>1210</v>
      </c>
      <c r="C89" s="1843">
        <v>0.1</v>
      </c>
      <c r="D89" s="1843">
        <v>0.1</v>
      </c>
      <c r="E89" s="1843">
        <v>9.7000000000000003E-2</v>
      </c>
      <c r="F89" s="1851"/>
    </row>
    <row r="90" spans="1:6" ht="15" thickBot="1">
      <c r="A90" s="1838" t="s">
        <v>1407</v>
      </c>
      <c r="B90" s="1842" t="s">
        <v>1220</v>
      </c>
      <c r="C90" s="1843">
        <v>9.8000000000000004E-2</v>
      </c>
      <c r="D90" s="1843">
        <v>9.8000000000000004E-2</v>
      </c>
      <c r="E90" s="1843">
        <v>8.7999999999999995E-2</v>
      </c>
      <c r="F90" s="1851"/>
    </row>
    <row r="91" spans="1:6" ht="15" thickBot="1">
      <c r="A91" s="1838" t="s">
        <v>1407</v>
      </c>
      <c r="B91" s="1842" t="s">
        <v>1230</v>
      </c>
      <c r="C91" s="1843">
        <v>9.9000000000000005E-2</v>
      </c>
      <c r="D91" s="1843">
        <v>9.9000000000000005E-2</v>
      </c>
      <c r="E91" s="1843">
        <v>9.0999999999999998E-2</v>
      </c>
      <c r="F91" s="1851"/>
    </row>
    <row r="92" spans="1:6" ht="15" thickBot="1">
      <c r="A92" s="1838" t="s">
        <v>1407</v>
      </c>
      <c r="B92" s="1842" t="s">
        <v>1240</v>
      </c>
      <c r="C92" s="1843">
        <v>9.6000000000000002E-2</v>
      </c>
      <c r="D92" s="1843">
        <v>9.6000000000000002E-2</v>
      </c>
      <c r="E92" s="1843">
        <v>7.2999999999999995E-2</v>
      </c>
      <c r="F92" s="1851"/>
    </row>
    <row r="93" spans="1:6" ht="15" thickBot="1">
      <c r="A93" s="1838" t="s">
        <v>1407</v>
      </c>
      <c r="B93" s="1842" t="s">
        <v>1250</v>
      </c>
      <c r="C93" s="1843">
        <v>9.6000000000000002E-2</v>
      </c>
      <c r="D93" s="1843">
        <v>9.6000000000000002E-2</v>
      </c>
      <c r="E93" s="1843">
        <v>9.9000000000000005E-2</v>
      </c>
      <c r="F93" s="1851"/>
    </row>
    <row r="94" spans="1:6" ht="15" thickBot="1">
      <c r="A94" s="1838" t="s">
        <v>1407</v>
      </c>
      <c r="B94" s="1842" t="s">
        <v>1260</v>
      </c>
      <c r="C94" s="1843">
        <v>7.5999999999999998E-2</v>
      </c>
      <c r="D94" s="1843">
        <v>7.3999999999999996E-2</v>
      </c>
      <c r="E94" s="1843">
        <v>9.7000000000000003E-2</v>
      </c>
      <c r="F94" s="1851"/>
    </row>
    <row r="95" spans="1:6" ht="15" thickBot="1">
      <c r="A95" s="1838" t="s">
        <v>1407</v>
      </c>
      <c r="B95" s="1842" t="s">
        <v>1269</v>
      </c>
      <c r="C95" s="1843">
        <v>9.9000000000000005E-2</v>
      </c>
      <c r="D95" s="1843">
        <v>9.4E-2</v>
      </c>
      <c r="E95" s="1843">
        <v>9.6000000000000002E-2</v>
      </c>
      <c r="F95" s="1851"/>
    </row>
    <row r="96" spans="1:6" ht="15" thickBot="1">
      <c r="A96" s="1838" t="s">
        <v>1407</v>
      </c>
      <c r="B96" s="1842" t="s">
        <v>1278</v>
      </c>
      <c r="C96" s="1843">
        <v>9.9000000000000005E-2</v>
      </c>
      <c r="D96" s="1843">
        <v>9.9000000000000005E-2</v>
      </c>
      <c r="E96" s="1843">
        <v>9.9000000000000005E-2</v>
      </c>
      <c r="F96" s="1851"/>
    </row>
    <row r="97" spans="1:6" ht="15" thickBot="1">
      <c r="A97" s="1838" t="s">
        <v>1407</v>
      </c>
      <c r="B97" s="1842" t="s">
        <v>1286</v>
      </c>
      <c r="C97" s="1843">
        <v>9.8000000000000004E-2</v>
      </c>
      <c r="D97" s="1843">
        <v>9.8000000000000004E-2</v>
      </c>
      <c r="E97" s="1843">
        <v>9.7000000000000003E-2</v>
      </c>
      <c r="F97" s="1851"/>
    </row>
    <row r="98" spans="1:6" ht="15" thickBot="1">
      <c r="A98" s="1838" t="s">
        <v>1407</v>
      </c>
      <c r="B98" s="1842" t="s">
        <v>1293</v>
      </c>
      <c r="C98" s="1843">
        <v>0.1</v>
      </c>
      <c r="D98" s="1843">
        <v>0.1</v>
      </c>
      <c r="E98" s="1843">
        <v>9.7000000000000003E-2</v>
      </c>
      <c r="F98" s="1851"/>
    </row>
    <row r="99" spans="1:6" ht="15" thickBot="1">
      <c r="A99" s="1838" t="s">
        <v>1407</v>
      </c>
      <c r="B99" s="1842" t="s">
        <v>1300</v>
      </c>
      <c r="C99" s="1843">
        <v>0.1</v>
      </c>
      <c r="D99" s="1843">
        <v>0.1</v>
      </c>
      <c r="E99" s="1852"/>
      <c r="F99" s="1851"/>
    </row>
    <row r="100" spans="1:6" ht="15" thickBot="1">
      <c r="A100" s="1838" t="s">
        <v>1407</v>
      </c>
      <c r="B100" s="1842" t="s">
        <v>1307</v>
      </c>
      <c r="C100" s="1843">
        <v>0.09</v>
      </c>
      <c r="D100" s="1843">
        <v>8.8999999999999996E-2</v>
      </c>
      <c r="E100" s="1852"/>
      <c r="F100" s="1851"/>
    </row>
    <row r="101" spans="1:6" ht="15" thickBot="1">
      <c r="A101" s="1838" t="s">
        <v>1407</v>
      </c>
      <c r="B101" s="1842" t="s">
        <v>1314</v>
      </c>
      <c r="C101" s="1843">
        <v>9.8000000000000004E-2</v>
      </c>
      <c r="D101" s="1843">
        <v>9.7000000000000003E-2</v>
      </c>
      <c r="E101" s="1852"/>
      <c r="F101" s="1851"/>
    </row>
    <row r="102" spans="1:6" ht="24.6" thickBot="1">
      <c r="A102" s="1838" t="s">
        <v>1407</v>
      </c>
      <c r="B102" s="1842" t="s">
        <v>2095</v>
      </c>
      <c r="C102" s="1852"/>
      <c r="D102" s="1852"/>
      <c r="E102" s="1852"/>
      <c r="F102" s="1844">
        <v>0.05</v>
      </c>
    </row>
    <row r="103" spans="1:6" ht="24.6" thickBot="1">
      <c r="A103" s="1838" t="s">
        <v>1407</v>
      </c>
      <c r="B103" s="1842" t="s">
        <v>2096</v>
      </c>
      <c r="C103" s="1852"/>
      <c r="D103" s="1852"/>
      <c r="E103" s="1852"/>
      <c r="F103" s="1844">
        <v>0.05</v>
      </c>
    </row>
    <row r="104" spans="1:6" ht="15" thickBot="1">
      <c r="A104" s="1838" t="s">
        <v>1407</v>
      </c>
      <c r="B104" s="1842" t="s">
        <v>2097</v>
      </c>
      <c r="C104" s="1852"/>
      <c r="D104" s="1852"/>
      <c r="E104" s="1852"/>
      <c r="F104" s="1844">
        <v>0.05</v>
      </c>
    </row>
    <row r="105" spans="1:6" ht="24.6" thickBot="1">
      <c r="A105" s="1838" t="s">
        <v>1407</v>
      </c>
      <c r="B105" s="1842" t="s">
        <v>2098</v>
      </c>
      <c r="C105" s="1852"/>
      <c r="D105" s="1852"/>
      <c r="E105" s="1852"/>
      <c r="F105" s="1844">
        <v>0.05</v>
      </c>
    </row>
    <row r="106" spans="1:6" ht="24.6" thickBot="1">
      <c r="A106" s="1838" t="s">
        <v>1407</v>
      </c>
      <c r="B106" s="1842" t="s">
        <v>2099</v>
      </c>
      <c r="C106" s="1852"/>
      <c r="D106" s="1852"/>
      <c r="E106" s="1852"/>
      <c r="F106" s="1844">
        <v>0.05</v>
      </c>
    </row>
    <row r="107" spans="1:6" ht="24.6" thickBot="1">
      <c r="A107" s="1838" t="s">
        <v>1407</v>
      </c>
      <c r="B107" s="1842" t="s">
        <v>2100</v>
      </c>
      <c r="C107" s="1852"/>
      <c r="D107" s="1852"/>
      <c r="E107" s="1852"/>
      <c r="F107" s="1844">
        <v>0.05</v>
      </c>
    </row>
    <row r="108" spans="1:6" ht="24.6" thickBot="1">
      <c r="A108" s="1838" t="s">
        <v>1407</v>
      </c>
      <c r="B108" s="1842" t="s">
        <v>2101</v>
      </c>
      <c r="C108" s="1852"/>
      <c r="D108" s="1852"/>
      <c r="E108" s="1852"/>
      <c r="F108" s="1844">
        <v>0.05</v>
      </c>
    </row>
    <row r="109" spans="1:6" ht="24.6" thickBot="1">
      <c r="A109" s="1846" t="s">
        <v>1407</v>
      </c>
      <c r="B109" s="1853" t="s">
        <v>2102</v>
      </c>
      <c r="C109" s="1849"/>
      <c r="D109" s="1849"/>
      <c r="E109" s="1849"/>
      <c r="F109" s="1854">
        <v>0.05</v>
      </c>
    </row>
    <row r="110" spans="1:6" ht="15" thickBot="1">
      <c r="A110" s="1838" t="s">
        <v>1409</v>
      </c>
      <c r="B110" s="1839" t="s">
        <v>2103</v>
      </c>
      <c r="C110" s="1840">
        <v>0.129</v>
      </c>
      <c r="D110" s="1840">
        <v>0.129</v>
      </c>
      <c r="E110" s="1840">
        <v>0.126</v>
      </c>
      <c r="F110" s="1841">
        <v>0.13</v>
      </c>
    </row>
    <row r="111" spans="1:6" ht="15" thickBot="1">
      <c r="A111" s="1838" t="s">
        <v>1409</v>
      </c>
      <c r="B111" s="1842" t="s">
        <v>1075</v>
      </c>
      <c r="C111" s="1843">
        <v>0.11</v>
      </c>
      <c r="D111" s="1843">
        <v>0.11</v>
      </c>
      <c r="E111" s="1843">
        <v>9.9000000000000005E-2</v>
      </c>
      <c r="F111" s="1844">
        <v>0.128</v>
      </c>
    </row>
    <row r="112" spans="1:6" ht="15" thickBot="1">
      <c r="A112" s="1838" t="s">
        <v>1409</v>
      </c>
      <c r="B112" s="1842" t="s">
        <v>1089</v>
      </c>
      <c r="C112" s="1843">
        <v>0.125</v>
      </c>
      <c r="D112" s="1843">
        <v>0.125</v>
      </c>
      <c r="E112" s="1843">
        <v>0.12</v>
      </c>
      <c r="F112" s="1844">
        <v>0.125</v>
      </c>
    </row>
    <row r="113" spans="1:6" ht="15" thickBot="1">
      <c r="A113" s="1838" t="s">
        <v>1409</v>
      </c>
      <c r="B113" s="1842" t="s">
        <v>1102</v>
      </c>
      <c r="C113" s="1843">
        <v>0.13</v>
      </c>
      <c r="D113" s="1843">
        <v>0.13</v>
      </c>
      <c r="E113" s="1843">
        <v>0.13</v>
      </c>
      <c r="F113" s="1844">
        <v>0.13</v>
      </c>
    </row>
    <row r="114" spans="1:6" ht="15" thickBot="1">
      <c r="A114" s="1838" t="s">
        <v>1409</v>
      </c>
      <c r="B114" s="1842" t="s">
        <v>1116</v>
      </c>
      <c r="C114" s="1843">
        <v>0.123</v>
      </c>
      <c r="D114" s="1843">
        <v>0.123</v>
      </c>
      <c r="E114" s="1843">
        <v>0.12</v>
      </c>
      <c r="F114" s="1844">
        <v>0.13</v>
      </c>
    </row>
    <row r="115" spans="1:6" ht="15" thickBot="1">
      <c r="A115" s="1838" t="s">
        <v>1409</v>
      </c>
      <c r="B115" s="1842" t="s">
        <v>1127</v>
      </c>
      <c r="C115" s="1843">
        <v>0.125</v>
      </c>
      <c r="D115" s="1843">
        <v>0.125</v>
      </c>
      <c r="E115" s="1843">
        <v>0.11700000000000001</v>
      </c>
      <c r="F115" s="1844">
        <v>0.13</v>
      </c>
    </row>
    <row r="116" spans="1:6" ht="15" thickBot="1">
      <c r="A116" s="1838" t="s">
        <v>1409</v>
      </c>
      <c r="B116" s="1842" t="s">
        <v>1138</v>
      </c>
      <c r="C116" s="1843">
        <v>0.11700000000000001</v>
      </c>
      <c r="D116" s="1843">
        <v>0.11700000000000001</v>
      </c>
      <c r="E116" s="1843">
        <v>8.7999999999999995E-2</v>
      </c>
      <c r="F116" s="1844">
        <v>0.13</v>
      </c>
    </row>
    <row r="117" spans="1:6" ht="15" thickBot="1">
      <c r="A117" s="1838" t="s">
        <v>1409</v>
      </c>
      <c r="B117" s="1842" t="s">
        <v>1149</v>
      </c>
      <c r="C117" s="1843">
        <v>0.13</v>
      </c>
      <c r="D117" s="1843">
        <v>0.13</v>
      </c>
      <c r="E117" s="1843">
        <v>0.129</v>
      </c>
      <c r="F117" s="1844">
        <v>0.13</v>
      </c>
    </row>
    <row r="118" spans="1:6" ht="15" thickBot="1">
      <c r="A118" s="1838" t="s">
        <v>1409</v>
      </c>
      <c r="B118" s="1842" t="s">
        <v>1161</v>
      </c>
      <c r="C118" s="1843">
        <v>0.123</v>
      </c>
      <c r="D118" s="1843">
        <v>0.123</v>
      </c>
      <c r="E118" s="1843">
        <v>0.11600000000000001</v>
      </c>
      <c r="F118" s="1844">
        <v>0.13</v>
      </c>
    </row>
    <row r="119" spans="1:6" ht="15" thickBot="1">
      <c r="A119" s="1838" t="s">
        <v>1409</v>
      </c>
      <c r="B119" s="1842" t="s">
        <v>1171</v>
      </c>
      <c r="C119" s="1843">
        <v>0.127</v>
      </c>
      <c r="D119" s="1843">
        <v>0.127</v>
      </c>
      <c r="E119" s="1843">
        <v>0.124</v>
      </c>
      <c r="F119" s="1844">
        <v>0.13</v>
      </c>
    </row>
    <row r="120" spans="1:6" ht="15" thickBot="1">
      <c r="A120" s="1838" t="s">
        <v>1409</v>
      </c>
      <c r="B120" s="1842" t="s">
        <v>1181</v>
      </c>
      <c r="C120" s="1843">
        <v>0.125</v>
      </c>
      <c r="D120" s="1843">
        <v>0.125</v>
      </c>
      <c r="E120" s="1843">
        <v>0.122</v>
      </c>
      <c r="F120" s="1844">
        <v>0.13</v>
      </c>
    </row>
    <row r="121" spans="1:6" ht="15" thickBot="1">
      <c r="A121" s="1838" t="s">
        <v>1409</v>
      </c>
      <c r="B121" s="1842" t="s">
        <v>1191</v>
      </c>
      <c r="C121" s="1843">
        <v>0.13</v>
      </c>
      <c r="D121" s="1843">
        <v>0.13</v>
      </c>
      <c r="E121" s="1843">
        <v>0.13</v>
      </c>
      <c r="F121" s="1844">
        <v>0.13</v>
      </c>
    </row>
    <row r="122" spans="1:6" ht="15" thickBot="1">
      <c r="A122" s="1838" t="s">
        <v>1409</v>
      </c>
      <c r="B122" s="1842" t="s">
        <v>1201</v>
      </c>
      <c r="C122" s="1843">
        <v>0.13</v>
      </c>
      <c r="D122" s="1843">
        <v>0.13</v>
      </c>
      <c r="E122" s="1843">
        <v>0.125</v>
      </c>
      <c r="F122" s="1844">
        <v>0.13</v>
      </c>
    </row>
    <row r="123" spans="1:6" ht="15" thickBot="1">
      <c r="A123" s="1838" t="s">
        <v>1409</v>
      </c>
      <c r="B123" s="1842" t="s">
        <v>1211</v>
      </c>
      <c r="C123" s="1843">
        <v>0.129</v>
      </c>
      <c r="D123" s="1843">
        <v>0.129</v>
      </c>
      <c r="E123" s="1843">
        <v>0.123</v>
      </c>
      <c r="F123" s="1844">
        <v>0.13</v>
      </c>
    </row>
    <row r="124" spans="1:6" ht="15" thickBot="1">
      <c r="A124" s="1838" t="s">
        <v>1409</v>
      </c>
      <c r="B124" s="1842" t="s">
        <v>1221</v>
      </c>
      <c r="C124" s="1843">
        <v>0.10199999999999999</v>
      </c>
      <c r="D124" s="1843">
        <v>0.10100000000000001</v>
      </c>
      <c r="E124" s="1843">
        <v>0.08</v>
      </c>
      <c r="F124" s="1851"/>
    </row>
    <row r="125" spans="1:6" ht="15" thickBot="1">
      <c r="A125" s="1838" t="s">
        <v>1409</v>
      </c>
      <c r="B125" s="1842" t="s">
        <v>1231</v>
      </c>
      <c r="C125" s="1843">
        <v>0.13</v>
      </c>
      <c r="D125" s="1843">
        <v>0.13</v>
      </c>
      <c r="E125" s="1843">
        <v>0.129</v>
      </c>
      <c r="F125" s="1851"/>
    </row>
    <row r="126" spans="1:6" ht="15" thickBot="1">
      <c r="A126" s="1838" t="s">
        <v>1409</v>
      </c>
      <c r="B126" s="1842" t="s">
        <v>1241</v>
      </c>
      <c r="C126" s="1843">
        <v>0.13</v>
      </c>
      <c r="D126" s="1843">
        <v>0.13</v>
      </c>
      <c r="E126" s="1843">
        <v>0.126</v>
      </c>
      <c r="F126" s="1851"/>
    </row>
    <row r="127" spans="1:6" ht="15" thickBot="1">
      <c r="A127" s="1838" t="s">
        <v>1409</v>
      </c>
      <c r="B127" s="1842" t="s">
        <v>1251</v>
      </c>
      <c r="C127" s="1843">
        <v>0.125</v>
      </c>
      <c r="D127" s="1843">
        <v>0.125</v>
      </c>
      <c r="E127" s="1843">
        <v>0.121</v>
      </c>
      <c r="F127" s="1851"/>
    </row>
    <row r="128" spans="1:6" ht="15" thickBot="1">
      <c r="A128" s="1838" t="s">
        <v>1409</v>
      </c>
      <c r="B128" s="1842" t="s">
        <v>1261</v>
      </c>
      <c r="C128" s="1843">
        <v>0.12</v>
      </c>
      <c r="D128" s="1843">
        <v>0.12</v>
      </c>
      <c r="E128" s="1843">
        <v>0.105</v>
      </c>
      <c r="F128" s="1851"/>
    </row>
    <row r="129" spans="1:6" ht="15" thickBot="1">
      <c r="A129" s="1838" t="s">
        <v>1409</v>
      </c>
      <c r="B129" s="1842" t="s">
        <v>1270</v>
      </c>
      <c r="C129" s="1843">
        <v>0.13</v>
      </c>
      <c r="D129" s="1843">
        <v>0.13</v>
      </c>
      <c r="E129" s="1843">
        <v>0.126</v>
      </c>
      <c r="F129" s="1851"/>
    </row>
    <row r="130" spans="1:6" ht="15" thickBot="1">
      <c r="A130" s="1838" t="s">
        <v>1409</v>
      </c>
      <c r="B130" s="1842" t="s">
        <v>1279</v>
      </c>
      <c r="C130" s="1843">
        <v>0.125</v>
      </c>
      <c r="D130" s="1843">
        <v>0.125</v>
      </c>
      <c r="E130" s="1843">
        <v>0.122</v>
      </c>
      <c r="F130" s="1851"/>
    </row>
    <row r="131" spans="1:6" ht="15" thickBot="1">
      <c r="A131" s="1838" t="s">
        <v>1409</v>
      </c>
      <c r="B131" s="1842" t="s">
        <v>1287</v>
      </c>
      <c r="C131" s="1843">
        <v>0.127</v>
      </c>
      <c r="D131" s="1843">
        <v>0.126</v>
      </c>
      <c r="E131" s="1843">
        <v>0.123</v>
      </c>
      <c r="F131" s="1851"/>
    </row>
    <row r="132" spans="1:6" ht="15" thickBot="1">
      <c r="A132" s="1838" t="s">
        <v>1409</v>
      </c>
      <c r="B132" s="1842" t="s">
        <v>1294</v>
      </c>
      <c r="C132" s="1843">
        <v>9.0999999999999998E-2</v>
      </c>
      <c r="D132" s="1843">
        <v>0.121</v>
      </c>
      <c r="E132" s="1843">
        <v>9.9000000000000005E-2</v>
      </c>
      <c r="F132" s="1851"/>
    </row>
    <row r="133" spans="1:6" ht="15" thickBot="1">
      <c r="A133" s="1838" t="s">
        <v>1409</v>
      </c>
      <c r="B133" s="1842" t="s">
        <v>1301</v>
      </c>
      <c r="C133" s="1843">
        <v>0.13</v>
      </c>
      <c r="D133" s="1843">
        <v>0.13</v>
      </c>
      <c r="E133" s="1843">
        <v>0.129</v>
      </c>
      <c r="F133" s="1851"/>
    </row>
    <row r="134" spans="1:6" ht="15" thickBot="1">
      <c r="A134" s="1838" t="s">
        <v>1409</v>
      </c>
      <c r="B134" s="1842" t="s">
        <v>2104</v>
      </c>
      <c r="C134" s="1843">
        <v>6.8000000000000005E-2</v>
      </c>
      <c r="D134" s="1843">
        <v>6.5000000000000002E-2</v>
      </c>
      <c r="E134" s="1843">
        <v>6.5000000000000002E-2</v>
      </c>
      <c r="F134" s="1844">
        <v>0.13</v>
      </c>
    </row>
    <row r="135" spans="1:6" ht="15" thickBot="1">
      <c r="A135" s="1838" t="s">
        <v>1409</v>
      </c>
      <c r="B135" s="1842" t="s">
        <v>1315</v>
      </c>
      <c r="C135" s="1843">
        <v>0.123</v>
      </c>
      <c r="D135" s="1843">
        <v>0.123</v>
      </c>
      <c r="E135" s="1843">
        <v>0.11</v>
      </c>
      <c r="F135" s="1851"/>
    </row>
    <row r="136" spans="1:6" ht="15" thickBot="1">
      <c r="A136" s="1838" t="s">
        <v>1409</v>
      </c>
      <c r="B136" s="1842" t="s">
        <v>1322</v>
      </c>
      <c r="C136" s="1843">
        <v>0.13</v>
      </c>
      <c r="D136" s="1843">
        <v>0.13</v>
      </c>
      <c r="E136" s="1843">
        <v>0.125</v>
      </c>
      <c r="F136" s="1851"/>
    </row>
    <row r="137" spans="1:6" ht="15" thickBot="1">
      <c r="A137" s="1838" t="s">
        <v>1409</v>
      </c>
      <c r="B137" s="1842" t="s">
        <v>1329</v>
      </c>
      <c r="C137" s="1843">
        <v>0.121</v>
      </c>
      <c r="D137" s="1843">
        <v>0.122</v>
      </c>
      <c r="E137" s="1843">
        <v>0.115</v>
      </c>
      <c r="F137" s="1851"/>
    </row>
    <row r="138" spans="1:6" ht="15" thickBot="1">
      <c r="A138" s="1838" t="s">
        <v>1409</v>
      </c>
      <c r="B138" s="1842" t="s">
        <v>2105</v>
      </c>
      <c r="C138" s="1843">
        <v>0.105</v>
      </c>
      <c r="D138" s="1843">
        <v>0.125</v>
      </c>
      <c r="E138" s="1843">
        <v>0.112</v>
      </c>
      <c r="F138" s="1851"/>
    </row>
    <row r="139" spans="1:6" ht="15" thickBot="1">
      <c r="A139" s="1838" t="s">
        <v>1409</v>
      </c>
      <c r="B139" s="1842" t="s">
        <v>2106</v>
      </c>
      <c r="C139" s="1843">
        <v>0.127</v>
      </c>
      <c r="D139" s="1843">
        <v>0.127</v>
      </c>
      <c r="E139" s="1843">
        <v>0.122</v>
      </c>
      <c r="F139" s="1844">
        <v>0.13</v>
      </c>
    </row>
    <row r="140" spans="1:6" ht="15" thickBot="1">
      <c r="A140" s="1838" t="s">
        <v>1409</v>
      </c>
      <c r="B140" s="1842" t="s">
        <v>2107</v>
      </c>
      <c r="C140" s="1843">
        <v>0.125</v>
      </c>
      <c r="D140" s="1843">
        <v>0.125</v>
      </c>
      <c r="E140" s="1843">
        <v>0.11899999999999999</v>
      </c>
      <c r="F140" s="1844">
        <v>0.13</v>
      </c>
    </row>
    <row r="141" spans="1:6" ht="15" thickBot="1">
      <c r="A141" s="1838" t="s">
        <v>1409</v>
      </c>
      <c r="B141" s="1842" t="s">
        <v>1348</v>
      </c>
      <c r="C141" s="1843">
        <v>0.125</v>
      </c>
      <c r="D141" s="1843">
        <v>0.125</v>
      </c>
      <c r="E141" s="1843">
        <v>0.11700000000000001</v>
      </c>
      <c r="F141" s="1851"/>
    </row>
    <row r="142" spans="1:6" ht="15" thickBot="1">
      <c r="A142" s="1838" t="s">
        <v>1409</v>
      </c>
      <c r="B142" s="1842" t="s">
        <v>1353</v>
      </c>
      <c r="C142" s="1843">
        <v>0.125</v>
      </c>
      <c r="D142" s="1843">
        <v>0.125</v>
      </c>
      <c r="E142" s="1843">
        <v>0.115</v>
      </c>
      <c r="F142" s="1851"/>
    </row>
    <row r="143" spans="1:6" ht="15" thickBot="1">
      <c r="A143" s="1838" t="s">
        <v>1409</v>
      </c>
      <c r="B143" s="1842" t="s">
        <v>1358</v>
      </c>
      <c r="C143" s="1843">
        <v>0.121</v>
      </c>
      <c r="D143" s="1843">
        <v>0.121</v>
      </c>
      <c r="E143" s="1843">
        <v>0.108</v>
      </c>
      <c r="F143" s="1851"/>
    </row>
    <row r="144" spans="1:6" ht="15" thickBot="1">
      <c r="A144" s="1838" t="s">
        <v>1409</v>
      </c>
      <c r="B144" s="1855" t="s">
        <v>2108</v>
      </c>
      <c r="C144" s="1856">
        <v>0.126</v>
      </c>
      <c r="D144" s="1856">
        <v>0.126</v>
      </c>
      <c r="E144" s="1856">
        <v>0.121</v>
      </c>
      <c r="F144" s="1851"/>
    </row>
    <row r="145" spans="1:6" ht="15" thickBot="1">
      <c r="A145" s="1846" t="s">
        <v>1409</v>
      </c>
      <c r="B145" s="1857" t="s">
        <v>2109</v>
      </c>
      <c r="C145" s="1858"/>
      <c r="D145" s="1858"/>
      <c r="E145" s="1858"/>
      <c r="F145" s="1859">
        <v>0.05</v>
      </c>
    </row>
    <row r="146" spans="1:6" ht="24.6" thickBot="1">
      <c r="A146" s="1860" t="s">
        <v>1409</v>
      </c>
      <c r="B146" s="1845" t="s">
        <v>2110</v>
      </c>
      <c r="C146" s="1852"/>
      <c r="D146" s="1852"/>
      <c r="E146" s="1852"/>
      <c r="F146" s="1861">
        <v>0.05</v>
      </c>
    </row>
    <row r="147" spans="1:6" ht="24.6" thickBot="1">
      <c r="A147" s="1838" t="s">
        <v>1409</v>
      </c>
      <c r="B147" s="1842" t="s">
        <v>2111</v>
      </c>
      <c r="C147" s="1852"/>
      <c r="D147" s="1852"/>
      <c r="E147" s="1852"/>
      <c r="F147" s="1844">
        <v>0.05</v>
      </c>
    </row>
    <row r="148" spans="1:6" ht="24.6" thickBot="1">
      <c r="A148" s="1838" t="s">
        <v>1409</v>
      </c>
      <c r="B148" s="1842" t="s">
        <v>2112</v>
      </c>
      <c r="C148" s="1852"/>
      <c r="D148" s="1852"/>
      <c r="E148" s="1852"/>
      <c r="F148" s="1844">
        <v>0.05</v>
      </c>
    </row>
    <row r="149" spans="1:6" ht="24.6" thickBot="1">
      <c r="A149" s="1838" t="s">
        <v>1409</v>
      </c>
      <c r="B149" s="1842" t="s">
        <v>2113</v>
      </c>
      <c r="C149" s="1852"/>
      <c r="D149" s="1852"/>
      <c r="E149" s="1852"/>
      <c r="F149" s="1844">
        <v>0.05</v>
      </c>
    </row>
    <row r="150" spans="1:6" ht="24.6" thickBot="1">
      <c r="A150" s="1838" t="s">
        <v>1409</v>
      </c>
      <c r="B150" s="1842" t="s">
        <v>2114</v>
      </c>
      <c r="C150" s="1852"/>
      <c r="D150" s="1852"/>
      <c r="E150" s="1852"/>
      <c r="F150" s="1844">
        <v>0.05</v>
      </c>
    </row>
    <row r="151" spans="1:6" ht="24.6" thickBot="1">
      <c r="A151" s="1838" t="s">
        <v>1409</v>
      </c>
      <c r="B151" s="1842" t="s">
        <v>2115</v>
      </c>
      <c r="C151" s="1852"/>
      <c r="D151" s="1852"/>
      <c r="E151" s="1852"/>
      <c r="F151" s="1844">
        <v>0.05</v>
      </c>
    </row>
    <row r="152" spans="1:6" ht="24.6" thickBot="1">
      <c r="A152" s="1838" t="s">
        <v>1409</v>
      </c>
      <c r="B152" s="1842" t="s">
        <v>1391</v>
      </c>
      <c r="C152" s="1852"/>
      <c r="D152" s="1852"/>
      <c r="E152" s="1852"/>
      <c r="F152" s="1844">
        <v>0.05</v>
      </c>
    </row>
    <row r="153" spans="1:6" ht="15" thickBot="1">
      <c r="A153" s="1838" t="s">
        <v>1409</v>
      </c>
      <c r="B153" s="1842" t="s">
        <v>2116</v>
      </c>
      <c r="C153" s="1852"/>
      <c r="D153" s="1852"/>
      <c r="E153" s="1852"/>
      <c r="F153" s="1844">
        <v>0.05</v>
      </c>
    </row>
    <row r="154" spans="1:6" ht="15" thickBot="1">
      <c r="A154" s="1838" t="s">
        <v>1409</v>
      </c>
      <c r="B154" s="1842" t="s">
        <v>2117</v>
      </c>
      <c r="C154" s="1852"/>
      <c r="D154" s="1852"/>
      <c r="E154" s="1852"/>
      <c r="F154" s="1844">
        <v>0.05</v>
      </c>
    </row>
    <row r="155" spans="1:6" ht="24.6" thickBot="1">
      <c r="A155" s="1838" t="s">
        <v>1409</v>
      </c>
      <c r="B155" s="1842" t="s">
        <v>2118</v>
      </c>
      <c r="C155" s="1852"/>
      <c r="D155" s="1852"/>
      <c r="E155" s="1852"/>
      <c r="F155" s="1844">
        <v>0.05</v>
      </c>
    </row>
    <row r="156" spans="1:6" ht="24.6" thickBot="1">
      <c r="A156" s="1838" t="s">
        <v>1409</v>
      </c>
      <c r="B156" s="1842" t="s">
        <v>2119</v>
      </c>
      <c r="C156" s="1852"/>
      <c r="D156" s="1852"/>
      <c r="E156" s="1852"/>
      <c r="F156" s="1844">
        <v>0.05</v>
      </c>
    </row>
    <row r="157" spans="1:6" ht="24.6" thickBot="1">
      <c r="A157" s="1846" t="s">
        <v>1409</v>
      </c>
      <c r="B157" s="1853" t="s">
        <v>2120</v>
      </c>
      <c r="C157" s="1849"/>
      <c r="D157" s="1849"/>
      <c r="E157" s="1849"/>
      <c r="F157" s="1854">
        <v>0.05</v>
      </c>
    </row>
    <row r="158" spans="1:6" ht="15" thickBot="1">
      <c r="A158" s="1838" t="s">
        <v>1411</v>
      </c>
      <c r="B158" s="1839" t="s">
        <v>2121</v>
      </c>
      <c r="C158" s="1840">
        <v>0.13</v>
      </c>
      <c r="D158" s="1840">
        <v>0.13</v>
      </c>
      <c r="E158" s="1840">
        <v>0.13</v>
      </c>
      <c r="F158" s="1841">
        <v>0.13</v>
      </c>
    </row>
    <row r="159" spans="1:6" ht="15" thickBot="1">
      <c r="A159" s="1838" t="s">
        <v>1411</v>
      </c>
      <c r="B159" s="1842" t="s">
        <v>1076</v>
      </c>
      <c r="C159" s="1843">
        <v>0.13</v>
      </c>
      <c r="D159" s="1843">
        <v>0.13</v>
      </c>
      <c r="E159" s="1843">
        <v>0.13</v>
      </c>
      <c r="F159" s="1844">
        <v>0.13</v>
      </c>
    </row>
    <row r="160" spans="1:6" ht="15" thickBot="1">
      <c r="A160" s="1838" t="s">
        <v>1411</v>
      </c>
      <c r="B160" s="1842" t="s">
        <v>1090</v>
      </c>
      <c r="C160" s="1843">
        <v>0.13</v>
      </c>
      <c r="D160" s="1843">
        <v>0.13</v>
      </c>
      <c r="E160" s="1843">
        <v>0.129</v>
      </c>
      <c r="F160" s="1844">
        <v>0.13</v>
      </c>
    </row>
    <row r="161" spans="1:6" ht="15" thickBot="1">
      <c r="A161" s="1838" t="s">
        <v>1411</v>
      </c>
      <c r="B161" s="1842" t="s">
        <v>1103</v>
      </c>
      <c r="C161" s="1843">
        <v>0.128</v>
      </c>
      <c r="D161" s="1843">
        <v>0.128</v>
      </c>
      <c r="E161" s="1843">
        <v>0.125</v>
      </c>
      <c r="F161" s="1844">
        <v>0.13</v>
      </c>
    </row>
    <row r="162" spans="1:6" ht="15" thickBot="1">
      <c r="A162" s="1838" t="s">
        <v>1411</v>
      </c>
      <c r="B162" s="1842" t="s">
        <v>1117</v>
      </c>
      <c r="C162" s="1843">
        <v>0.122</v>
      </c>
      <c r="D162" s="1843">
        <v>0.122</v>
      </c>
      <c r="E162" s="1843">
        <v>0.126</v>
      </c>
      <c r="F162" s="1844">
        <v>0.122</v>
      </c>
    </row>
    <row r="163" spans="1:6" ht="15" thickBot="1">
      <c r="A163" s="1838" t="s">
        <v>1411</v>
      </c>
      <c r="B163" s="1842" t="s">
        <v>1128</v>
      </c>
      <c r="C163" s="1843">
        <v>0.13</v>
      </c>
      <c r="D163" s="1843">
        <v>0.13</v>
      </c>
      <c r="E163" s="1843">
        <v>0.125</v>
      </c>
      <c r="F163" s="1844">
        <v>0.13</v>
      </c>
    </row>
    <row r="164" spans="1:6" ht="15" thickBot="1">
      <c r="A164" s="1838" t="s">
        <v>1411</v>
      </c>
      <c r="B164" s="1842" t="s">
        <v>1139</v>
      </c>
      <c r="C164" s="1843">
        <v>0.13</v>
      </c>
      <c r="D164" s="1843">
        <v>0.13</v>
      </c>
      <c r="E164" s="1843">
        <v>0.13</v>
      </c>
      <c r="F164" s="1844">
        <v>0.13</v>
      </c>
    </row>
    <row r="165" spans="1:6" ht="15" thickBot="1">
      <c r="A165" s="1838" t="s">
        <v>1411</v>
      </c>
      <c r="B165" s="1842" t="s">
        <v>1150</v>
      </c>
      <c r="C165" s="1843">
        <v>0.13</v>
      </c>
      <c r="D165" s="1843">
        <v>0.13</v>
      </c>
      <c r="E165" s="1843">
        <v>0.124</v>
      </c>
      <c r="F165" s="1844">
        <v>0.13</v>
      </c>
    </row>
    <row r="166" spans="1:6" ht="15" thickBot="1">
      <c r="A166" s="1838" t="s">
        <v>1411</v>
      </c>
      <c r="B166" s="1842" t="s">
        <v>1162</v>
      </c>
      <c r="C166" s="1843">
        <v>0.13</v>
      </c>
      <c r="D166" s="1843">
        <v>0.13</v>
      </c>
      <c r="E166" s="1843">
        <v>0.13</v>
      </c>
      <c r="F166" s="1844">
        <v>0.13</v>
      </c>
    </row>
    <row r="167" spans="1:6" ht="15" thickBot="1">
      <c r="A167" s="1838" t="s">
        <v>1411</v>
      </c>
      <c r="B167" s="1842" t="s">
        <v>1172</v>
      </c>
      <c r="C167" s="1843">
        <v>0.125</v>
      </c>
      <c r="D167" s="1843">
        <v>0.125</v>
      </c>
      <c r="E167" s="1843">
        <v>0.121</v>
      </c>
      <c r="F167" s="1851"/>
    </row>
    <row r="168" spans="1:6" ht="15" thickBot="1">
      <c r="A168" s="1838" t="s">
        <v>1411</v>
      </c>
      <c r="B168" s="1842" t="s">
        <v>1182</v>
      </c>
      <c r="C168" s="1843">
        <v>0.13</v>
      </c>
      <c r="D168" s="1843">
        <v>0.13</v>
      </c>
      <c r="E168" s="1843">
        <v>0.126</v>
      </c>
      <c r="F168" s="1851"/>
    </row>
    <row r="169" spans="1:6" ht="15" thickBot="1">
      <c r="A169" s="1838" t="s">
        <v>1411</v>
      </c>
      <c r="B169" s="1842" t="s">
        <v>1192</v>
      </c>
      <c r="C169" s="1843">
        <v>0.128</v>
      </c>
      <c r="D169" s="1843">
        <v>0.129</v>
      </c>
      <c r="E169" s="1843">
        <v>0.13</v>
      </c>
      <c r="F169" s="1851"/>
    </row>
    <row r="170" spans="1:6" ht="15" thickBot="1">
      <c r="A170" s="1838" t="s">
        <v>1411</v>
      </c>
      <c r="B170" s="1842" t="s">
        <v>1202</v>
      </c>
      <c r="C170" s="1843">
        <v>0.14099999999999999</v>
      </c>
      <c r="D170" s="1843">
        <v>0.13</v>
      </c>
      <c r="E170" s="1843">
        <v>0.125</v>
      </c>
      <c r="F170" s="1851"/>
    </row>
    <row r="171" spans="1:6" ht="15" thickBot="1">
      <c r="A171" s="1838" t="s">
        <v>1411</v>
      </c>
      <c r="B171" s="1842" t="s">
        <v>2122</v>
      </c>
      <c r="C171" s="1843">
        <v>0.127</v>
      </c>
      <c r="D171" s="1843">
        <v>0.126</v>
      </c>
      <c r="E171" s="1843">
        <v>0.126</v>
      </c>
      <c r="F171" s="1844">
        <v>0.11799999999999999</v>
      </c>
    </row>
    <row r="172" spans="1:6" ht="15" thickBot="1">
      <c r="A172" s="1838" t="s">
        <v>1411</v>
      </c>
      <c r="B172" s="1842" t="s">
        <v>2123</v>
      </c>
      <c r="C172" s="1843">
        <v>0.13</v>
      </c>
      <c r="D172" s="1843">
        <v>0.13</v>
      </c>
      <c r="E172" s="1843">
        <v>0.13</v>
      </c>
      <c r="F172" s="1851"/>
    </row>
    <row r="173" spans="1:6" ht="15" thickBot="1">
      <c r="A173" s="1838" t="s">
        <v>1411</v>
      </c>
      <c r="B173" s="1842" t="s">
        <v>1232</v>
      </c>
      <c r="C173" s="1843">
        <v>0.13</v>
      </c>
      <c r="D173" s="1843">
        <v>0.13</v>
      </c>
      <c r="E173" s="1843">
        <v>0.13</v>
      </c>
      <c r="F173" s="1851"/>
    </row>
    <row r="174" spans="1:6" ht="15" thickBot="1">
      <c r="A174" s="1838" t="s">
        <v>1411</v>
      </c>
      <c r="B174" s="1842" t="s">
        <v>2124</v>
      </c>
      <c r="C174" s="1843">
        <v>0.13</v>
      </c>
      <c r="D174" s="1843">
        <v>0.13</v>
      </c>
      <c r="E174" s="1843">
        <v>0.13</v>
      </c>
      <c r="F174" s="1844">
        <v>0.13</v>
      </c>
    </row>
    <row r="175" spans="1:6" ht="15" thickBot="1">
      <c r="A175" s="1838" t="s">
        <v>1411</v>
      </c>
      <c r="B175" s="1842" t="s">
        <v>2125</v>
      </c>
      <c r="C175" s="1843">
        <v>0.13</v>
      </c>
      <c r="D175" s="1843">
        <v>0.13</v>
      </c>
      <c r="E175" s="1843">
        <v>0.13</v>
      </c>
      <c r="F175" s="1844">
        <v>0.13</v>
      </c>
    </row>
    <row r="176" spans="1:6" ht="15" thickBot="1">
      <c r="A176" s="1838" t="s">
        <v>1411</v>
      </c>
      <c r="B176" s="1842" t="s">
        <v>1262</v>
      </c>
      <c r="C176" s="1843">
        <v>0.13</v>
      </c>
      <c r="D176" s="1843">
        <v>0.13</v>
      </c>
      <c r="E176" s="1843">
        <v>0.13</v>
      </c>
      <c r="F176" s="1844">
        <v>0.13</v>
      </c>
    </row>
    <row r="177" spans="1:6" ht="15" thickBot="1">
      <c r="A177" s="1838" t="s">
        <v>1411</v>
      </c>
      <c r="B177" s="1842" t="s">
        <v>2126</v>
      </c>
      <c r="C177" s="1843">
        <v>0.13</v>
      </c>
      <c r="D177" s="1843">
        <v>0.13</v>
      </c>
      <c r="E177" s="1843">
        <v>0.13</v>
      </c>
      <c r="F177" s="1844">
        <v>0.13</v>
      </c>
    </row>
    <row r="178" spans="1:6" ht="15" thickBot="1">
      <c r="A178" s="1838" t="s">
        <v>1411</v>
      </c>
      <c r="B178" s="1842" t="s">
        <v>1280</v>
      </c>
      <c r="C178" s="1843">
        <v>0.13</v>
      </c>
      <c r="D178" s="1843">
        <v>0.13</v>
      </c>
      <c r="E178" s="1843">
        <v>0.13</v>
      </c>
      <c r="F178" s="1844">
        <v>0.127</v>
      </c>
    </row>
    <row r="179" spans="1:6" ht="15" thickBot="1">
      <c r="A179" s="1838" t="s">
        <v>1411</v>
      </c>
      <c r="B179" s="1842" t="s">
        <v>1288</v>
      </c>
      <c r="C179" s="1843">
        <v>0.13</v>
      </c>
      <c r="D179" s="1843">
        <v>0.13</v>
      </c>
      <c r="E179" s="1843">
        <v>0.13</v>
      </c>
      <c r="F179" s="1851"/>
    </row>
    <row r="180" spans="1:6" ht="15" thickBot="1">
      <c r="A180" s="1838" t="s">
        <v>1411</v>
      </c>
      <c r="B180" s="1842" t="s">
        <v>2127</v>
      </c>
      <c r="C180" s="1843">
        <v>0.13</v>
      </c>
      <c r="D180" s="1843">
        <v>0.13</v>
      </c>
      <c r="E180" s="1843">
        <v>0.125</v>
      </c>
      <c r="F180" s="1844">
        <v>0.13</v>
      </c>
    </row>
    <row r="181" spans="1:6" ht="15" thickBot="1">
      <c r="A181" s="1838" t="s">
        <v>1411</v>
      </c>
      <c r="B181" s="1842" t="s">
        <v>1302</v>
      </c>
      <c r="C181" s="1843">
        <v>0.122</v>
      </c>
      <c r="D181" s="1843">
        <v>0.123</v>
      </c>
      <c r="E181" s="1843">
        <v>0.126</v>
      </c>
      <c r="F181" s="1844">
        <v>0.121</v>
      </c>
    </row>
    <row r="182" spans="1:6" ht="15" thickBot="1">
      <c r="A182" s="1838" t="s">
        <v>1411</v>
      </c>
      <c r="B182" s="1842" t="s">
        <v>1309</v>
      </c>
      <c r="C182" s="1843">
        <v>0.125</v>
      </c>
      <c r="D182" s="1843">
        <v>0.125</v>
      </c>
      <c r="E182" s="1843">
        <v>0.11700000000000001</v>
      </c>
      <c r="F182" s="1844">
        <v>0.13</v>
      </c>
    </row>
    <row r="183" spans="1:6" ht="15" thickBot="1">
      <c r="A183" s="1838" t="s">
        <v>1411</v>
      </c>
      <c r="B183" s="1842" t="s">
        <v>1316</v>
      </c>
      <c r="C183" s="1843">
        <v>0.127</v>
      </c>
      <c r="D183" s="1843">
        <v>0.127</v>
      </c>
      <c r="E183" s="1843">
        <v>0.128</v>
      </c>
      <c r="F183" s="1851"/>
    </row>
    <row r="184" spans="1:6" ht="15" thickBot="1">
      <c r="A184" s="1838" t="s">
        <v>1411</v>
      </c>
      <c r="B184" s="1842" t="s">
        <v>1323</v>
      </c>
      <c r="C184" s="1843">
        <v>0.125</v>
      </c>
      <c r="D184" s="1843">
        <v>0.125</v>
      </c>
      <c r="E184" s="1843">
        <v>0.127</v>
      </c>
      <c r="F184" s="1851"/>
    </row>
    <row r="185" spans="1:6" ht="15" thickBot="1">
      <c r="A185" s="1838" t="s">
        <v>1411</v>
      </c>
      <c r="B185" s="1842" t="s">
        <v>2128</v>
      </c>
      <c r="C185" s="1843">
        <v>0.127</v>
      </c>
      <c r="D185" s="1843">
        <v>0.127</v>
      </c>
      <c r="E185" s="1843">
        <v>0.128</v>
      </c>
      <c r="F185" s="1844">
        <v>0.13</v>
      </c>
    </row>
    <row r="186" spans="1:6" ht="24.6" thickBot="1">
      <c r="A186" s="1838" t="s">
        <v>1411</v>
      </c>
      <c r="B186" s="1842" t="s">
        <v>2129</v>
      </c>
      <c r="C186" s="1852"/>
      <c r="D186" s="1852"/>
      <c r="E186" s="1852"/>
      <c r="F186" s="1844">
        <v>0.05</v>
      </c>
    </row>
    <row r="187" spans="1:6" ht="15" thickBot="1">
      <c r="A187" s="1838" t="s">
        <v>1411</v>
      </c>
      <c r="B187" s="1842" t="s">
        <v>2130</v>
      </c>
      <c r="C187" s="1852"/>
      <c r="D187" s="1852"/>
      <c r="E187" s="1852"/>
      <c r="F187" s="1844">
        <v>0.05</v>
      </c>
    </row>
    <row r="188" spans="1:6" ht="24.6" thickBot="1">
      <c r="A188" s="1838" t="s">
        <v>1411</v>
      </c>
      <c r="B188" s="1842" t="s">
        <v>2131</v>
      </c>
      <c r="C188" s="1852"/>
      <c r="D188" s="1852"/>
      <c r="E188" s="1852"/>
      <c r="F188" s="1844">
        <v>0.05</v>
      </c>
    </row>
    <row r="189" spans="1:6" ht="24.6" thickBot="1">
      <c r="A189" s="1838" t="s">
        <v>1411</v>
      </c>
      <c r="B189" s="1842" t="s">
        <v>2132</v>
      </c>
      <c r="C189" s="1852"/>
      <c r="D189" s="1852"/>
      <c r="E189" s="1852"/>
      <c r="F189" s="1844">
        <v>0.05</v>
      </c>
    </row>
    <row r="190" spans="1:6" ht="24.6" thickBot="1">
      <c r="A190" s="1838" t="s">
        <v>1411</v>
      </c>
      <c r="B190" s="1842" t="s">
        <v>2133</v>
      </c>
      <c r="C190" s="1852"/>
      <c r="D190" s="1852"/>
      <c r="E190" s="1852"/>
      <c r="F190" s="1844">
        <v>0.05</v>
      </c>
    </row>
    <row r="191" spans="1:6" ht="24.6" thickBot="1">
      <c r="A191" s="1838" t="s">
        <v>1411</v>
      </c>
      <c r="B191" s="1842" t="s">
        <v>2134</v>
      </c>
      <c r="C191" s="1852"/>
      <c r="D191" s="1852"/>
      <c r="E191" s="1852"/>
      <c r="F191" s="1844">
        <v>0.05</v>
      </c>
    </row>
    <row r="192" spans="1:6" ht="24.6" thickBot="1">
      <c r="A192" s="1838" t="s">
        <v>1411</v>
      </c>
      <c r="B192" s="1842" t="s">
        <v>2135</v>
      </c>
      <c r="C192" s="1852"/>
      <c r="D192" s="1852"/>
      <c r="E192" s="1852"/>
      <c r="F192" s="1844">
        <v>0.05</v>
      </c>
    </row>
    <row r="193" spans="1:6" ht="24.6" thickBot="1">
      <c r="A193" s="1838" t="s">
        <v>1411</v>
      </c>
      <c r="B193" s="1842" t="s">
        <v>2136</v>
      </c>
      <c r="C193" s="1852"/>
      <c r="D193" s="1852"/>
      <c r="E193" s="1852"/>
      <c r="F193" s="1844">
        <v>0.05</v>
      </c>
    </row>
    <row r="194" spans="1:6" ht="24.6" thickBot="1">
      <c r="A194" s="1838" t="s">
        <v>1411</v>
      </c>
      <c r="B194" s="1842" t="s">
        <v>2137</v>
      </c>
      <c r="C194" s="1852"/>
      <c r="D194" s="1852"/>
      <c r="E194" s="1852"/>
      <c r="F194" s="1844">
        <v>0.05</v>
      </c>
    </row>
    <row r="195" spans="1:6" ht="15" thickBot="1">
      <c r="A195" s="1838" t="s">
        <v>1411</v>
      </c>
      <c r="B195" s="1842" t="s">
        <v>2138</v>
      </c>
      <c r="C195" s="1852"/>
      <c r="D195" s="1852"/>
      <c r="E195" s="1852"/>
      <c r="F195" s="1844">
        <v>0.05</v>
      </c>
    </row>
    <row r="196" spans="1:6" ht="24.6" thickBot="1">
      <c r="A196" s="1838" t="s">
        <v>1411</v>
      </c>
      <c r="B196" s="1842" t="s">
        <v>2139</v>
      </c>
      <c r="C196" s="1852"/>
      <c r="D196" s="1852"/>
      <c r="E196" s="1852"/>
      <c r="F196" s="1844">
        <v>0.05</v>
      </c>
    </row>
    <row r="197" spans="1:6" ht="24.6" thickBot="1">
      <c r="A197" s="1838" t="s">
        <v>1411</v>
      </c>
      <c r="B197" s="1842" t="s">
        <v>2140</v>
      </c>
      <c r="C197" s="1852"/>
      <c r="D197" s="1852"/>
      <c r="E197" s="1852"/>
      <c r="F197" s="1844">
        <v>0.05</v>
      </c>
    </row>
    <row r="198" spans="1:6" ht="24.6" thickBot="1">
      <c r="A198" s="1838" t="s">
        <v>1411</v>
      </c>
      <c r="B198" s="1842" t="s">
        <v>2141</v>
      </c>
      <c r="C198" s="1852"/>
      <c r="D198" s="1852"/>
      <c r="E198" s="1852"/>
      <c r="F198" s="1844">
        <v>0.05</v>
      </c>
    </row>
    <row r="199" spans="1:6" ht="24.6" thickBot="1">
      <c r="A199" s="1838" t="s">
        <v>1411</v>
      </c>
      <c r="B199" s="1842" t="s">
        <v>2142</v>
      </c>
      <c r="C199" s="1852"/>
      <c r="D199" s="1852"/>
      <c r="E199" s="1852"/>
      <c r="F199" s="1844">
        <v>0.05</v>
      </c>
    </row>
    <row r="200" spans="1:6" ht="24.6" thickBot="1">
      <c r="A200" s="1838" t="s">
        <v>1411</v>
      </c>
      <c r="B200" s="1842" t="s">
        <v>2143</v>
      </c>
      <c r="C200" s="1852"/>
      <c r="D200" s="1852"/>
      <c r="E200" s="1852"/>
      <c r="F200" s="1844">
        <v>0.05</v>
      </c>
    </row>
    <row r="201" spans="1:6" ht="24.6" thickBot="1">
      <c r="A201" s="1838" t="s">
        <v>1411</v>
      </c>
      <c r="B201" s="1842" t="s">
        <v>2144</v>
      </c>
      <c r="C201" s="1852"/>
      <c r="D201" s="1852"/>
      <c r="E201" s="1852"/>
      <c r="F201" s="1844">
        <v>0.05</v>
      </c>
    </row>
    <row r="202" spans="1:6" ht="24.6" thickBot="1">
      <c r="A202" s="1838" t="s">
        <v>1411</v>
      </c>
      <c r="B202" s="1842" t="s">
        <v>2145</v>
      </c>
      <c r="C202" s="1852"/>
      <c r="D202" s="1852"/>
      <c r="E202" s="1852"/>
      <c r="F202" s="1844">
        <v>0.05</v>
      </c>
    </row>
    <row r="203" spans="1:6" ht="24.6" thickBot="1">
      <c r="A203" s="1838" t="s">
        <v>1411</v>
      </c>
      <c r="B203" s="1842" t="s">
        <v>2146</v>
      </c>
      <c r="C203" s="1852"/>
      <c r="D203" s="1852"/>
      <c r="E203" s="1852"/>
      <c r="F203" s="1844">
        <v>0.05</v>
      </c>
    </row>
    <row r="204" spans="1:6" ht="15" thickBot="1">
      <c r="A204" s="1838" t="s">
        <v>1411</v>
      </c>
      <c r="B204" s="1842" t="s">
        <v>2147</v>
      </c>
      <c r="C204" s="1852"/>
      <c r="D204" s="1852"/>
      <c r="E204" s="1852"/>
      <c r="F204" s="1844">
        <v>0.05</v>
      </c>
    </row>
    <row r="205" spans="1:6" ht="15" thickBot="1">
      <c r="A205" s="1846" t="s">
        <v>1411</v>
      </c>
      <c r="B205" s="1853" t="s">
        <v>2148</v>
      </c>
      <c r="C205" s="1849"/>
      <c r="D205" s="1849"/>
      <c r="E205" s="1849"/>
      <c r="F205" s="1854">
        <v>0.05</v>
      </c>
    </row>
    <row r="206" spans="1:6" ht="15" thickBot="1">
      <c r="A206" s="1838" t="s">
        <v>1413</v>
      </c>
      <c r="B206" s="1839" t="s">
        <v>2149</v>
      </c>
      <c r="C206" s="1840">
        <v>0.15</v>
      </c>
      <c r="D206" s="1840">
        <v>0.15</v>
      </c>
      <c r="E206" s="1840">
        <v>0.15</v>
      </c>
      <c r="F206" s="1841">
        <v>0.15</v>
      </c>
    </row>
    <row r="207" spans="1:6" ht="15" thickBot="1">
      <c r="A207" s="1838" t="s">
        <v>1413</v>
      </c>
      <c r="B207" s="1842" t="s">
        <v>1077</v>
      </c>
      <c r="C207" s="1843">
        <v>0.15</v>
      </c>
      <c r="D207" s="1843">
        <v>0.15</v>
      </c>
      <c r="E207" s="1843">
        <v>0.15</v>
      </c>
      <c r="F207" s="1844">
        <v>0.14399999999999999</v>
      </c>
    </row>
    <row r="208" spans="1:6" ht="15" thickBot="1">
      <c r="A208" s="1838" t="s">
        <v>1413</v>
      </c>
      <c r="B208" s="1842" t="s">
        <v>1091</v>
      </c>
      <c r="C208" s="1843">
        <v>0.15</v>
      </c>
      <c r="D208" s="1843">
        <v>0.15</v>
      </c>
      <c r="E208" s="1843">
        <v>0.15</v>
      </c>
      <c r="F208" s="1844">
        <v>0.15</v>
      </c>
    </row>
    <row r="209" spans="1:6" ht="15" thickBot="1">
      <c r="A209" s="1838" t="s">
        <v>1413</v>
      </c>
      <c r="B209" s="1842" t="s">
        <v>1104</v>
      </c>
      <c r="C209" s="1843">
        <v>0.13700000000000001</v>
      </c>
      <c r="D209" s="1843">
        <v>0.13700000000000001</v>
      </c>
      <c r="E209" s="1843">
        <v>0.14000000000000001</v>
      </c>
      <c r="F209" s="1844">
        <v>0.11700000000000001</v>
      </c>
    </row>
    <row r="210" spans="1:6" ht="15" thickBot="1">
      <c r="A210" s="1838" t="s">
        <v>1413</v>
      </c>
      <c r="B210" s="1842" t="s">
        <v>2150</v>
      </c>
      <c r="C210" s="1843">
        <v>0.15</v>
      </c>
      <c r="D210" s="1843">
        <v>0.15</v>
      </c>
      <c r="E210" s="1843">
        <v>0.15</v>
      </c>
      <c r="F210" s="1844">
        <v>0.13800000000000001</v>
      </c>
    </row>
    <row r="211" spans="1:6" ht="15" thickBot="1">
      <c r="A211" s="1838" t="s">
        <v>1413</v>
      </c>
      <c r="B211" s="1842" t="s">
        <v>2151</v>
      </c>
      <c r="C211" s="1843">
        <v>0.13700000000000001</v>
      </c>
      <c r="D211" s="1843">
        <v>0.13500000000000001</v>
      </c>
      <c r="E211" s="1843">
        <v>0.13600000000000001</v>
      </c>
      <c r="F211" s="1844">
        <v>0.1</v>
      </c>
    </row>
    <row r="212" spans="1:6" ht="15" thickBot="1">
      <c r="A212" s="1838" t="s">
        <v>1413</v>
      </c>
      <c r="B212" s="1842" t="s">
        <v>2152</v>
      </c>
      <c r="C212" s="1843">
        <v>0.15</v>
      </c>
      <c r="D212" s="1843">
        <v>0.15</v>
      </c>
      <c r="E212" s="1843">
        <v>0.14799999999999999</v>
      </c>
      <c r="F212" s="1844">
        <v>0.13600000000000001</v>
      </c>
    </row>
    <row r="213" spans="1:6" ht="15" thickBot="1">
      <c r="A213" s="1838" t="s">
        <v>1413</v>
      </c>
      <c r="B213" s="1842" t="s">
        <v>1151</v>
      </c>
      <c r="C213" s="1843">
        <v>0.15</v>
      </c>
      <c r="D213" s="1843">
        <v>0.15</v>
      </c>
      <c r="E213" s="1843">
        <v>0.15</v>
      </c>
      <c r="F213" s="1844">
        <v>0.13800000000000001</v>
      </c>
    </row>
    <row r="214" spans="1:6" ht="15" thickBot="1">
      <c r="A214" s="1838" t="s">
        <v>1413</v>
      </c>
      <c r="B214" s="1842" t="s">
        <v>1163</v>
      </c>
      <c r="C214" s="1843">
        <v>9.0999999999999998E-2</v>
      </c>
      <c r="D214" s="1843">
        <v>0.09</v>
      </c>
      <c r="E214" s="1843">
        <v>9.1999999999999998E-2</v>
      </c>
      <c r="F214" s="1851"/>
    </row>
    <row r="215" spans="1:6" ht="15" thickBot="1">
      <c r="A215" s="1838" t="s">
        <v>1413</v>
      </c>
      <c r="B215" s="1842" t="s">
        <v>2153</v>
      </c>
      <c r="C215" s="1843">
        <v>0.15</v>
      </c>
      <c r="D215" s="1843">
        <v>0.15</v>
      </c>
      <c r="E215" s="1843">
        <v>0.15</v>
      </c>
      <c r="F215" s="1844">
        <v>0.15</v>
      </c>
    </row>
    <row r="216" spans="1:6" ht="15" thickBot="1">
      <c r="A216" s="1838" t="s">
        <v>1413</v>
      </c>
      <c r="B216" s="1842" t="s">
        <v>1183</v>
      </c>
      <c r="C216" s="1843">
        <v>0.14699999999999999</v>
      </c>
      <c r="D216" s="1843">
        <v>0.14699999999999999</v>
      </c>
      <c r="E216" s="1843">
        <v>0.15</v>
      </c>
      <c r="F216" s="1844">
        <v>0.14000000000000001</v>
      </c>
    </row>
    <row r="217" spans="1:6" ht="15" thickBot="1">
      <c r="A217" s="1838" t="s">
        <v>1413</v>
      </c>
      <c r="B217" s="1842" t="s">
        <v>1193</v>
      </c>
      <c r="C217" s="1843">
        <v>0.15</v>
      </c>
      <c r="D217" s="1843">
        <v>0.15</v>
      </c>
      <c r="E217" s="1843">
        <v>0.15</v>
      </c>
      <c r="F217" s="1844">
        <v>0.15</v>
      </c>
    </row>
    <row r="218" spans="1:6" ht="15" thickBot="1">
      <c r="A218" s="1838" t="s">
        <v>1413</v>
      </c>
      <c r="B218" s="1842" t="s">
        <v>2154</v>
      </c>
      <c r="C218" s="1843">
        <v>0.15</v>
      </c>
      <c r="D218" s="1843">
        <v>0.15</v>
      </c>
      <c r="E218" s="1843">
        <v>0.15</v>
      </c>
      <c r="F218" s="1844">
        <v>0.15</v>
      </c>
    </row>
    <row r="219" spans="1:6" ht="15" thickBot="1">
      <c r="A219" s="1838" t="s">
        <v>1413</v>
      </c>
      <c r="B219" s="1842" t="s">
        <v>1213</v>
      </c>
      <c r="C219" s="1843">
        <v>0.15</v>
      </c>
      <c r="D219" s="1843">
        <v>0.15</v>
      </c>
      <c r="E219" s="1843">
        <v>0.15</v>
      </c>
      <c r="F219" s="1844">
        <v>0.14799999999999999</v>
      </c>
    </row>
    <row r="220" spans="1:6" ht="15" thickBot="1">
      <c r="A220" s="1838" t="s">
        <v>1413</v>
      </c>
      <c r="B220" s="1842" t="s">
        <v>2155</v>
      </c>
      <c r="C220" s="1843">
        <v>0.15</v>
      </c>
      <c r="D220" s="1843">
        <v>0.15</v>
      </c>
      <c r="E220" s="1843">
        <v>0.15</v>
      </c>
      <c r="F220" s="1844">
        <v>0.15</v>
      </c>
    </row>
    <row r="221" spans="1:6" ht="15" thickBot="1">
      <c r="A221" s="1838" t="s">
        <v>1413</v>
      </c>
      <c r="B221" s="1842" t="s">
        <v>1233</v>
      </c>
      <c r="C221" s="1843"/>
      <c r="D221" s="1852"/>
      <c r="E221" s="1852"/>
      <c r="F221" s="1844">
        <v>0.14799999999999999</v>
      </c>
    </row>
    <row r="222" spans="1:6" ht="15" thickBot="1">
      <c r="A222" s="1838" t="s">
        <v>1413</v>
      </c>
      <c r="B222" s="1842" t="s">
        <v>1243</v>
      </c>
      <c r="C222" s="1843"/>
      <c r="D222" s="1852"/>
      <c r="E222" s="1852"/>
      <c r="F222" s="1844">
        <v>0.1</v>
      </c>
    </row>
    <row r="223" spans="1:6" ht="15" thickBot="1">
      <c r="A223" s="1838" t="s">
        <v>1413</v>
      </c>
      <c r="B223" s="1842" t="s">
        <v>1253</v>
      </c>
      <c r="C223" s="1843"/>
      <c r="D223" s="1852"/>
      <c r="E223" s="1852"/>
      <c r="F223" s="1844">
        <v>0.15</v>
      </c>
    </row>
    <row r="224" spans="1:6" ht="15" thickBot="1">
      <c r="A224" s="1838" t="s">
        <v>1413</v>
      </c>
      <c r="B224" s="1842" t="s">
        <v>1263</v>
      </c>
      <c r="C224" s="1843"/>
      <c r="D224" s="1852"/>
      <c r="E224" s="1852"/>
      <c r="F224" s="1844">
        <v>0.15</v>
      </c>
    </row>
    <row r="225" spans="1:6" ht="15" thickBot="1">
      <c r="A225" s="1838" t="s">
        <v>1413</v>
      </c>
      <c r="B225" s="1842" t="s">
        <v>2156</v>
      </c>
      <c r="C225" s="1843">
        <v>0.15</v>
      </c>
      <c r="D225" s="1843">
        <v>0.15</v>
      </c>
      <c r="E225" s="1843">
        <v>0.15</v>
      </c>
      <c r="F225" s="1844">
        <v>0.15</v>
      </c>
    </row>
    <row r="226" spans="1:6" ht="15" thickBot="1">
      <c r="A226" s="1838" t="s">
        <v>1413</v>
      </c>
      <c r="B226" s="1842" t="s">
        <v>1281</v>
      </c>
      <c r="C226" s="1843">
        <v>0.15</v>
      </c>
      <c r="D226" s="1843">
        <v>0.15</v>
      </c>
      <c r="E226" s="1843">
        <v>0.15</v>
      </c>
      <c r="F226" s="1844">
        <v>0.14799999999999999</v>
      </c>
    </row>
    <row r="227" spans="1:6" ht="15" thickBot="1">
      <c r="A227" s="1838" t="s">
        <v>1413</v>
      </c>
      <c r="B227" s="1842" t="s">
        <v>2157</v>
      </c>
      <c r="C227" s="1843">
        <v>0.15</v>
      </c>
      <c r="D227" s="1843">
        <v>0.15</v>
      </c>
      <c r="E227" s="1843">
        <v>0.15</v>
      </c>
      <c r="F227" s="1844">
        <v>0.15</v>
      </c>
    </row>
    <row r="228" spans="1:6" ht="15" thickBot="1">
      <c r="A228" s="1838" t="s">
        <v>1413</v>
      </c>
      <c r="B228" s="1842" t="s">
        <v>1296</v>
      </c>
      <c r="C228" s="1843">
        <v>0.15</v>
      </c>
      <c r="D228" s="1843">
        <v>0.15</v>
      </c>
      <c r="E228" s="1843">
        <v>0.15</v>
      </c>
      <c r="F228" s="1844">
        <v>0.15</v>
      </c>
    </row>
    <row r="229" spans="1:6" ht="15" thickBot="1">
      <c r="A229" s="1838" t="s">
        <v>1413</v>
      </c>
      <c r="B229" s="1842" t="s">
        <v>1303</v>
      </c>
      <c r="C229" s="1843">
        <v>0.15</v>
      </c>
      <c r="D229" s="1843">
        <v>0.15</v>
      </c>
      <c r="E229" s="1843">
        <v>0.15</v>
      </c>
      <c r="F229" s="1851"/>
    </row>
    <row r="230" spans="1:6" ht="15" thickBot="1">
      <c r="A230" s="1838" t="s">
        <v>1413</v>
      </c>
      <c r="B230" s="1842" t="s">
        <v>1310</v>
      </c>
      <c r="C230" s="1843">
        <v>0.14499999999999999</v>
      </c>
      <c r="D230" s="1843">
        <v>0.14499999999999999</v>
      </c>
      <c r="E230" s="1843">
        <v>0.14399999999999999</v>
      </c>
      <c r="F230" s="1851"/>
    </row>
    <row r="231" spans="1:6" ht="15" thickBot="1">
      <c r="A231" s="1838" t="s">
        <v>1413</v>
      </c>
      <c r="B231" s="1842" t="s">
        <v>2158</v>
      </c>
      <c r="C231" s="1843">
        <v>0.128</v>
      </c>
      <c r="D231" s="1843">
        <v>0.125</v>
      </c>
      <c r="E231" s="1843">
        <v>0.13200000000000001</v>
      </c>
      <c r="F231" s="1851"/>
    </row>
    <row r="232" spans="1:6" ht="15" thickBot="1">
      <c r="A232" s="1838" t="s">
        <v>1413</v>
      </c>
      <c r="B232" s="1842" t="s">
        <v>2159</v>
      </c>
      <c r="C232" s="1843">
        <v>0.14499999999999999</v>
      </c>
      <c r="D232" s="1843">
        <v>0.14399999999999999</v>
      </c>
      <c r="E232" s="1843">
        <v>0.14599999999999999</v>
      </c>
      <c r="F232" s="1844">
        <v>0.13800000000000001</v>
      </c>
    </row>
    <row r="233" spans="1:6" ht="15" thickBot="1">
      <c r="A233" s="1838" t="s">
        <v>1413</v>
      </c>
      <c r="B233" s="1842" t="s">
        <v>2160</v>
      </c>
      <c r="C233" s="1843">
        <v>0.14499999999999999</v>
      </c>
      <c r="D233" s="1843">
        <v>0.14299999999999999</v>
      </c>
      <c r="E233" s="1843">
        <v>0.14199999999999999</v>
      </c>
      <c r="F233" s="1851"/>
    </row>
    <row r="234" spans="1:6" ht="15" thickBot="1">
      <c r="A234" s="1838" t="s">
        <v>1413</v>
      </c>
      <c r="B234" s="1842" t="s">
        <v>2161</v>
      </c>
      <c r="C234" s="1843">
        <v>0.14000000000000001</v>
      </c>
      <c r="D234" s="1843">
        <v>0.14000000000000001</v>
      </c>
      <c r="E234" s="1843">
        <v>0.14399999999999999</v>
      </c>
      <c r="F234" s="1851"/>
    </row>
    <row r="235" spans="1:6" ht="15" thickBot="1">
      <c r="A235" s="1838" t="s">
        <v>1413</v>
      </c>
      <c r="B235" s="1842" t="s">
        <v>2162</v>
      </c>
      <c r="C235" s="1843">
        <v>0.14099999999999999</v>
      </c>
      <c r="D235" s="1843">
        <v>0.14199999999999999</v>
      </c>
      <c r="E235" s="1843">
        <v>0.14499999999999999</v>
      </c>
      <c r="F235" s="1844">
        <v>0.15</v>
      </c>
    </row>
    <row r="236" spans="1:6" ht="15" thickBot="1">
      <c r="A236" s="1838" t="s">
        <v>1413</v>
      </c>
      <c r="B236" s="1842" t="s">
        <v>1345</v>
      </c>
      <c r="C236" s="1852"/>
      <c r="D236" s="1852"/>
      <c r="E236" s="1852"/>
      <c r="F236" s="1844">
        <v>0.14299999999999999</v>
      </c>
    </row>
    <row r="237" spans="1:6" ht="24.6" thickBot="1">
      <c r="A237" s="1838" t="s">
        <v>1413</v>
      </c>
      <c r="B237" s="1842" t="s">
        <v>2163</v>
      </c>
      <c r="C237" s="1852"/>
      <c r="D237" s="1852"/>
      <c r="E237" s="1852"/>
      <c r="F237" s="1844">
        <v>0.05</v>
      </c>
    </row>
    <row r="238" spans="1:6" ht="24.6" thickBot="1">
      <c r="A238" s="1838" t="s">
        <v>1413</v>
      </c>
      <c r="B238" s="1842" t="s">
        <v>2164</v>
      </c>
      <c r="C238" s="1852"/>
      <c r="D238" s="1852"/>
      <c r="E238" s="1852"/>
      <c r="F238" s="1844">
        <v>0.05</v>
      </c>
    </row>
    <row r="239" spans="1:6" ht="24.6" thickBot="1">
      <c r="A239" s="1838" t="s">
        <v>1413</v>
      </c>
      <c r="B239" s="1842" t="s">
        <v>2165</v>
      </c>
      <c r="C239" s="1852"/>
      <c r="D239" s="1852"/>
      <c r="E239" s="1852"/>
      <c r="F239" s="1844">
        <v>0.05</v>
      </c>
    </row>
    <row r="240" spans="1:6" ht="24.6" thickBot="1">
      <c r="A240" s="1838" t="s">
        <v>1413</v>
      </c>
      <c r="B240" s="1842" t="s">
        <v>2166</v>
      </c>
      <c r="C240" s="1852"/>
      <c r="D240" s="1852"/>
      <c r="E240" s="1852"/>
      <c r="F240" s="1844">
        <v>0.05</v>
      </c>
    </row>
    <row r="241" spans="1:6" ht="24.6" thickBot="1">
      <c r="A241" s="1838" t="s">
        <v>1413</v>
      </c>
      <c r="B241" s="1842" t="s">
        <v>2167</v>
      </c>
      <c r="C241" s="1852"/>
      <c r="D241" s="1852"/>
      <c r="E241" s="1852"/>
      <c r="F241" s="1844">
        <v>0.05</v>
      </c>
    </row>
    <row r="242" spans="1:6" ht="24.6" thickBot="1">
      <c r="A242" s="1838" t="s">
        <v>1413</v>
      </c>
      <c r="B242" s="1842" t="s">
        <v>2168</v>
      </c>
      <c r="C242" s="1852"/>
      <c r="D242" s="1852"/>
      <c r="E242" s="1852"/>
      <c r="F242" s="1844">
        <v>0.05</v>
      </c>
    </row>
    <row r="243" spans="1:6" ht="24.6" thickBot="1">
      <c r="A243" s="1838" t="s">
        <v>1413</v>
      </c>
      <c r="B243" s="1842" t="s">
        <v>2169</v>
      </c>
      <c r="C243" s="1852"/>
      <c r="D243" s="1852"/>
      <c r="E243" s="1852"/>
      <c r="F243" s="1844">
        <v>0.05</v>
      </c>
    </row>
    <row r="244" spans="1:6" ht="24.6" thickBot="1">
      <c r="A244" s="1846" t="s">
        <v>1413</v>
      </c>
      <c r="B244" s="1853" t="s">
        <v>2170</v>
      </c>
      <c r="C244" s="1849"/>
      <c r="D244" s="1849"/>
      <c r="E244" s="1849"/>
      <c r="F244" s="1854">
        <v>0.05</v>
      </c>
    </row>
    <row r="245" spans="1:6" ht="15" thickBot="1">
      <c r="A245" s="1838" t="s">
        <v>1415</v>
      </c>
      <c r="B245" s="1839" t="s">
        <v>2171</v>
      </c>
      <c r="C245" s="1840">
        <v>0.15</v>
      </c>
      <c r="D245" s="1840">
        <v>0.15</v>
      </c>
      <c r="E245" s="1840">
        <v>0.15</v>
      </c>
      <c r="F245" s="1841">
        <v>0.14299999999999999</v>
      </c>
    </row>
    <row r="246" spans="1:6" ht="15" thickBot="1">
      <c r="A246" s="1838" t="s">
        <v>1415</v>
      </c>
      <c r="B246" s="1842" t="s">
        <v>1078</v>
      </c>
      <c r="C246" s="1843">
        <v>0.15</v>
      </c>
      <c r="D246" s="1843">
        <v>0.15</v>
      </c>
      <c r="E246" s="1843">
        <v>0.15</v>
      </c>
      <c r="F246" s="1844">
        <v>0.114</v>
      </c>
    </row>
    <row r="247" spans="1:6" ht="15" thickBot="1">
      <c r="A247" s="1838" t="s">
        <v>1415</v>
      </c>
      <c r="B247" s="1842" t="s">
        <v>2172</v>
      </c>
      <c r="C247" s="1843">
        <v>0.15</v>
      </c>
      <c r="D247" s="1843">
        <v>0.15</v>
      </c>
      <c r="E247" s="1843">
        <v>0.15</v>
      </c>
      <c r="F247" s="1844">
        <v>0.15</v>
      </c>
    </row>
    <row r="248" spans="1:6" ht="15" thickBot="1">
      <c r="A248" s="1838" t="s">
        <v>1415</v>
      </c>
      <c r="B248" s="1842" t="s">
        <v>2173</v>
      </c>
      <c r="C248" s="1843">
        <v>0.15</v>
      </c>
      <c r="D248" s="1843">
        <v>0.15</v>
      </c>
      <c r="E248" s="1843">
        <v>0.15</v>
      </c>
      <c r="F248" s="1844">
        <v>0.14000000000000001</v>
      </c>
    </row>
    <row r="249" spans="1:6" ht="15" thickBot="1">
      <c r="A249" s="1838" t="s">
        <v>1415</v>
      </c>
      <c r="B249" s="1842" t="s">
        <v>2174</v>
      </c>
      <c r="C249" s="1843">
        <v>0.15</v>
      </c>
      <c r="D249" s="1843">
        <v>0.14899999999999999</v>
      </c>
      <c r="E249" s="1843">
        <v>0.15</v>
      </c>
      <c r="F249" s="1844">
        <v>0.1</v>
      </c>
    </row>
    <row r="250" spans="1:6" ht="15" thickBot="1">
      <c r="A250" s="1838" t="s">
        <v>1415</v>
      </c>
      <c r="B250" s="1842" t="s">
        <v>2175</v>
      </c>
      <c r="C250" s="1843">
        <v>0.15</v>
      </c>
      <c r="D250" s="1843">
        <v>0.15</v>
      </c>
      <c r="E250" s="1843">
        <v>0.15</v>
      </c>
      <c r="F250" s="1844">
        <v>0.14399999999999999</v>
      </c>
    </row>
    <row r="251" spans="1:6" ht="15" thickBot="1">
      <c r="A251" s="1838" t="s">
        <v>1415</v>
      </c>
      <c r="B251" s="1842" t="s">
        <v>1141</v>
      </c>
      <c r="C251" s="1843">
        <v>0.15</v>
      </c>
      <c r="D251" s="1843">
        <v>0.15</v>
      </c>
      <c r="E251" s="1843">
        <v>0.15</v>
      </c>
      <c r="F251" s="1844">
        <v>0.14299999999999999</v>
      </c>
    </row>
    <row r="252" spans="1:6" ht="15" thickBot="1">
      <c r="A252" s="1838" t="s">
        <v>1415</v>
      </c>
      <c r="B252" s="1842" t="s">
        <v>1152</v>
      </c>
      <c r="C252" s="1843">
        <v>0.15</v>
      </c>
      <c r="D252" s="1843">
        <v>0.15</v>
      </c>
      <c r="E252" s="1843">
        <v>0.15</v>
      </c>
      <c r="F252" s="1844">
        <v>0.1</v>
      </c>
    </row>
    <row r="253" spans="1:6" ht="15" thickBot="1">
      <c r="A253" s="1838" t="s">
        <v>1415</v>
      </c>
      <c r="B253" s="1842" t="s">
        <v>1164</v>
      </c>
      <c r="C253" s="1843">
        <v>0.15</v>
      </c>
      <c r="D253" s="1843">
        <v>0.15</v>
      </c>
      <c r="E253" s="1843">
        <v>0.15</v>
      </c>
      <c r="F253" s="1844">
        <v>0.1</v>
      </c>
    </row>
    <row r="254" spans="1:6" ht="15" thickBot="1">
      <c r="A254" s="1838" t="s">
        <v>1415</v>
      </c>
      <c r="B254" s="1842" t="s">
        <v>1174</v>
      </c>
      <c r="C254" s="1852"/>
      <c r="D254" s="1852"/>
      <c r="E254" s="1852"/>
      <c r="F254" s="1844">
        <v>0.15</v>
      </c>
    </row>
    <row r="255" spans="1:6" ht="15" thickBot="1">
      <c r="A255" s="1838" t="s">
        <v>1415</v>
      </c>
      <c r="B255" s="1842" t="s">
        <v>1184</v>
      </c>
      <c r="C255" s="1852"/>
      <c r="D255" s="1852"/>
      <c r="E255" s="1852"/>
      <c r="F255" s="1844">
        <v>0.14299999999999999</v>
      </c>
    </row>
    <row r="256" spans="1:6" ht="15" thickBot="1">
      <c r="A256" s="1838" t="s">
        <v>1415</v>
      </c>
      <c r="B256" s="1842" t="s">
        <v>2176</v>
      </c>
      <c r="C256" s="1843">
        <v>0.14599999999999999</v>
      </c>
      <c r="D256" s="1843">
        <v>0.14699999999999999</v>
      </c>
      <c r="E256" s="1843">
        <v>0.15</v>
      </c>
      <c r="F256" s="1844">
        <v>0.13200000000000001</v>
      </c>
    </row>
    <row r="257" spans="1:6" ht="15" thickBot="1">
      <c r="A257" s="1838" t="s">
        <v>1415</v>
      </c>
      <c r="B257" s="1842" t="s">
        <v>1204</v>
      </c>
      <c r="C257" s="1843">
        <v>0.15</v>
      </c>
      <c r="D257" s="1843">
        <v>0.15</v>
      </c>
      <c r="E257" s="1843">
        <v>0.15</v>
      </c>
      <c r="F257" s="1844">
        <v>0.13900000000000001</v>
      </c>
    </row>
    <row r="258" spans="1:6" ht="15" thickBot="1">
      <c r="A258" s="1838" t="s">
        <v>1415</v>
      </c>
      <c r="B258" s="1842" t="s">
        <v>1214</v>
      </c>
      <c r="C258" s="1843">
        <v>0.15</v>
      </c>
      <c r="D258" s="1843">
        <v>0.15</v>
      </c>
      <c r="E258" s="1843">
        <v>0.15</v>
      </c>
      <c r="F258" s="1844">
        <v>0.13</v>
      </c>
    </row>
    <row r="259" spans="1:6" ht="15" thickBot="1">
      <c r="A259" s="1838" t="s">
        <v>1415</v>
      </c>
      <c r="B259" s="1842" t="s">
        <v>2177</v>
      </c>
      <c r="C259" s="1843">
        <v>0.14799999999999999</v>
      </c>
      <c r="D259" s="1843">
        <v>0.14899999999999999</v>
      </c>
      <c r="E259" s="1843">
        <v>0.15</v>
      </c>
      <c r="F259" s="1844">
        <v>0.13700000000000001</v>
      </c>
    </row>
    <row r="260" spans="1:6" ht="15" thickBot="1">
      <c r="A260" s="1838" t="s">
        <v>1415</v>
      </c>
      <c r="B260" s="1842" t="s">
        <v>1234</v>
      </c>
      <c r="C260" s="1843">
        <v>0.15</v>
      </c>
      <c r="D260" s="1843">
        <v>0.15</v>
      </c>
      <c r="E260" s="1843">
        <v>0.15</v>
      </c>
      <c r="F260" s="1844">
        <v>0.14199999999999999</v>
      </c>
    </row>
    <row r="261" spans="1:6" ht="15" thickBot="1">
      <c r="A261" s="1838" t="s">
        <v>1415</v>
      </c>
      <c r="B261" s="1842" t="s">
        <v>1244</v>
      </c>
      <c r="C261" s="1843">
        <v>0.15</v>
      </c>
      <c r="D261" s="1843">
        <v>0.15</v>
      </c>
      <c r="E261" s="1843">
        <v>0.14899999999999999</v>
      </c>
      <c r="F261" s="1844">
        <v>0.14799999999999999</v>
      </c>
    </row>
    <row r="262" spans="1:6" ht="15" thickBot="1">
      <c r="A262" s="1838" t="s">
        <v>1415</v>
      </c>
      <c r="B262" s="1842" t="s">
        <v>1254</v>
      </c>
      <c r="C262" s="1843">
        <v>0.15</v>
      </c>
      <c r="D262" s="1843">
        <v>0.15</v>
      </c>
      <c r="E262" s="1843">
        <v>0.15</v>
      </c>
      <c r="F262" s="1851"/>
    </row>
    <row r="263" spans="1:6" ht="15" thickBot="1">
      <c r="A263" s="1838" t="s">
        <v>1415</v>
      </c>
      <c r="B263" s="1842" t="s">
        <v>2178</v>
      </c>
      <c r="C263" s="1843">
        <v>0.14899999999999999</v>
      </c>
      <c r="D263" s="1843">
        <v>0.14899999999999999</v>
      </c>
      <c r="E263" s="1843">
        <v>0.15</v>
      </c>
      <c r="F263" s="1844">
        <v>0.13</v>
      </c>
    </row>
    <row r="264" spans="1:6" ht="15" thickBot="1">
      <c r="A264" s="1838" t="s">
        <v>1415</v>
      </c>
      <c r="B264" s="1842" t="s">
        <v>1273</v>
      </c>
      <c r="C264" s="1843">
        <v>0.14799999999999999</v>
      </c>
      <c r="D264" s="1843">
        <v>0.14699999999999999</v>
      </c>
      <c r="E264" s="1843">
        <v>0.15</v>
      </c>
      <c r="F264" s="1844">
        <v>7.8E-2</v>
      </c>
    </row>
    <row r="265" spans="1:6" ht="15" thickBot="1">
      <c r="A265" s="1838" t="s">
        <v>1415</v>
      </c>
      <c r="B265" s="1842" t="s">
        <v>1282</v>
      </c>
      <c r="C265" s="1843">
        <v>0.15</v>
      </c>
      <c r="D265" s="1843">
        <v>0.15</v>
      </c>
      <c r="E265" s="1843">
        <v>0.15</v>
      </c>
      <c r="F265" s="1844">
        <v>7.3999999999999996E-2</v>
      </c>
    </row>
    <row r="266" spans="1:6" ht="15" thickBot="1">
      <c r="A266" s="1838" t="s">
        <v>1415</v>
      </c>
      <c r="B266" s="1842" t="s">
        <v>1290</v>
      </c>
      <c r="C266" s="1843">
        <v>0.14699999999999999</v>
      </c>
      <c r="D266" s="1843">
        <v>0.14699999999999999</v>
      </c>
      <c r="E266" s="1843">
        <v>0.15</v>
      </c>
      <c r="F266" s="1844">
        <v>0.14299999999999999</v>
      </c>
    </row>
    <row r="267" spans="1:6" ht="15" thickBot="1">
      <c r="A267" s="1838" t="s">
        <v>1415</v>
      </c>
      <c r="B267" s="1842" t="s">
        <v>1297</v>
      </c>
      <c r="C267" s="1843">
        <v>0.14199999999999999</v>
      </c>
      <c r="D267" s="1843">
        <v>0.14299999999999999</v>
      </c>
      <c r="E267" s="1843">
        <v>0.15</v>
      </c>
      <c r="F267" s="1851"/>
    </row>
    <row r="268" spans="1:6" ht="15" thickBot="1">
      <c r="A268" s="1838" t="s">
        <v>1415</v>
      </c>
      <c r="B268" s="1842" t="s">
        <v>2179</v>
      </c>
      <c r="C268" s="1843">
        <v>0.15</v>
      </c>
      <c r="D268" s="1843">
        <v>0.15</v>
      </c>
      <c r="E268" s="1843">
        <v>0.15</v>
      </c>
      <c r="F268" s="1844">
        <v>0.13</v>
      </c>
    </row>
    <row r="269" spans="1:6" ht="15" thickBot="1">
      <c r="A269" s="1838" t="s">
        <v>1415</v>
      </c>
      <c r="B269" s="1842" t="s">
        <v>1311</v>
      </c>
      <c r="C269" s="1843">
        <v>0.15</v>
      </c>
      <c r="D269" s="1843">
        <v>0.15</v>
      </c>
      <c r="E269" s="1843">
        <v>0.15</v>
      </c>
      <c r="F269" s="1844">
        <v>0.14299999999999999</v>
      </c>
    </row>
    <row r="270" spans="1:6" ht="15" thickBot="1">
      <c r="A270" s="1838" t="s">
        <v>1415</v>
      </c>
      <c r="B270" s="1842" t="s">
        <v>1318</v>
      </c>
      <c r="C270" s="1843">
        <v>0.14499999999999999</v>
      </c>
      <c r="D270" s="1843">
        <v>0.14499999999999999</v>
      </c>
      <c r="E270" s="1843">
        <v>0.15</v>
      </c>
      <c r="F270" s="1844">
        <v>0.14699999999999999</v>
      </c>
    </row>
    <row r="271" spans="1:6" ht="15" thickBot="1">
      <c r="A271" s="1838" t="s">
        <v>1415</v>
      </c>
      <c r="B271" s="1842" t="s">
        <v>1325</v>
      </c>
      <c r="C271" s="1843">
        <v>0.15</v>
      </c>
      <c r="D271" s="1843">
        <v>0.15</v>
      </c>
      <c r="E271" s="1843">
        <v>0.15</v>
      </c>
      <c r="F271" s="1844">
        <v>0.13800000000000001</v>
      </c>
    </row>
    <row r="272" spans="1:6" ht="15" thickBot="1">
      <c r="A272" s="1838" t="s">
        <v>1415</v>
      </c>
      <c r="B272" s="1842" t="s">
        <v>1332</v>
      </c>
      <c r="C272" s="1852"/>
      <c r="D272" s="1852"/>
      <c r="E272" s="1852"/>
      <c r="F272" s="1844">
        <v>0.14000000000000001</v>
      </c>
    </row>
    <row r="273" spans="1:6" ht="15" thickBot="1">
      <c r="A273" s="1838" t="s">
        <v>1415</v>
      </c>
      <c r="B273" s="1842" t="s">
        <v>2180</v>
      </c>
      <c r="C273" s="1843">
        <v>0.14199999999999999</v>
      </c>
      <c r="D273" s="1843">
        <v>0.14299999999999999</v>
      </c>
      <c r="E273" s="1843">
        <v>0.15</v>
      </c>
      <c r="F273" s="1844">
        <v>0.1</v>
      </c>
    </row>
    <row r="274" spans="1:6" ht="15" thickBot="1">
      <c r="A274" s="1838" t="s">
        <v>1415</v>
      </c>
      <c r="B274" s="1842" t="s">
        <v>2181</v>
      </c>
      <c r="C274" s="1843">
        <v>0.14799999999999999</v>
      </c>
      <c r="D274" s="1843">
        <v>0.14799999999999999</v>
      </c>
      <c r="E274" s="1843">
        <v>0.15</v>
      </c>
      <c r="F274" s="1844">
        <v>6.7000000000000004E-2</v>
      </c>
    </row>
    <row r="275" spans="1:6" ht="15" thickBot="1">
      <c r="A275" s="1838" t="s">
        <v>1415</v>
      </c>
      <c r="B275" s="1842" t="s">
        <v>2182</v>
      </c>
      <c r="C275" s="1843">
        <v>0.15</v>
      </c>
      <c r="D275" s="1843">
        <v>0.15</v>
      </c>
      <c r="E275" s="1843">
        <v>0.15</v>
      </c>
      <c r="F275" s="1844">
        <v>0.15</v>
      </c>
    </row>
    <row r="276" spans="1:6" ht="15" thickBot="1">
      <c r="A276" s="1838" t="s">
        <v>1415</v>
      </c>
      <c r="B276" s="1842" t="s">
        <v>2183</v>
      </c>
      <c r="C276" s="1843">
        <v>0.14499999999999999</v>
      </c>
      <c r="D276" s="1843">
        <v>0.14299999999999999</v>
      </c>
      <c r="E276" s="1843">
        <v>0.15</v>
      </c>
      <c r="F276" s="1844">
        <v>5.8999999999999997E-2</v>
      </c>
    </row>
    <row r="277" spans="1:6" ht="15" thickBot="1">
      <c r="A277" s="1838" t="s">
        <v>1415</v>
      </c>
      <c r="B277" s="1842" t="s">
        <v>2184</v>
      </c>
      <c r="C277" s="1843">
        <v>0.15</v>
      </c>
      <c r="D277" s="1843">
        <v>0.15</v>
      </c>
      <c r="E277" s="1843">
        <v>0.15</v>
      </c>
      <c r="F277" s="1844">
        <v>0.121</v>
      </c>
    </row>
    <row r="278" spans="1:6" ht="15" thickBot="1">
      <c r="A278" s="1838" t="s">
        <v>1415</v>
      </c>
      <c r="B278" s="1842" t="s">
        <v>2185</v>
      </c>
      <c r="C278" s="1843">
        <v>0.15</v>
      </c>
      <c r="D278" s="1843">
        <v>0.15</v>
      </c>
      <c r="E278" s="1843">
        <v>0.15</v>
      </c>
      <c r="F278" s="1844">
        <v>0.13800000000000001</v>
      </c>
    </row>
    <row r="279" spans="1:6" ht="24.6" thickBot="1">
      <c r="A279" s="1838" t="s">
        <v>1415</v>
      </c>
      <c r="B279" s="1842" t="s">
        <v>2186</v>
      </c>
      <c r="C279" s="1852"/>
      <c r="D279" s="1852"/>
      <c r="E279" s="1852"/>
      <c r="F279" s="1844">
        <v>0.05</v>
      </c>
    </row>
    <row r="280" spans="1:6" ht="24.6" thickBot="1">
      <c r="A280" s="1838" t="s">
        <v>1415</v>
      </c>
      <c r="B280" s="1842" t="s">
        <v>2187</v>
      </c>
      <c r="C280" s="1852"/>
      <c r="D280" s="1852"/>
      <c r="E280" s="1852"/>
      <c r="F280" s="1844">
        <v>0.05</v>
      </c>
    </row>
    <row r="281" spans="1:6" ht="24.6" thickBot="1">
      <c r="A281" s="1838" t="s">
        <v>1415</v>
      </c>
      <c r="B281" s="1842" t="s">
        <v>2188</v>
      </c>
      <c r="C281" s="1852"/>
      <c r="D281" s="1852"/>
      <c r="E281" s="1852"/>
      <c r="F281" s="1844">
        <v>0.05</v>
      </c>
    </row>
    <row r="282" spans="1:6" ht="24.6" thickBot="1">
      <c r="A282" s="1838" t="s">
        <v>1415</v>
      </c>
      <c r="B282" s="1842" t="s">
        <v>2189</v>
      </c>
      <c r="C282" s="1852"/>
      <c r="D282" s="1852"/>
      <c r="E282" s="1852"/>
      <c r="F282" s="1844">
        <v>0.05</v>
      </c>
    </row>
    <row r="283" spans="1:6" ht="24.6" thickBot="1">
      <c r="A283" s="1838" t="s">
        <v>1415</v>
      </c>
      <c r="B283" s="1842" t="s">
        <v>2190</v>
      </c>
      <c r="C283" s="1852"/>
      <c r="D283" s="1852"/>
      <c r="E283" s="1852"/>
      <c r="F283" s="1844">
        <v>0.05</v>
      </c>
    </row>
    <row r="284" spans="1:6" ht="24.6" thickBot="1">
      <c r="A284" s="1838" t="s">
        <v>1415</v>
      </c>
      <c r="B284" s="1842" t="s">
        <v>2191</v>
      </c>
      <c r="C284" s="1852"/>
      <c r="D284" s="1852"/>
      <c r="E284" s="1852"/>
      <c r="F284" s="1844">
        <v>0.05</v>
      </c>
    </row>
    <row r="285" spans="1:6" ht="24.6" thickBot="1">
      <c r="A285" s="1838" t="s">
        <v>1415</v>
      </c>
      <c r="B285" s="1842" t="s">
        <v>2192</v>
      </c>
      <c r="C285" s="1852"/>
      <c r="D285" s="1852"/>
      <c r="E285" s="1852"/>
      <c r="F285" s="1844">
        <v>0.05</v>
      </c>
    </row>
    <row r="286" spans="1:6" ht="24.6" thickBot="1">
      <c r="A286" s="1838" t="s">
        <v>1415</v>
      </c>
      <c r="B286" s="1842" t="s">
        <v>2193</v>
      </c>
      <c r="C286" s="1852"/>
      <c r="D286" s="1852"/>
      <c r="E286" s="1852"/>
      <c r="F286" s="1844">
        <v>0.05</v>
      </c>
    </row>
    <row r="287" spans="1:6" ht="24.6" thickBot="1">
      <c r="A287" s="1838" t="s">
        <v>1415</v>
      </c>
      <c r="B287" s="1842" t="s">
        <v>2194</v>
      </c>
      <c r="C287" s="1852"/>
      <c r="D287" s="1852"/>
      <c r="E287" s="1852"/>
      <c r="F287" s="1844">
        <v>0.05</v>
      </c>
    </row>
    <row r="288" spans="1:6" ht="24.6" thickBot="1">
      <c r="A288" s="1838" t="s">
        <v>1415</v>
      </c>
      <c r="B288" s="1842" t="s">
        <v>2195</v>
      </c>
      <c r="C288" s="1852"/>
      <c r="D288" s="1852"/>
      <c r="E288" s="1852"/>
      <c r="F288" s="1844">
        <v>0.05</v>
      </c>
    </row>
    <row r="289" spans="1:6" ht="24.6" thickBot="1">
      <c r="A289" s="1846" t="s">
        <v>1415</v>
      </c>
      <c r="B289" s="1853" t="s">
        <v>2196</v>
      </c>
      <c r="C289" s="1849"/>
      <c r="D289" s="1849"/>
      <c r="E289" s="1849"/>
      <c r="F289" s="1854">
        <v>0.05</v>
      </c>
    </row>
    <row r="290" spans="1:6" ht="15" thickBot="1">
      <c r="A290" s="1838" t="s">
        <v>1419</v>
      </c>
      <c r="B290" s="1839" t="s">
        <v>2197</v>
      </c>
      <c r="C290" s="1840">
        <v>0.15</v>
      </c>
      <c r="D290" s="1840">
        <v>0.15</v>
      </c>
      <c r="E290" s="1840">
        <v>0.15</v>
      </c>
      <c r="F290" s="1862"/>
    </row>
    <row r="291" spans="1:6" ht="15" thickBot="1">
      <c r="A291" s="1838" t="s">
        <v>1419</v>
      </c>
      <c r="B291" s="1842" t="s">
        <v>1079</v>
      </c>
      <c r="C291" s="1843">
        <v>0.15</v>
      </c>
      <c r="D291" s="1843">
        <v>0.15</v>
      </c>
      <c r="E291" s="1843">
        <v>0.15</v>
      </c>
      <c r="F291" s="1851"/>
    </row>
    <row r="292" spans="1:6" ht="15" thickBot="1">
      <c r="A292" s="1838" t="s">
        <v>1419</v>
      </c>
      <c r="B292" s="1842" t="s">
        <v>2198</v>
      </c>
      <c r="C292" s="1843">
        <v>0.15</v>
      </c>
      <c r="D292" s="1843">
        <v>0.15</v>
      </c>
      <c r="E292" s="1843">
        <v>0.15</v>
      </c>
      <c r="F292" s="1844">
        <v>0.14699999999999999</v>
      </c>
    </row>
    <row r="293" spans="1:6" ht="15" thickBot="1">
      <c r="A293" s="1838" t="s">
        <v>1419</v>
      </c>
      <c r="B293" s="1842" t="s">
        <v>2199</v>
      </c>
      <c r="C293" s="1852"/>
      <c r="D293" s="1852"/>
      <c r="E293" s="1852"/>
      <c r="F293" s="1844">
        <v>0.1</v>
      </c>
    </row>
    <row r="294" spans="1:6" ht="15" thickBot="1">
      <c r="A294" s="1838" t="s">
        <v>1419</v>
      </c>
      <c r="B294" s="1842" t="s">
        <v>2200</v>
      </c>
      <c r="C294" s="1843">
        <v>0.15</v>
      </c>
      <c r="D294" s="1843">
        <v>0.15</v>
      </c>
      <c r="E294" s="1843">
        <v>0.15</v>
      </c>
      <c r="F294" s="1844">
        <v>0.15</v>
      </c>
    </row>
    <row r="295" spans="1:6" ht="15" thickBot="1">
      <c r="A295" s="1838" t="s">
        <v>1419</v>
      </c>
      <c r="B295" s="1842" t="s">
        <v>1120</v>
      </c>
      <c r="C295" s="1843">
        <v>0.15</v>
      </c>
      <c r="D295" s="1843">
        <v>0.15</v>
      </c>
      <c r="E295" s="1843">
        <v>0.15</v>
      </c>
      <c r="F295" s="1844">
        <v>0.15</v>
      </c>
    </row>
    <row r="296" spans="1:6" ht="15" thickBot="1">
      <c r="A296" s="1838" t="s">
        <v>1419</v>
      </c>
      <c r="B296" s="1842" t="s">
        <v>2201</v>
      </c>
      <c r="C296" s="1843">
        <v>0.15</v>
      </c>
      <c r="D296" s="1843">
        <v>0.15</v>
      </c>
      <c r="E296" s="1843">
        <v>0.15</v>
      </c>
      <c r="F296" s="1844">
        <v>0.15</v>
      </c>
    </row>
    <row r="297" spans="1:6" ht="15" thickBot="1">
      <c r="A297" s="1838" t="s">
        <v>1419</v>
      </c>
      <c r="B297" s="1842" t="s">
        <v>2202</v>
      </c>
      <c r="C297" s="1843">
        <v>0.14799999999999999</v>
      </c>
      <c r="D297" s="1843">
        <v>0.14899999999999999</v>
      </c>
      <c r="E297" s="1843">
        <v>0.15</v>
      </c>
      <c r="F297" s="1844">
        <v>0.13700000000000001</v>
      </c>
    </row>
    <row r="298" spans="1:6" ht="15" thickBot="1">
      <c r="A298" s="1838" t="s">
        <v>1419</v>
      </c>
      <c r="B298" s="1842" t="s">
        <v>1153</v>
      </c>
      <c r="C298" s="1843">
        <v>0.13400000000000001</v>
      </c>
      <c r="D298" s="1843">
        <v>0.13400000000000001</v>
      </c>
      <c r="E298" s="1843">
        <v>0.14499999999999999</v>
      </c>
      <c r="F298" s="1844">
        <v>0.14799999999999999</v>
      </c>
    </row>
    <row r="299" spans="1:6" ht="15" thickBot="1">
      <c r="A299" s="1838" t="s">
        <v>1419</v>
      </c>
      <c r="B299" s="1842" t="s">
        <v>1165</v>
      </c>
      <c r="C299" s="1843">
        <v>0.15</v>
      </c>
      <c r="D299" s="1843">
        <v>0.15</v>
      </c>
      <c r="E299" s="1843">
        <v>0.15</v>
      </c>
      <c r="F299" s="1851"/>
    </row>
    <row r="300" spans="1:6" ht="15" thickBot="1">
      <c r="A300" s="1838" t="s">
        <v>1419</v>
      </c>
      <c r="B300" s="1842" t="s">
        <v>2203</v>
      </c>
      <c r="C300" s="1843">
        <v>0.15</v>
      </c>
      <c r="D300" s="1843">
        <v>0.15</v>
      </c>
      <c r="E300" s="1843">
        <v>0.15</v>
      </c>
      <c r="F300" s="1844">
        <v>0.15</v>
      </c>
    </row>
    <row r="301" spans="1:6" ht="15" thickBot="1">
      <c r="A301" s="1838" t="s">
        <v>1419</v>
      </c>
      <c r="B301" s="1842" t="s">
        <v>1185</v>
      </c>
      <c r="C301" s="1843">
        <v>0.15</v>
      </c>
      <c r="D301" s="1843">
        <v>0.15</v>
      </c>
      <c r="E301" s="1843">
        <v>0.15</v>
      </c>
      <c r="F301" s="1851"/>
    </row>
    <row r="302" spans="1:6" ht="15" thickBot="1">
      <c r="A302" s="1838" t="s">
        <v>1419</v>
      </c>
      <c r="B302" s="1842" t="s">
        <v>2204</v>
      </c>
      <c r="C302" s="1843">
        <v>0.15</v>
      </c>
      <c r="D302" s="1843">
        <v>0.15</v>
      </c>
      <c r="E302" s="1843">
        <v>0.15</v>
      </c>
      <c r="F302" s="1844">
        <v>0.15</v>
      </c>
    </row>
    <row r="303" spans="1:6" ht="15" thickBot="1">
      <c r="A303" s="1838" t="s">
        <v>1419</v>
      </c>
      <c r="B303" s="1842" t="s">
        <v>1205</v>
      </c>
      <c r="C303" s="1843">
        <v>0.15</v>
      </c>
      <c r="D303" s="1843">
        <v>0.15</v>
      </c>
      <c r="E303" s="1843">
        <v>0.15</v>
      </c>
      <c r="F303" s="1844">
        <v>0.15</v>
      </c>
    </row>
    <row r="304" spans="1:6" ht="15" thickBot="1">
      <c r="A304" s="1838" t="s">
        <v>1419</v>
      </c>
      <c r="B304" s="1842" t="s">
        <v>1215</v>
      </c>
      <c r="C304" s="1843">
        <v>0.15</v>
      </c>
      <c r="D304" s="1843">
        <v>0.15</v>
      </c>
      <c r="E304" s="1843">
        <v>0.15</v>
      </c>
      <c r="F304" s="1851"/>
    </row>
    <row r="305" spans="1:6" ht="15" thickBot="1">
      <c r="A305" s="1838" t="s">
        <v>1419</v>
      </c>
      <c r="B305" s="1842" t="s">
        <v>2205</v>
      </c>
      <c r="C305" s="1843">
        <v>0.15</v>
      </c>
      <c r="D305" s="1843">
        <v>0.15</v>
      </c>
      <c r="E305" s="1843">
        <v>0.15</v>
      </c>
      <c r="F305" s="1844">
        <v>0.14000000000000001</v>
      </c>
    </row>
    <row r="306" spans="1:6" ht="15" thickBot="1">
      <c r="A306" s="1838" t="s">
        <v>1419</v>
      </c>
      <c r="B306" s="1842" t="s">
        <v>1235</v>
      </c>
      <c r="C306" s="1843">
        <v>0.15</v>
      </c>
      <c r="D306" s="1843">
        <v>0.15</v>
      </c>
      <c r="E306" s="1843">
        <v>0.15</v>
      </c>
      <c r="F306" s="1851"/>
    </row>
    <row r="307" spans="1:6" ht="15" thickBot="1">
      <c r="A307" s="1838" t="s">
        <v>1419</v>
      </c>
      <c r="B307" s="1842" t="s">
        <v>2206</v>
      </c>
      <c r="C307" s="1843">
        <v>0.15</v>
      </c>
      <c r="D307" s="1843">
        <v>0.15</v>
      </c>
      <c r="E307" s="1843">
        <v>0.15</v>
      </c>
      <c r="F307" s="1844">
        <v>0.14299999999999999</v>
      </c>
    </row>
    <row r="308" spans="1:6" ht="15" thickBot="1">
      <c r="A308" s="1838" t="s">
        <v>1419</v>
      </c>
      <c r="B308" s="1842" t="s">
        <v>1255</v>
      </c>
      <c r="C308" s="1843">
        <v>0.15</v>
      </c>
      <c r="D308" s="1843">
        <v>0.15</v>
      </c>
      <c r="E308" s="1843">
        <v>0.15</v>
      </c>
      <c r="F308" s="1844">
        <v>0.15</v>
      </c>
    </row>
    <row r="309" spans="1:6" ht="15" thickBot="1">
      <c r="A309" s="1838" t="s">
        <v>1419</v>
      </c>
      <c r="B309" s="1842" t="s">
        <v>1265</v>
      </c>
      <c r="C309" s="1843">
        <v>0.15</v>
      </c>
      <c r="D309" s="1843">
        <v>0.15</v>
      </c>
      <c r="E309" s="1843">
        <v>0.15</v>
      </c>
      <c r="F309" s="1851"/>
    </row>
    <row r="310" spans="1:6" ht="15" thickBot="1">
      <c r="A310" s="1838" t="s">
        <v>1419</v>
      </c>
      <c r="B310" s="1842" t="s">
        <v>2207</v>
      </c>
      <c r="C310" s="1843">
        <v>0.15</v>
      </c>
      <c r="D310" s="1843">
        <v>0.15</v>
      </c>
      <c r="E310" s="1843">
        <v>0.15</v>
      </c>
      <c r="F310" s="1844">
        <v>0.13700000000000001</v>
      </c>
    </row>
    <row r="311" spans="1:6" ht="15" thickBot="1">
      <c r="A311" s="1838" t="s">
        <v>1419</v>
      </c>
      <c r="B311" s="1842" t="s">
        <v>2208</v>
      </c>
      <c r="C311" s="1843">
        <v>0.15</v>
      </c>
      <c r="D311" s="1843">
        <v>0.15</v>
      </c>
      <c r="E311" s="1843">
        <v>0.15</v>
      </c>
      <c r="F311" s="1844">
        <v>0.15</v>
      </c>
    </row>
    <row r="312" spans="1:6" ht="15" thickBot="1">
      <c r="A312" s="1838" t="s">
        <v>1419</v>
      </c>
      <c r="B312" s="1842" t="s">
        <v>1291</v>
      </c>
      <c r="C312" s="1843">
        <v>0.15</v>
      </c>
      <c r="D312" s="1843">
        <v>0.15</v>
      </c>
      <c r="E312" s="1843">
        <v>0.15</v>
      </c>
      <c r="F312" s="1844">
        <v>0.1</v>
      </c>
    </row>
    <row r="313" spans="1:6" ht="15" thickBot="1">
      <c r="A313" s="1838" t="s">
        <v>1419</v>
      </c>
      <c r="B313" s="1842" t="s">
        <v>2209</v>
      </c>
      <c r="C313" s="1843">
        <v>0.15</v>
      </c>
      <c r="D313" s="1843">
        <v>0.15</v>
      </c>
      <c r="E313" s="1843">
        <v>0.15</v>
      </c>
      <c r="F313" s="1844">
        <v>0.15</v>
      </c>
    </row>
    <row r="314" spans="1:6" ht="24.6" thickBot="1">
      <c r="A314" s="1838" t="s">
        <v>1419</v>
      </c>
      <c r="B314" s="1842" t="s">
        <v>2210</v>
      </c>
      <c r="C314" s="1852"/>
      <c r="D314" s="1852"/>
      <c r="E314" s="1852"/>
      <c r="F314" s="1844">
        <v>0.05</v>
      </c>
    </row>
    <row r="315" spans="1:6" ht="24.6" thickBot="1">
      <c r="A315" s="1838" t="s">
        <v>1419</v>
      </c>
      <c r="B315" s="1842" t="s">
        <v>2211</v>
      </c>
      <c r="C315" s="1852"/>
      <c r="D315" s="1852"/>
      <c r="E315" s="1852"/>
      <c r="F315" s="1844">
        <v>0.05</v>
      </c>
    </row>
    <row r="316" spans="1:6" ht="24.6" thickBot="1">
      <c r="A316" s="1846" t="s">
        <v>1419</v>
      </c>
      <c r="B316" s="1853" t="s">
        <v>2212</v>
      </c>
      <c r="C316" s="1849"/>
      <c r="D316" s="1849"/>
      <c r="E316" s="1849"/>
      <c r="F316" s="1854">
        <v>0.05</v>
      </c>
    </row>
    <row r="317" spans="1:6" ht="15" thickBot="1">
      <c r="A317" s="1838" t="s">
        <v>2213</v>
      </c>
      <c r="B317" s="1839" t="s">
        <v>2214</v>
      </c>
      <c r="C317" s="1840">
        <v>0.15</v>
      </c>
      <c r="D317" s="1840">
        <v>0.15</v>
      </c>
      <c r="E317" s="1840">
        <v>0.15</v>
      </c>
      <c r="F317" s="1841">
        <v>0.15</v>
      </c>
    </row>
    <row r="318" spans="1:6" ht="15" thickBot="1">
      <c r="A318" s="1838" t="s">
        <v>2213</v>
      </c>
      <c r="B318" s="1842" t="s">
        <v>2215</v>
      </c>
      <c r="C318" s="1843">
        <v>0.107</v>
      </c>
      <c r="D318" s="1843">
        <v>0.11</v>
      </c>
      <c r="E318" s="1843">
        <v>0.112</v>
      </c>
      <c r="F318" s="1851"/>
    </row>
    <row r="319" spans="1:6" ht="15" thickBot="1">
      <c r="A319" s="1838" t="s">
        <v>2213</v>
      </c>
      <c r="B319" s="1842" t="s">
        <v>2216</v>
      </c>
      <c r="C319" s="1843">
        <v>0.15</v>
      </c>
      <c r="D319" s="1843">
        <v>0.15</v>
      </c>
      <c r="E319" s="1843">
        <v>0.15</v>
      </c>
      <c r="F319" s="1844">
        <v>0.15</v>
      </c>
    </row>
    <row r="320" spans="1:6" ht="15" thickBot="1">
      <c r="A320" s="1838" t="s">
        <v>2213</v>
      </c>
      <c r="B320" s="1842" t="s">
        <v>1107</v>
      </c>
      <c r="C320" s="1843">
        <v>0.15</v>
      </c>
      <c r="D320" s="1843">
        <v>0.15</v>
      </c>
      <c r="E320" s="1843">
        <v>0.15</v>
      </c>
      <c r="F320" s="1851"/>
    </row>
    <row r="321" spans="1:6" ht="15" thickBot="1">
      <c r="A321" s="1838" t="s">
        <v>2213</v>
      </c>
      <c r="B321" s="1842" t="s">
        <v>2217</v>
      </c>
      <c r="C321" s="1843">
        <v>0.15</v>
      </c>
      <c r="D321" s="1843">
        <v>0.15</v>
      </c>
      <c r="E321" s="1843">
        <v>0.15</v>
      </c>
      <c r="F321" s="1851"/>
    </row>
    <row r="322" spans="1:6" ht="15" thickBot="1">
      <c r="A322" s="1838" t="s">
        <v>2213</v>
      </c>
      <c r="B322" s="1842" t="s">
        <v>2218</v>
      </c>
      <c r="C322" s="1843">
        <v>0.15</v>
      </c>
      <c r="D322" s="1843">
        <v>0.15</v>
      </c>
      <c r="E322" s="1843">
        <v>0.15</v>
      </c>
      <c r="F322" s="1844">
        <v>0.15</v>
      </c>
    </row>
    <row r="323" spans="1:6" ht="15" thickBot="1">
      <c r="A323" s="1838" t="s">
        <v>2213</v>
      </c>
      <c r="B323" s="1842" t="s">
        <v>2219</v>
      </c>
      <c r="C323" s="1843">
        <v>0.15</v>
      </c>
      <c r="D323" s="1843">
        <v>0.15</v>
      </c>
      <c r="E323" s="1843">
        <v>0.15</v>
      </c>
      <c r="F323" s="1851"/>
    </row>
    <row r="324" spans="1:6" ht="15" thickBot="1">
      <c r="A324" s="1838" t="s">
        <v>2213</v>
      </c>
      <c r="B324" s="1842" t="s">
        <v>2220</v>
      </c>
      <c r="C324" s="1843">
        <v>0.15</v>
      </c>
      <c r="D324" s="1843">
        <v>0.15</v>
      </c>
      <c r="E324" s="1843">
        <v>0.15</v>
      </c>
      <c r="F324" s="1851"/>
    </row>
    <row r="325" spans="1:6" ht="15" thickBot="1">
      <c r="A325" s="1838" t="s">
        <v>2213</v>
      </c>
      <c r="B325" s="1842" t="s">
        <v>2221</v>
      </c>
      <c r="C325" s="1843">
        <v>0.15</v>
      </c>
      <c r="D325" s="1843">
        <v>0.15</v>
      </c>
      <c r="E325" s="1843">
        <v>0.15</v>
      </c>
      <c r="F325" s="1844">
        <v>0.14699999999999999</v>
      </c>
    </row>
    <row r="326" spans="1:6" ht="15" thickBot="1">
      <c r="A326" s="1838" t="s">
        <v>2213</v>
      </c>
      <c r="B326" s="1842" t="s">
        <v>1176</v>
      </c>
      <c r="C326" s="1843">
        <v>0.15</v>
      </c>
      <c r="D326" s="1843">
        <v>0.15</v>
      </c>
      <c r="E326" s="1843">
        <v>0.15</v>
      </c>
      <c r="F326" s="1851"/>
    </row>
    <row r="327" spans="1:6" ht="15" thickBot="1">
      <c r="A327" s="1838" t="s">
        <v>2213</v>
      </c>
      <c r="B327" s="1842" t="s">
        <v>2222</v>
      </c>
      <c r="C327" s="1843">
        <v>0.15</v>
      </c>
      <c r="D327" s="1843">
        <v>0.15</v>
      </c>
      <c r="E327" s="1843">
        <v>0.15</v>
      </c>
      <c r="F327" s="1844">
        <v>0.15</v>
      </c>
    </row>
    <row r="328" spans="1:6" ht="15" thickBot="1">
      <c r="A328" s="1838" t="s">
        <v>2213</v>
      </c>
      <c r="B328" s="1842" t="s">
        <v>1196</v>
      </c>
      <c r="C328" s="1843">
        <v>0.15</v>
      </c>
      <c r="D328" s="1843">
        <v>0.15</v>
      </c>
      <c r="E328" s="1843">
        <v>0.15</v>
      </c>
      <c r="F328" s="1844">
        <v>0.14099999999999999</v>
      </c>
    </row>
    <row r="329" spans="1:6" ht="15" thickBot="1">
      <c r="A329" s="1838" t="s">
        <v>2213</v>
      </c>
      <c r="B329" s="1842" t="s">
        <v>1206</v>
      </c>
      <c r="C329" s="1843">
        <v>0.15</v>
      </c>
      <c r="D329" s="1843">
        <v>0.15</v>
      </c>
      <c r="E329" s="1843">
        <v>0.15</v>
      </c>
      <c r="F329" s="1844">
        <v>0.15</v>
      </c>
    </row>
    <row r="330" spans="1:6" ht="15" thickBot="1">
      <c r="A330" s="1838" t="s">
        <v>2213</v>
      </c>
      <c r="B330" s="1842" t="s">
        <v>1216</v>
      </c>
      <c r="C330" s="1843">
        <v>0.15</v>
      </c>
      <c r="D330" s="1843">
        <v>0.15</v>
      </c>
      <c r="E330" s="1843">
        <v>0.15</v>
      </c>
      <c r="F330" s="1851"/>
    </row>
    <row r="331" spans="1:6" ht="15" thickBot="1">
      <c r="A331" s="1838" t="s">
        <v>2213</v>
      </c>
      <c r="B331" s="1842" t="s">
        <v>2223</v>
      </c>
      <c r="C331" s="1843">
        <v>0.15</v>
      </c>
      <c r="D331" s="1843">
        <v>0.15</v>
      </c>
      <c r="E331" s="1843">
        <v>0.15</v>
      </c>
      <c r="F331" s="1844">
        <v>0.15</v>
      </c>
    </row>
    <row r="332" spans="1:6" ht="15" thickBot="1">
      <c r="A332" s="1838" t="s">
        <v>2213</v>
      </c>
      <c r="B332" s="1842" t="s">
        <v>1236</v>
      </c>
      <c r="C332" s="1843">
        <v>0.15</v>
      </c>
      <c r="D332" s="1843">
        <v>0.15</v>
      </c>
      <c r="E332" s="1843">
        <v>0.15</v>
      </c>
      <c r="F332" s="1844">
        <v>0.15</v>
      </c>
    </row>
    <row r="333" spans="1:6" ht="15" thickBot="1">
      <c r="A333" s="1838" t="s">
        <v>2213</v>
      </c>
      <c r="B333" s="1842" t="s">
        <v>2224</v>
      </c>
      <c r="C333" s="1843">
        <v>0.15</v>
      </c>
      <c r="D333" s="1843">
        <v>0.15</v>
      </c>
      <c r="E333" s="1843">
        <v>0.15</v>
      </c>
      <c r="F333" s="1844">
        <v>0.14099999999999999</v>
      </c>
    </row>
    <row r="334" spans="1:6" ht="15" thickBot="1">
      <c r="A334" s="1838" t="s">
        <v>2213</v>
      </c>
      <c r="B334" s="1842" t="s">
        <v>1256</v>
      </c>
      <c r="C334" s="1843">
        <v>0.15</v>
      </c>
      <c r="D334" s="1843">
        <v>0.15</v>
      </c>
      <c r="E334" s="1843">
        <v>0.15</v>
      </c>
      <c r="F334" s="1844">
        <v>0.15</v>
      </c>
    </row>
    <row r="335" spans="1:6" ht="15" thickBot="1">
      <c r="A335" s="1838" t="s">
        <v>2213</v>
      </c>
      <c r="B335" s="1842" t="s">
        <v>1266</v>
      </c>
      <c r="C335" s="1843">
        <v>0.15</v>
      </c>
      <c r="D335" s="1843">
        <v>0.15</v>
      </c>
      <c r="E335" s="1843">
        <v>0.15</v>
      </c>
      <c r="F335" s="1851"/>
    </row>
    <row r="336" spans="1:6" ht="15" thickBot="1">
      <c r="A336" s="1838" t="s">
        <v>2213</v>
      </c>
      <c r="B336" s="1842" t="s">
        <v>2225</v>
      </c>
      <c r="C336" s="1843">
        <v>0.15</v>
      </c>
      <c r="D336" s="1843">
        <v>0.15</v>
      </c>
      <c r="E336" s="1843">
        <v>0.15</v>
      </c>
      <c r="F336" s="1844">
        <v>0.11799999999999999</v>
      </c>
    </row>
    <row r="337" spans="1:6" ht="15" thickBot="1">
      <c r="A337" s="1846" t="s">
        <v>2213</v>
      </c>
      <c r="B337" s="1853" t="s">
        <v>1284</v>
      </c>
      <c r="C337" s="1849"/>
      <c r="D337" s="1849"/>
      <c r="E337" s="1849"/>
      <c r="F337" s="1854">
        <v>0.14299999999999999</v>
      </c>
    </row>
    <row r="338" spans="1:6" ht="15" thickBot="1">
      <c r="A338" s="1838" t="s">
        <v>2226</v>
      </c>
      <c r="B338" s="1839" t="s">
        <v>2227</v>
      </c>
      <c r="C338" s="1840">
        <v>0.15</v>
      </c>
      <c r="D338" s="1840">
        <v>0.15</v>
      </c>
      <c r="E338" s="1840">
        <v>0.15</v>
      </c>
      <c r="F338" s="1862"/>
    </row>
    <row r="339" spans="1:6" ht="15" thickBot="1">
      <c r="A339" s="1838" t="s">
        <v>2226</v>
      </c>
      <c r="B339" s="1842" t="s">
        <v>2228</v>
      </c>
      <c r="C339" s="1843">
        <v>0.15</v>
      </c>
      <c r="D339" s="1843">
        <v>0.15</v>
      </c>
      <c r="E339" s="1843">
        <v>0.15</v>
      </c>
      <c r="F339" s="1851"/>
    </row>
    <row r="340" spans="1:6" ht="15" thickBot="1">
      <c r="A340" s="1838" t="s">
        <v>2226</v>
      </c>
      <c r="B340" s="1842" t="s">
        <v>2229</v>
      </c>
      <c r="C340" s="1843">
        <v>0.15</v>
      </c>
      <c r="D340" s="1843">
        <v>0.15</v>
      </c>
      <c r="E340" s="1843">
        <v>0.15</v>
      </c>
      <c r="F340" s="1851"/>
    </row>
    <row r="341" spans="1:6" ht="15" thickBot="1">
      <c r="A341" s="1838" t="s">
        <v>2230</v>
      </c>
      <c r="B341" s="1842" t="s">
        <v>2231</v>
      </c>
      <c r="C341" s="1843">
        <v>0.15</v>
      </c>
      <c r="D341" s="1843">
        <v>0.15</v>
      </c>
      <c r="E341" s="1843">
        <v>0.15</v>
      </c>
      <c r="F341" s="1844">
        <v>0.15</v>
      </c>
    </row>
    <row r="342" spans="1:6" ht="15" thickBot="1">
      <c r="A342" s="1838" t="s">
        <v>2226</v>
      </c>
      <c r="B342" s="1842" t="s">
        <v>2232</v>
      </c>
      <c r="C342" s="1843">
        <v>0.15</v>
      </c>
      <c r="D342" s="1843">
        <v>0.15</v>
      </c>
      <c r="E342" s="1843">
        <v>0.15</v>
      </c>
      <c r="F342" s="1844">
        <v>0.15</v>
      </c>
    </row>
    <row r="343" spans="1:6" ht="15" thickBot="1">
      <c r="A343" s="1838" t="s">
        <v>2226</v>
      </c>
      <c r="B343" s="1842" t="s">
        <v>2233</v>
      </c>
      <c r="C343" s="1843">
        <v>0.15</v>
      </c>
      <c r="D343" s="1843">
        <v>0.15</v>
      </c>
      <c r="E343" s="1843">
        <v>0.15</v>
      </c>
      <c r="F343" s="1844">
        <v>0.15</v>
      </c>
    </row>
    <row r="344" spans="1:6" ht="15" thickBot="1">
      <c r="A344" s="1846" t="s">
        <v>2226</v>
      </c>
      <c r="B344" s="1853" t="s">
        <v>2234</v>
      </c>
      <c r="C344" s="1848">
        <v>0.15</v>
      </c>
      <c r="D344" s="1848">
        <v>0.15</v>
      </c>
      <c r="E344" s="1848">
        <v>0.15</v>
      </c>
      <c r="F344" s="1854">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H19" sqref="H19"/>
    </sheetView>
  </sheetViews>
  <sheetFormatPr defaultColWidth="9" defaultRowHeight="13.2"/>
  <cols>
    <col min="1" max="1" width="9" style="2624"/>
    <col min="2" max="6" width="9" style="2624" customWidth="1"/>
    <col min="7" max="7" width="9" style="2640" customWidth="1"/>
    <col min="8" max="12" width="9" style="2624" customWidth="1"/>
    <col min="13" max="13" width="2.21875" style="2624" customWidth="1"/>
    <col min="14" max="14" width="9" style="2640" customWidth="1"/>
    <col min="15" max="17" width="9" style="2624" customWidth="1"/>
    <col min="18" max="18" width="2.33203125" style="2624" customWidth="1"/>
    <col min="19" max="19" width="7.109375" style="2640" customWidth="1"/>
    <col min="20" max="22" width="7.109375" style="2624" customWidth="1"/>
    <col min="23" max="23" width="24" style="2624" customWidth="1"/>
    <col min="24" max="25" width="9" style="2624"/>
    <col min="26" max="27" width="11.6640625" style="2624" customWidth="1"/>
    <col min="28" max="28" width="9" style="2624"/>
    <col min="29" max="29" width="2" style="2624" customWidth="1"/>
    <col min="30" max="16384" width="9" style="2624"/>
  </cols>
  <sheetData>
    <row r="1" spans="1:34" s="2615" customFormat="1">
      <c r="B1" s="3457" t="s">
        <v>2572</v>
      </c>
      <c r="C1" s="3457"/>
      <c r="D1" s="3457"/>
      <c r="E1" s="3457"/>
      <c r="F1" s="3457"/>
      <c r="G1" s="3456" t="s">
        <v>2573</v>
      </c>
      <c r="H1" s="3456"/>
      <c r="I1" s="3456"/>
      <c r="J1" s="3456"/>
      <c r="K1" s="3456"/>
      <c r="L1" s="3456"/>
      <c r="N1" s="3456" t="s">
        <v>2574</v>
      </c>
      <c r="O1" s="3456"/>
      <c r="P1" s="3456"/>
      <c r="Q1" s="3456"/>
      <c r="R1" s="2616"/>
      <c r="S1" s="3456" t="s">
        <v>2575</v>
      </c>
      <c r="T1" s="3456"/>
      <c r="U1" s="3456"/>
      <c r="V1" s="3456"/>
      <c r="X1" s="3455" t="s">
        <v>2635</v>
      </c>
      <c r="Y1" s="3456"/>
      <c r="Z1" s="3456"/>
      <c r="AA1" s="3456"/>
      <c r="AB1" s="3456"/>
      <c r="AD1" s="3455" t="s">
        <v>2639</v>
      </c>
      <c r="AE1" s="3456"/>
      <c r="AF1" s="3456"/>
      <c r="AG1" s="3456"/>
      <c r="AH1" s="3456"/>
    </row>
    <row r="2" spans="1:34" s="2717" customFormat="1" ht="15" thickBot="1">
      <c r="B2" s="2725" t="s">
        <v>2576</v>
      </c>
      <c r="C2" s="2725" t="s">
        <v>2637</v>
      </c>
      <c r="D2" s="2718" t="s">
        <v>1644</v>
      </c>
      <c r="E2" s="2718" t="s">
        <v>1946</v>
      </c>
      <c r="F2" s="2725" t="s">
        <v>2638</v>
      </c>
      <c r="G2" s="2721"/>
      <c r="H2" s="2720"/>
      <c r="I2" s="2725" t="s">
        <v>2949</v>
      </c>
      <c r="J2" s="2718" t="s">
        <v>2951</v>
      </c>
      <c r="K2" s="2718" t="s">
        <v>2952</v>
      </c>
      <c r="L2" s="2725" t="s">
        <v>2953</v>
      </c>
      <c r="N2" s="2725" t="s">
        <v>2576</v>
      </c>
      <c r="O2" s="2718" t="s">
        <v>2950</v>
      </c>
      <c r="P2" s="2718" t="s">
        <v>1946</v>
      </c>
      <c r="Q2" s="2725" t="s">
        <v>2638</v>
      </c>
      <c r="R2" s="2719"/>
      <c r="S2" s="2725" t="s">
        <v>2576</v>
      </c>
      <c r="T2" s="2718" t="s">
        <v>2950</v>
      </c>
      <c r="U2" s="2718" t="s">
        <v>1946</v>
      </c>
      <c r="V2" s="2725" t="s">
        <v>2638</v>
      </c>
      <c r="X2" s="2725" t="s">
        <v>2576</v>
      </c>
      <c r="Y2" s="2725" t="s">
        <v>2637</v>
      </c>
      <c r="Z2" s="2718" t="s">
        <v>1644</v>
      </c>
      <c r="AA2" s="2718" t="s">
        <v>1946</v>
      </c>
      <c r="AB2" s="2725" t="s">
        <v>2638</v>
      </c>
      <c r="AD2" s="2725" t="s">
        <v>2576</v>
      </c>
      <c r="AE2" s="2725" t="s">
        <v>2637</v>
      </c>
      <c r="AF2" s="2718" t="s">
        <v>1644</v>
      </c>
      <c r="AG2" s="2718" t="s">
        <v>1946</v>
      </c>
      <c r="AH2" s="2725" t="s">
        <v>2638</v>
      </c>
    </row>
    <row r="3" spans="1:34" s="3079" customFormat="1" ht="14.4">
      <c r="A3" s="3091" t="s">
        <v>2962</v>
      </c>
      <c r="B3" s="3080"/>
      <c r="C3" s="3080"/>
      <c r="D3" s="3081"/>
      <c r="E3" s="3081"/>
      <c r="F3" s="3080"/>
      <c r="G3" s="3082"/>
      <c r="H3" s="3083"/>
      <c r="I3" s="3090">
        <f>ROUND(AVERAGE($I4:$I29),2)</f>
        <v>1.9</v>
      </c>
      <c r="J3" s="3090">
        <f>ROUND(AVERAGE($J4:$J29),2)</f>
        <v>1.35</v>
      </c>
      <c r="K3" s="3090">
        <f>ROUND(AVERAGE($K4:$K29),2)</f>
        <v>2.08</v>
      </c>
      <c r="L3" s="3090">
        <f>ROUND(AVERAGE($L4:$L29),2)</f>
        <v>1.33</v>
      </c>
      <c r="N3" s="3082"/>
      <c r="O3" s="3084"/>
      <c r="P3" s="3084"/>
      <c r="Q3" s="3084"/>
      <c r="R3" s="3084"/>
      <c r="S3" s="3082"/>
      <c r="T3" s="3084"/>
      <c r="U3" s="3084"/>
      <c r="V3" s="3084"/>
      <c r="W3" s="3087"/>
      <c r="X3" s="3085">
        <f>ROUND(SUMPRODUCT(PRODUCT(1+N3:N$28)),4)</f>
        <v>1.5516000000000001</v>
      </c>
      <c r="Y3" s="3085">
        <f>ROUND(SUMPRODUCT(PRODUCT(1+O3:O$28)),4)</f>
        <v>1.3649</v>
      </c>
      <c r="Z3" s="3085">
        <f t="shared" ref="Z3:Z26" si="0">Y3</f>
        <v>1.3649</v>
      </c>
      <c r="AA3" s="3085">
        <f>ROUND(SUMPRODUCT(PRODUCT(1+P3:P$28)),4)</f>
        <v>1.6133999999999999</v>
      </c>
      <c r="AB3" s="3085">
        <f>ROUND(SUMPRODUCT(PRODUCT(1+Q3:Q$28)),4)</f>
        <v>1.3713</v>
      </c>
      <c r="AD3" s="3086">
        <f>ROUND(AVERAGE(I3:I$29)/100,4)</f>
        <v>1.9E-2</v>
      </c>
      <c r="AE3" s="3086">
        <f>ROUND(AVERAGE(J3:J$29)/100,4)</f>
        <v>1.35E-2</v>
      </c>
      <c r="AF3" s="3086">
        <f t="shared" ref="AF3:AF27" si="1">AE3</f>
        <v>1.35E-2</v>
      </c>
      <c r="AG3" s="3086">
        <f>ROUND(AVERAGE(K3:K$29)/100,4)</f>
        <v>2.0799999999999999E-2</v>
      </c>
      <c r="AH3" s="3086">
        <f>ROUND(AVERAGE(L3:L$29)/100,4)</f>
        <v>1.3299999999999999E-2</v>
      </c>
    </row>
    <row r="4" spans="1:34" s="2710" customFormat="1" ht="14.4">
      <c r="B4" s="2711"/>
      <c r="C4" s="2711"/>
      <c r="D4" s="2712"/>
      <c r="E4" s="2712"/>
      <c r="F4" s="2711"/>
      <c r="G4" s="2716"/>
      <c r="H4" s="2713"/>
      <c r="I4" s="3075"/>
      <c r="J4" s="3075"/>
      <c r="K4" s="3075"/>
      <c r="L4" s="3075"/>
      <c r="N4" s="2716"/>
      <c r="O4" s="2714"/>
      <c r="P4" s="2714"/>
      <c r="Q4" s="2714"/>
      <c r="R4" s="2714"/>
      <c r="S4" s="2716"/>
      <c r="T4" s="2714"/>
      <c r="U4" s="2714"/>
      <c r="V4" s="2714"/>
      <c r="W4" s="3088"/>
      <c r="X4" s="2715"/>
      <c r="Y4" s="2715"/>
      <c r="Z4" s="2715"/>
      <c r="AA4" s="2715"/>
      <c r="AB4" s="2715"/>
      <c r="AD4" s="2635"/>
      <c r="AE4" s="2635"/>
      <c r="AF4" s="2635"/>
      <c r="AG4" s="2635"/>
      <c r="AH4" s="2635"/>
    </row>
    <row r="5" spans="1:34" s="3063" customFormat="1">
      <c r="A5" s="3061" t="s">
        <v>2991</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2020</v>
      </c>
      <c r="H5" s="3062">
        <v>1</v>
      </c>
      <c r="I5" s="3076">
        <v>0</v>
      </c>
      <c r="J5" s="3076">
        <v>0</v>
      </c>
      <c r="K5" s="3076">
        <v>0</v>
      </c>
      <c r="L5" s="3076">
        <v>0</v>
      </c>
      <c r="N5" s="2723">
        <f t="shared" ref="N5" si="7">I5/100</f>
        <v>0</v>
      </c>
      <c r="O5" s="2723">
        <f t="shared" ref="O5" si="8">J5/100</f>
        <v>0</v>
      </c>
      <c r="P5" s="2723">
        <f t="shared" ref="P5" si="9">K5/100</f>
        <v>0</v>
      </c>
      <c r="Q5" s="2723">
        <f t="shared" ref="Q5" si="10">L5/100</f>
        <v>0</v>
      </c>
      <c r="R5" s="3064"/>
      <c r="S5" s="3065"/>
      <c r="T5" s="3064"/>
      <c r="U5" s="3064"/>
      <c r="V5" s="3064"/>
      <c r="W5" s="3089" t="s">
        <v>2963</v>
      </c>
      <c r="X5" s="3066">
        <f>ROUND(IF(项目基本情况!B8="出让",SUMPRODUCT(PRODUCT(1+N5:N$29)),SUMPRODUCT(PRODUCT(1+N5:N$28))),4)</f>
        <v>1.5516000000000001</v>
      </c>
      <c r="Y5" s="3066">
        <f>ROUND(IF(项目基本情况!B8="出让",SUMPRODUCT(PRODUCT(1+O5:O$29)),SUMPRODUCT(PRODUCT(1+O5:O$28))),4)</f>
        <v>1.3649</v>
      </c>
      <c r="Z5" s="3066">
        <f t="shared" ref="Z5" si="11">Y5</f>
        <v>1.3649</v>
      </c>
      <c r="AA5" s="3066">
        <f>ROUND(IF(项目基本情况!B8="出让",SUMPRODUCT(PRODUCT(1+P5:P$29)),SUMPRODUCT(PRODUCT(1+P5:P$28))),4)</f>
        <v>1.6133999999999999</v>
      </c>
      <c r="AB5" s="3066">
        <f>ROUND(IF(项目基本情况!B8="出让",SUMPRODUCT(PRODUCT(1+Q5:Q$29)),SUMPRODUCT(PRODUCT(1+Q5:Q$28))),4)</f>
        <v>1.3713</v>
      </c>
      <c r="AD5" s="3067">
        <f>ROUND(AVERAGE(I5:I$29)/100,4)</f>
        <v>1.9E-2</v>
      </c>
      <c r="AE5" s="3067">
        <f>ROUND(AVERAGE(J5:J$29)/100,4)</f>
        <v>1.35E-2</v>
      </c>
      <c r="AF5" s="3067">
        <f t="shared" ref="AF5" si="12">AE5</f>
        <v>1.35E-2</v>
      </c>
      <c r="AG5" s="3067">
        <f>ROUND(AVERAGE(K5:K$29)/100,4)</f>
        <v>2.0799999999999999E-2</v>
      </c>
      <c r="AH5" s="3067">
        <f>ROUND(AVERAGE(L5:L$29)/100,4)</f>
        <v>1.3299999999999999E-2</v>
      </c>
    </row>
    <row r="6" spans="1:34" s="2722" customFormat="1">
      <c r="A6" s="2617" t="s">
        <v>2987</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4</v>
      </c>
      <c r="I6" s="2620">
        <v>0</v>
      </c>
      <c r="J6" s="2620">
        <v>0</v>
      </c>
      <c r="K6" s="2620">
        <v>0</v>
      </c>
      <c r="L6" s="2631">
        <v>0</v>
      </c>
      <c r="M6" s="2624"/>
      <c r="N6" s="2625">
        <f t="shared" ref="N6" si="18">I6/100</f>
        <v>0</v>
      </c>
      <c r="O6" s="2626">
        <f t="shared" ref="O6" si="19">J6/100</f>
        <v>0</v>
      </c>
      <c r="P6" s="2626">
        <f t="shared" ref="P6" si="20">K6/100</f>
        <v>0</v>
      </c>
      <c r="Q6" s="2626">
        <f t="shared" ref="Q6" si="21">L6/100</f>
        <v>0</v>
      </c>
      <c r="R6" s="2627"/>
      <c r="S6" s="2633"/>
      <c r="T6" s="2634"/>
      <c r="U6" s="2634"/>
      <c r="V6" s="2634"/>
      <c r="W6" s="2624"/>
      <c r="X6" s="2715">
        <f>ROUND(IF(项目基本情况!B8="出让",SUMPRODUCT(PRODUCT(1+N6:N$29)),SUMPRODUCT(PRODUCT(1+N6:N$28))),4)</f>
        <v>1.5516000000000001</v>
      </c>
      <c r="Y6" s="2715">
        <f>ROUND(IF(项目基本情况!B8="出让",SUMPRODUCT(PRODUCT(1+O6:O$29)),SUMPRODUCT(PRODUCT(1+O6:O$28))),4)</f>
        <v>1.3649</v>
      </c>
      <c r="Z6" s="2715">
        <f t="shared" ref="Z6" si="22">Y6</f>
        <v>1.3649</v>
      </c>
      <c r="AA6" s="2715">
        <f>ROUND(IF(项目基本情况!B8="出让",SUMPRODUCT(PRODUCT(1+P6:P$29)),SUMPRODUCT(PRODUCT(1+P6:P$28))),4)</f>
        <v>1.6133999999999999</v>
      </c>
      <c r="AB6" s="2715">
        <f>ROUND(IF(项目基本情况!B8="出让",SUMPRODUCT(PRODUCT(1+Q6:Q$29)),SUMPRODUCT(PRODUCT(1+Q6:Q$28))),4)</f>
        <v>1.3713</v>
      </c>
      <c r="AC6" s="2624"/>
      <c r="AD6" s="2635">
        <f>ROUND(AVERAGE(I6:I$29)/100,4)</f>
        <v>1.9800000000000002E-2</v>
      </c>
      <c r="AE6" s="2635">
        <f>ROUND(AVERAGE(J6:J$29)/100,4)</f>
        <v>1.41E-2</v>
      </c>
      <c r="AF6" s="2635">
        <f t="shared" ref="AF6" si="23">AE6</f>
        <v>1.41E-2</v>
      </c>
      <c r="AG6" s="2635">
        <f>ROUND(AVERAGE(K6:K$29)/100,4)</f>
        <v>2.1600000000000001E-2</v>
      </c>
      <c r="AH6" s="2635">
        <f>ROUND(AVERAGE(L6:L$29)/100,4)</f>
        <v>1.38E-2</v>
      </c>
    </row>
    <row r="7" spans="1:34" s="2722" customFormat="1" ht="13.8" thickBot="1">
      <c r="A7" s="2617" t="s">
        <v>2986</v>
      </c>
      <c r="B7" s="2630">
        <f t="shared" ref="B7" si="24">B8*(1+N7)</f>
        <v>477.19997390765138</v>
      </c>
      <c r="C7" s="2630">
        <f t="shared" ref="C7" si="25">C8*(1+O7)</f>
        <v>351.84874729536665</v>
      </c>
      <c r="D7" s="2630">
        <f t="shared" ref="D7" si="26">C7</f>
        <v>351.84874729536665</v>
      </c>
      <c r="E7" s="2630">
        <f t="shared" ref="E7" si="27">E8*(1+P7)</f>
        <v>682.29768951465201</v>
      </c>
      <c r="F7" s="2630">
        <f t="shared" ref="F7" si="28">F8*(1+Q7)</f>
        <v>315.26985675409043</v>
      </c>
      <c r="G7" s="2716">
        <v>2019</v>
      </c>
      <c r="H7" s="2620">
        <v>3</v>
      </c>
      <c r="I7" s="2620">
        <v>0.61</v>
      </c>
      <c r="J7" s="2620">
        <v>0.67</v>
      </c>
      <c r="K7" s="2620">
        <v>0.6</v>
      </c>
      <c r="L7" s="2631">
        <v>1.03</v>
      </c>
      <c r="M7" s="2624"/>
      <c r="N7" s="2625">
        <f t="shared" ref="N7" si="29">I7/100</f>
        <v>6.0999999999999995E-3</v>
      </c>
      <c r="O7" s="2626">
        <f t="shared" ref="O7" si="30">J7/100</f>
        <v>6.7000000000000002E-3</v>
      </c>
      <c r="P7" s="2626">
        <f t="shared" ref="P7" si="31">K7/100</f>
        <v>6.0000000000000001E-3</v>
      </c>
      <c r="Q7" s="2626">
        <f t="shared" ref="Q7" si="32">L7/100</f>
        <v>1.03E-2</v>
      </c>
      <c r="R7" s="2627"/>
      <c r="S7" s="2633"/>
      <c r="T7" s="2634"/>
      <c r="U7" s="2634"/>
      <c r="V7" s="2634"/>
      <c r="W7" s="2624"/>
      <c r="X7" s="2715">
        <f>ROUND(IF(项目基本情况!B8="出让",SUMPRODUCT(PRODUCT(1+N7:N$29)),SUMPRODUCT(PRODUCT(1+N7:N$28))),4)</f>
        <v>1.5516000000000001</v>
      </c>
      <c r="Y7" s="2715">
        <f>ROUND(IF(项目基本情况!B8="出让",SUMPRODUCT(PRODUCT(1+O7:O$29)),SUMPRODUCT(PRODUCT(1+O7:O$28))),4)</f>
        <v>1.3649</v>
      </c>
      <c r="Z7" s="2715">
        <f t="shared" ref="Z7" si="33">Y7</f>
        <v>1.3649</v>
      </c>
      <c r="AA7" s="2715">
        <f>ROUND(IF(项目基本情况!B8="出让",SUMPRODUCT(PRODUCT(1+P7:P$29)),SUMPRODUCT(PRODUCT(1+P7:P$28))),4)</f>
        <v>1.6133999999999999</v>
      </c>
      <c r="AB7" s="2715">
        <f>ROUND(IF(项目基本情况!B8="出让",SUMPRODUCT(PRODUCT(1+Q7:Q$29)),SUMPRODUCT(PRODUCT(1+Q7:Q$28))),4)</f>
        <v>1.3713</v>
      </c>
      <c r="AC7" s="2624"/>
      <c r="AD7" s="2635">
        <f>ROUND(AVERAGE(I7:I$29)/100,4)</f>
        <v>2.07E-2</v>
      </c>
      <c r="AE7" s="2635">
        <f>ROUND(AVERAGE(J7:J$29)/100,4)</f>
        <v>1.47E-2</v>
      </c>
      <c r="AF7" s="2635">
        <f t="shared" ref="AF7" si="34">AE7</f>
        <v>1.47E-2</v>
      </c>
      <c r="AG7" s="2635">
        <f>ROUND(AVERAGE(K7:K$29)/100,4)</f>
        <v>2.2599999999999999E-2</v>
      </c>
      <c r="AH7" s="2635">
        <f>ROUND(AVERAGE(L7:L$29)/100,4)</f>
        <v>1.44E-2</v>
      </c>
    </row>
    <row r="8" spans="1:34" s="2722" customFormat="1">
      <c r="A8" s="2617" t="s">
        <v>2983</v>
      </c>
      <c r="B8" s="2630">
        <f t="shared" ref="B8:B13" si="35">B9*(1+N8)</f>
        <v>474.30670301923408</v>
      </c>
      <c r="C8" s="2630">
        <f t="shared" ref="C8" si="36">C9*(1+O8)</f>
        <v>349.50705005996491</v>
      </c>
      <c r="D8" s="2630">
        <f t="shared" ref="D8" si="37">C8</f>
        <v>349.50705005996491</v>
      </c>
      <c r="E8" s="2630">
        <f t="shared" ref="E8" si="38">E9*(1+P8)</f>
        <v>678.22831959706957</v>
      </c>
      <c r="F8" s="2630">
        <f t="shared" ref="F8" si="39">F9*(1+Q8)</f>
        <v>312.0556832169558</v>
      </c>
      <c r="G8" s="2716">
        <v>2019</v>
      </c>
      <c r="H8" s="2618">
        <v>2</v>
      </c>
      <c r="I8" s="2618">
        <v>1.53</v>
      </c>
      <c r="J8" s="2618">
        <v>1.01</v>
      </c>
      <c r="K8" s="2618">
        <v>1.62</v>
      </c>
      <c r="L8" s="2619">
        <v>1.25</v>
      </c>
      <c r="M8" s="2624"/>
      <c r="N8" s="2625">
        <f t="shared" ref="N8" si="40">I8/100</f>
        <v>1.5300000000000001E-2</v>
      </c>
      <c r="O8" s="2626">
        <f t="shared" ref="O8" si="41">J8/100</f>
        <v>1.01E-2</v>
      </c>
      <c r="P8" s="2626">
        <f t="shared" ref="P8" si="42">K8/100</f>
        <v>1.6200000000000003E-2</v>
      </c>
      <c r="Q8" s="2626">
        <f t="shared" ref="Q8" si="43">L8/100</f>
        <v>1.2500000000000001E-2</v>
      </c>
      <c r="R8" s="2627"/>
      <c r="S8" s="2633"/>
      <c r="T8" s="2634"/>
      <c r="U8" s="2634"/>
      <c r="V8" s="2634"/>
      <c r="W8" s="2624"/>
      <c r="X8" s="2715">
        <f>ROUND(IF(项目基本情况!B8="出让",SUMPRODUCT(PRODUCT(1+N8:N$29)),SUMPRODUCT(PRODUCT(1+N8:N$28))),4)</f>
        <v>1.5422</v>
      </c>
      <c r="Y8" s="2715">
        <f>ROUND(IF(项目基本情况!B8="出让",SUMPRODUCT(PRODUCT(1+O8:O$29)),SUMPRODUCT(PRODUCT(1+O8:O$28))),4)</f>
        <v>1.3557999999999999</v>
      </c>
      <c r="Z8" s="2715">
        <f t="shared" ref="Z8" si="44">Y8</f>
        <v>1.3557999999999999</v>
      </c>
      <c r="AA8" s="2715">
        <f>ROUND(IF(项目基本情况!B8="出让",SUMPRODUCT(PRODUCT(1+P8:P$29)),SUMPRODUCT(PRODUCT(1+P8:P$28))),4)</f>
        <v>1.6036999999999999</v>
      </c>
      <c r="AB8" s="2715">
        <f>ROUND(IF(项目基本情况!B8="出让",SUMPRODUCT(PRODUCT(1+Q8:Q$29)),SUMPRODUCT(PRODUCT(1+Q8:Q$28))),4)</f>
        <v>1.3573</v>
      </c>
      <c r="AC8" s="2624"/>
      <c r="AD8" s="2635">
        <f>ROUND(AVERAGE(I8:I$29)/100,4)</f>
        <v>2.1299999999999999E-2</v>
      </c>
      <c r="AE8" s="2635">
        <f>ROUND(AVERAGE(J8:J$29)/100,4)</f>
        <v>1.4999999999999999E-2</v>
      </c>
      <c r="AF8" s="2635">
        <f t="shared" ref="AF8" si="45">AE8</f>
        <v>1.4999999999999999E-2</v>
      </c>
      <c r="AG8" s="2635">
        <f>ROUND(AVERAGE(K8:K$29)/100,4)</f>
        <v>2.3300000000000001E-2</v>
      </c>
      <c r="AH8" s="2635">
        <f>ROUND(AVERAGE(L8:L$29)/100,4)</f>
        <v>1.46E-2</v>
      </c>
    </row>
    <row r="9" spans="1:34" s="2722" customFormat="1" ht="13.8" thickBot="1">
      <c r="A9" s="2617" t="s">
        <v>2982</v>
      </c>
      <c r="B9" s="2630">
        <f t="shared" si="35"/>
        <v>467.15916775261894</v>
      </c>
      <c r="C9" s="2630">
        <f t="shared" ref="C9" si="46">C10*(1+O9)</f>
        <v>346.01232557169084</v>
      </c>
      <c r="D9" s="2630">
        <f t="shared" ref="D9" si="47">C9</f>
        <v>346.01232557169084</v>
      </c>
      <c r="E9" s="2630">
        <f t="shared" ref="E9" si="48">E10*(1+P9)</f>
        <v>667.41617752122568</v>
      </c>
      <c r="F9" s="2630">
        <f t="shared" ref="F9" si="49">F10*(1+Q9)</f>
        <v>308.20314391798104</v>
      </c>
      <c r="G9" s="2716">
        <v>2019</v>
      </c>
      <c r="H9" s="2620">
        <v>1</v>
      </c>
      <c r="I9" s="2620">
        <v>0.6</v>
      </c>
      <c r="J9" s="2620">
        <v>0.37</v>
      </c>
      <c r="K9" s="2620">
        <v>0.63</v>
      </c>
      <c r="L9" s="2631">
        <v>1.1299999999999999</v>
      </c>
      <c r="M9" s="2624"/>
      <c r="N9" s="2625">
        <f t="shared" ref="N9" si="50">I9/100</f>
        <v>6.0000000000000001E-3</v>
      </c>
      <c r="O9" s="2626">
        <f t="shared" ref="O9" si="51">J9/100</f>
        <v>3.7000000000000002E-3</v>
      </c>
      <c r="P9" s="2626">
        <f t="shared" ref="P9" si="52">K9/100</f>
        <v>6.3E-3</v>
      </c>
      <c r="Q9" s="2626">
        <f t="shared" ref="Q9" si="53">L9/100</f>
        <v>1.1299999999999999E-2</v>
      </c>
      <c r="R9" s="2627"/>
      <c r="S9" s="2633">
        <f>B9/B10-1</f>
        <v>6.0000000000000053E-3</v>
      </c>
      <c r="T9" s="2634">
        <f>C9/C10-1</f>
        <v>3.7000000000000366E-3</v>
      </c>
      <c r="U9" s="2634">
        <f>E9/E10-1</f>
        <v>6.2999999999999723E-3</v>
      </c>
      <c r="V9" s="2634">
        <f>F9/F10-1</f>
        <v>1.1300000000000088E-2</v>
      </c>
      <c r="W9" s="2624"/>
      <c r="X9" s="2715">
        <f>ROUND(IF(项目基本情况!B8="出让",SUMPRODUCT(PRODUCT(1+N9:N$29)),SUMPRODUCT(PRODUCT(1+N9:N$28))),4)</f>
        <v>1.5189999999999999</v>
      </c>
      <c r="Y9" s="2715">
        <f>ROUND(IF(项目基本情况!B8="出让",SUMPRODUCT(PRODUCT(1+O9:O$29)),SUMPRODUCT(PRODUCT(1+O9:O$28))),4)</f>
        <v>1.3423</v>
      </c>
      <c r="Z9" s="2715">
        <f t="shared" ref="Z9" si="54">Y9</f>
        <v>1.3423</v>
      </c>
      <c r="AA9" s="2715">
        <f>ROUND(IF(项目基本情况!B8="出让",SUMPRODUCT(PRODUCT(1+P9:P$29)),SUMPRODUCT(PRODUCT(1+P9:P$28))),4)</f>
        <v>1.5782</v>
      </c>
      <c r="AB9" s="2715">
        <f>ROUND(IF(项目基本情况!B8="出让",SUMPRODUCT(PRODUCT(1+Q9:Q$29)),SUMPRODUCT(PRODUCT(1+Q9:Q$28))),4)</f>
        <v>1.3405</v>
      </c>
      <c r="AC9" s="2624"/>
      <c r="AD9" s="2635">
        <f>ROUND(AVERAGE(I9:I$29)/100,4)</f>
        <v>2.1600000000000001E-2</v>
      </c>
      <c r="AE9" s="2635">
        <f>ROUND(AVERAGE(J9:J$29)/100,4)</f>
        <v>1.5299999999999999E-2</v>
      </c>
      <c r="AF9" s="2635">
        <f t="shared" ref="AF9" si="55">AE9</f>
        <v>1.5299999999999999E-2</v>
      </c>
      <c r="AG9" s="2635">
        <f>ROUND(AVERAGE(K9:K$29)/100,4)</f>
        <v>2.3699999999999999E-2</v>
      </c>
      <c r="AH9" s="2635">
        <f>ROUND(AVERAGE(L9:L$29)/100,4)</f>
        <v>1.47E-2</v>
      </c>
    </row>
    <row r="10" spans="1:34" s="2722" customFormat="1">
      <c r="A10" s="2617" t="s">
        <v>2979</v>
      </c>
      <c r="B10" s="3175">
        <f t="shared" si="35"/>
        <v>464.37293017158942</v>
      </c>
      <c r="C10" s="3175">
        <f t="shared" ref="C10" si="56">C11*(1+O10)</f>
        <v>344.73679941385956</v>
      </c>
      <c r="D10" s="3175">
        <f t="shared" ref="D10" si="57">C10</f>
        <v>344.73679941385956</v>
      </c>
      <c r="E10" s="3175">
        <f t="shared" ref="E10" si="58">E11*(1+P10)</f>
        <v>663.2377795103107</v>
      </c>
      <c r="F10" s="3176">
        <f t="shared" ref="F10" si="59">F11*(1+Q10)</f>
        <v>304.75936311478398</v>
      </c>
      <c r="G10" s="3451">
        <v>2018</v>
      </c>
      <c r="H10" s="2618">
        <v>4</v>
      </c>
      <c r="I10" s="2618">
        <v>0.96</v>
      </c>
      <c r="J10" s="2618">
        <v>1.03</v>
      </c>
      <c r="K10" s="2618">
        <v>0.92</v>
      </c>
      <c r="L10" s="2619">
        <v>1.29</v>
      </c>
      <c r="M10" s="2624"/>
      <c r="N10" s="2625">
        <f t="shared" ref="N10" si="60">I10/100</f>
        <v>9.5999999999999992E-3</v>
      </c>
      <c r="O10" s="2626">
        <f t="shared" ref="O10" si="61">J10/100</f>
        <v>1.03E-2</v>
      </c>
      <c r="P10" s="2626">
        <f t="shared" ref="P10" si="62">K10/100</f>
        <v>9.1999999999999998E-3</v>
      </c>
      <c r="Q10" s="2626">
        <f t="shared" ref="Q10" si="63">L10/100</f>
        <v>1.29E-2</v>
      </c>
      <c r="R10" s="2627"/>
      <c r="S10" s="2628"/>
      <c r="T10" s="2629"/>
      <c r="U10" s="2629"/>
      <c r="V10" s="2629"/>
      <c r="W10" s="2624"/>
      <c r="X10" s="2715">
        <f>ROUND(SUMPRODUCT(PRODUCT(1+N10:N$28)),4)</f>
        <v>1.5099</v>
      </c>
      <c r="Y10" s="2715">
        <f>ROUND(SUMPRODUCT(PRODUCT(1+O10:O$28)),4)</f>
        <v>1.3372999999999999</v>
      </c>
      <c r="Z10" s="2715">
        <f t="shared" ref="Z10" si="64">Y10</f>
        <v>1.3372999999999999</v>
      </c>
      <c r="AA10" s="2715">
        <f>ROUND(SUMPRODUCT(PRODUCT(1+P10:P$28)),4)</f>
        <v>1.5683</v>
      </c>
      <c r="AB10" s="2715">
        <f>ROUND(SUMPRODUCT(PRODUCT(1+Q10:Q$28)),4)</f>
        <v>1.3255999999999999</v>
      </c>
      <c r="AC10" s="2624"/>
      <c r="AD10" s="2635">
        <f>ROUND(AVERAGE(I10:I$29)/100,4)</f>
        <v>2.24E-2</v>
      </c>
      <c r="AE10" s="2635">
        <f>ROUND(AVERAGE(J10:J$29)/100,4)</f>
        <v>1.5800000000000002E-2</v>
      </c>
      <c r="AF10" s="2635">
        <f t="shared" ref="AF10" si="65">AE10</f>
        <v>1.5800000000000002E-2</v>
      </c>
      <c r="AG10" s="2635">
        <f>ROUND(AVERAGE(K10:K$29)/100,4)</f>
        <v>2.4500000000000001E-2</v>
      </c>
      <c r="AH10" s="2635">
        <f>ROUND(AVERAGE(L10:L$29)/100,4)</f>
        <v>1.49E-2</v>
      </c>
    </row>
    <row r="11" spans="1:34" s="2722" customFormat="1" ht="14.4" customHeight="1">
      <c r="A11" s="2617" t="s">
        <v>2972</v>
      </c>
      <c r="B11" s="2630">
        <f t="shared" si="35"/>
        <v>459.95733971036987</v>
      </c>
      <c r="C11" s="2630">
        <f t="shared" ref="C11" si="66">C12*(1+O11)</f>
        <v>341.22221064422405</v>
      </c>
      <c r="D11" s="2630">
        <f t="shared" ref="D11" si="67">C11</f>
        <v>341.22221064422405</v>
      </c>
      <c r="E11" s="2630">
        <f t="shared" ref="E11" si="68">E12*(1+P11)</f>
        <v>657.19161663724799</v>
      </c>
      <c r="F11" s="2630">
        <f t="shared" ref="F11" si="69">F12*(1+Q11)</f>
        <v>300.87803644464805</v>
      </c>
      <c r="G11" s="3451"/>
      <c r="H11" s="2620">
        <v>3</v>
      </c>
      <c r="I11" s="2620">
        <v>1.51</v>
      </c>
      <c r="J11" s="2620">
        <v>1.41</v>
      </c>
      <c r="K11" s="2620">
        <v>1.52</v>
      </c>
      <c r="L11" s="2631">
        <v>1.74</v>
      </c>
      <c r="M11" s="2624"/>
      <c r="N11" s="2625">
        <f t="shared" ref="N11" si="70">I11/100</f>
        <v>1.5100000000000001E-2</v>
      </c>
      <c r="O11" s="2626">
        <f t="shared" ref="O11" si="71">J11/100</f>
        <v>1.41E-2</v>
      </c>
      <c r="P11" s="2626">
        <f t="shared" ref="P11" si="72">K11/100</f>
        <v>1.52E-2</v>
      </c>
      <c r="Q11" s="2626">
        <f t="shared" ref="Q11" si="73">L11/100</f>
        <v>1.7399999999999999E-2</v>
      </c>
      <c r="R11" s="2627"/>
      <c r="S11" s="2625"/>
      <c r="T11" s="2626"/>
      <c r="U11" s="2626"/>
      <c r="V11" s="2626"/>
      <c r="W11" s="2624"/>
      <c r="X11" s="2715">
        <f>ROUND(SUMPRODUCT(PRODUCT(1+N11:N$28)),4)</f>
        <v>1.4956</v>
      </c>
      <c r="Y11" s="2715">
        <f>ROUND(SUMPRODUCT(PRODUCT(1+O11:O$28)),4)</f>
        <v>1.3237000000000001</v>
      </c>
      <c r="Z11" s="2715">
        <f t="shared" ref="Z11" si="74">Y11</f>
        <v>1.3237000000000001</v>
      </c>
      <c r="AA11" s="2715">
        <f>ROUND(SUMPRODUCT(PRODUCT(1+P11:P$28)),4)</f>
        <v>1.554</v>
      </c>
      <c r="AB11" s="2715">
        <f>ROUND(SUMPRODUCT(PRODUCT(1+Q11:Q$28)),4)</f>
        <v>1.3087</v>
      </c>
      <c r="AC11" s="2624"/>
      <c r="AD11" s="2635">
        <f>ROUND(AVERAGE(I11:I$29)/100,4)</f>
        <v>2.3099999999999999E-2</v>
      </c>
      <c r="AE11" s="2635">
        <f>ROUND(AVERAGE(J11:J$29)/100,4)</f>
        <v>1.61E-2</v>
      </c>
      <c r="AF11" s="2635">
        <f t="shared" ref="AF11" si="75">AE11</f>
        <v>1.61E-2</v>
      </c>
      <c r="AG11" s="2635">
        <f>ROUND(AVERAGE(K11:K$29)/100,4)</f>
        <v>2.53E-2</v>
      </c>
      <c r="AH11" s="2635">
        <f>ROUND(AVERAGE(L11:L$29)/100,4)</f>
        <v>1.4999999999999999E-2</v>
      </c>
    </row>
    <row r="12" spans="1:34" s="2722" customFormat="1" ht="14.4" customHeight="1">
      <c r="A12" s="2617" t="s">
        <v>2973</v>
      </c>
      <c r="B12" s="2630">
        <f t="shared" si="35"/>
        <v>453.11529869999993</v>
      </c>
      <c r="C12" s="2630">
        <f t="shared" ref="C12" si="76">C13*(1+O12)</f>
        <v>336.47787264000004</v>
      </c>
      <c r="D12" s="2630">
        <f t="shared" ref="D12" si="77">C12</f>
        <v>336.47787264000004</v>
      </c>
      <c r="E12" s="2630">
        <f t="shared" ref="E12" si="78">E13*(1+P12)</f>
        <v>647.35186823999993</v>
      </c>
      <c r="F12" s="2630">
        <f t="shared" ref="F12" si="79">F13*(1+Q12)</f>
        <v>295.73229452000004</v>
      </c>
      <c r="G12" s="3451"/>
      <c r="H12" s="2621">
        <v>2</v>
      </c>
      <c r="I12" s="2621">
        <v>1.49</v>
      </c>
      <c r="J12" s="2621">
        <v>0.96</v>
      </c>
      <c r="K12" s="2621">
        <v>1.58</v>
      </c>
      <c r="L12" s="2632">
        <v>2.44</v>
      </c>
      <c r="M12" s="2624"/>
      <c r="N12" s="2625">
        <f t="shared" ref="N12" si="80">I12/100</f>
        <v>1.49E-2</v>
      </c>
      <c r="O12" s="2626">
        <f t="shared" ref="O12" si="81">J12/100</f>
        <v>9.5999999999999992E-3</v>
      </c>
      <c r="P12" s="2626">
        <f t="shared" ref="P12" si="82">K12/100</f>
        <v>1.5800000000000002E-2</v>
      </c>
      <c r="Q12" s="2626">
        <f t="shared" ref="Q12" si="83">L12/100</f>
        <v>2.4399999999999998E-2</v>
      </c>
      <c r="R12" s="2627"/>
      <c r="S12" s="2625"/>
      <c r="T12" s="2626"/>
      <c r="U12" s="2626"/>
      <c r="V12" s="2626"/>
      <c r="W12" s="2624"/>
      <c r="X12" s="2715">
        <f>ROUND(SUMPRODUCT(PRODUCT(1+N12:N$28)),4)</f>
        <v>1.4733000000000001</v>
      </c>
      <c r="Y12" s="2715">
        <f>ROUND(SUMPRODUCT(PRODUCT(1+O12:O$28)),4)</f>
        <v>1.3052999999999999</v>
      </c>
      <c r="Z12" s="2715">
        <f t="shared" ref="Z12" si="84">Y12</f>
        <v>1.3052999999999999</v>
      </c>
      <c r="AA12" s="2715">
        <f>ROUND(SUMPRODUCT(PRODUCT(1+P12:P$28)),4)</f>
        <v>1.5306999999999999</v>
      </c>
      <c r="AB12" s="2715">
        <f>ROUND(SUMPRODUCT(PRODUCT(1+Q12:Q$28)),4)</f>
        <v>1.2863</v>
      </c>
      <c r="AC12" s="2624"/>
      <c r="AD12" s="2635">
        <f>ROUND(AVERAGE(I12:I$29)/100,4)</f>
        <v>2.35E-2</v>
      </c>
      <c r="AE12" s="2635">
        <f>ROUND(AVERAGE(J12:J$29)/100,4)</f>
        <v>1.6199999999999999E-2</v>
      </c>
      <c r="AF12" s="2635">
        <f t="shared" ref="AF12" si="85">AE12</f>
        <v>1.6199999999999999E-2</v>
      </c>
      <c r="AG12" s="2635">
        <f>ROUND(AVERAGE(K12:K$29)/100,4)</f>
        <v>2.5899999999999999E-2</v>
      </c>
      <c r="AH12" s="2635">
        <f>ROUND(AVERAGE(L12:L$29)/100,4)</f>
        <v>1.49E-2</v>
      </c>
    </row>
    <row r="13" spans="1:34" s="2722" customFormat="1" ht="15" customHeight="1" thickBot="1">
      <c r="A13" s="2617" t="s">
        <v>2969</v>
      </c>
      <c r="B13" s="2630">
        <f t="shared" si="35"/>
        <v>446.46299999999997</v>
      </c>
      <c r="C13" s="2630">
        <f t="shared" ref="C13" si="86">C14*(1+O13)</f>
        <v>333.27840000000003</v>
      </c>
      <c r="D13" s="2630">
        <f t="shared" ref="D13:D18" si="87">C13</f>
        <v>333.27840000000003</v>
      </c>
      <c r="E13" s="2630">
        <f t="shared" ref="E13" si="88">E14*(1+P13)</f>
        <v>637.28279999999995</v>
      </c>
      <c r="F13" s="2630">
        <f t="shared" ref="F13" si="89">F14*(1+Q13)</f>
        <v>288.68830000000003</v>
      </c>
      <c r="G13" s="3452"/>
      <c r="H13" s="2620">
        <v>1</v>
      </c>
      <c r="I13" s="2620">
        <v>1.7</v>
      </c>
      <c r="J13" s="2620">
        <v>1.92</v>
      </c>
      <c r="K13" s="2620">
        <v>1.64</v>
      </c>
      <c r="L13" s="2631">
        <v>2.0099999999999998</v>
      </c>
      <c r="M13" s="2624"/>
      <c r="N13" s="2625">
        <f t="shared" ref="N13:N18" si="90">I13/100</f>
        <v>1.7000000000000001E-2</v>
      </c>
      <c r="O13" s="2626">
        <f t="shared" ref="O13" si="91">J13/100</f>
        <v>1.9199999999999998E-2</v>
      </c>
      <c r="P13" s="2626">
        <f t="shared" ref="P13" si="92">K13/100</f>
        <v>1.6399999999999998E-2</v>
      </c>
      <c r="Q13" s="2626">
        <f t="shared" ref="Q13" si="93">L13/100</f>
        <v>2.0099999999999996E-2</v>
      </c>
      <c r="R13" s="2627"/>
      <c r="S13" s="2633">
        <f>B13/B14-1</f>
        <v>1.6999999999999904E-2</v>
      </c>
      <c r="T13" s="2634">
        <f>C13/C14-1</f>
        <v>1.9200000000000106E-2</v>
      </c>
      <c r="U13" s="2634">
        <f>E13/E14-1</f>
        <v>1.639999999999997E-2</v>
      </c>
      <c r="V13" s="2634">
        <f>F13/F14-1</f>
        <v>2.0100000000000007E-2</v>
      </c>
      <c r="W13" s="2624"/>
      <c r="X13" s="2715">
        <f>ROUND(SUMPRODUCT(PRODUCT(1+N13:N$28)),4)</f>
        <v>1.4517</v>
      </c>
      <c r="Y13" s="2715">
        <f>ROUND(SUMPRODUCT(PRODUCT(1+O13:O$28)),4)</f>
        <v>1.2928999999999999</v>
      </c>
      <c r="Z13" s="2715">
        <f t="shared" ref="Z13" si="94">Y13</f>
        <v>1.2928999999999999</v>
      </c>
      <c r="AA13" s="2715">
        <f>ROUND(SUMPRODUCT(PRODUCT(1+P13:P$28)),4)</f>
        <v>1.5068999999999999</v>
      </c>
      <c r="AB13" s="2715">
        <f>ROUND(SUMPRODUCT(PRODUCT(1+Q13:Q$28)),4)</f>
        <v>1.2557</v>
      </c>
      <c r="AC13" s="2624"/>
      <c r="AD13" s="2635">
        <f>ROUND(AVERAGE(I13:I$29)/100,4)</f>
        <v>2.4E-2</v>
      </c>
      <c r="AE13" s="2635">
        <f>ROUND(AVERAGE(J13:J$29)/100,4)</f>
        <v>1.66E-2</v>
      </c>
      <c r="AF13" s="2635">
        <f t="shared" ref="AF13" si="95">AE13</f>
        <v>1.66E-2</v>
      </c>
      <c r="AG13" s="2635">
        <f>ROUND(AVERAGE(K13:K$29)/100,4)</f>
        <v>2.6499999999999999E-2</v>
      </c>
      <c r="AH13" s="2635">
        <f>ROUND(AVERAGE(L13:L$29)/100,4)</f>
        <v>1.43E-2</v>
      </c>
    </row>
    <row r="14" spans="1:34">
      <c r="A14" s="2617" t="s">
        <v>2960</v>
      </c>
      <c r="B14" s="3093">
        <v>439</v>
      </c>
      <c r="C14" s="3093">
        <v>327</v>
      </c>
      <c r="D14" s="3093">
        <f t="shared" si="87"/>
        <v>327</v>
      </c>
      <c r="E14" s="3093">
        <v>627</v>
      </c>
      <c r="F14" s="3094">
        <v>283</v>
      </c>
      <c r="G14" s="3450">
        <v>2017</v>
      </c>
      <c r="H14" s="2618">
        <v>4</v>
      </c>
      <c r="I14" s="2618">
        <v>1.71</v>
      </c>
      <c r="J14" s="2618">
        <v>1.78</v>
      </c>
      <c r="K14" s="2618">
        <v>1.71</v>
      </c>
      <c r="L14" s="2619">
        <v>1.43</v>
      </c>
      <c r="N14" s="2638">
        <f t="shared" si="90"/>
        <v>1.7100000000000001E-2</v>
      </c>
      <c r="O14" s="2639">
        <f t="shared" ref="O14" si="96">J14/100</f>
        <v>1.78E-2</v>
      </c>
      <c r="P14" s="2639">
        <f t="shared" ref="P14" si="97">K14/100</f>
        <v>1.7100000000000001E-2</v>
      </c>
      <c r="Q14" s="2639">
        <f t="shared" ref="Q14" si="98">L14/100</f>
        <v>1.43E-2</v>
      </c>
      <c r="R14" s="2627"/>
      <c r="S14" s="2628"/>
      <c r="T14" s="2629"/>
      <c r="U14" s="2629"/>
      <c r="V14" s="2629"/>
      <c r="X14" s="2715">
        <f>ROUND(SUMPRODUCT(PRODUCT(1+N14:N$28)),4)</f>
        <v>1.4274</v>
      </c>
      <c r="Y14" s="2715">
        <f>ROUND(SUMPRODUCT(PRODUCT(1+O14:O$28)),4)</f>
        <v>1.2685</v>
      </c>
      <c r="Z14" s="2715">
        <f t="shared" si="0"/>
        <v>1.2685</v>
      </c>
      <c r="AA14" s="2715">
        <f>ROUND(SUMPRODUCT(PRODUCT(1+P14:P$28)),4)</f>
        <v>1.4825999999999999</v>
      </c>
      <c r="AB14" s="2715">
        <f>ROUND(SUMPRODUCT(PRODUCT(1+Q14:Q$28)),4)</f>
        <v>1.2309000000000001</v>
      </c>
      <c r="AD14" s="2635">
        <f>ROUND(AVERAGE(I14:I$29)/100,4)</f>
        <v>2.4500000000000001E-2</v>
      </c>
      <c r="AE14" s="2635">
        <f>ROUND(AVERAGE(J14:J$29)/100,4)</f>
        <v>1.6500000000000001E-2</v>
      </c>
      <c r="AF14" s="2635">
        <f t="shared" si="1"/>
        <v>1.6500000000000001E-2</v>
      </c>
      <c r="AG14" s="2635">
        <f>ROUND(AVERAGE(K14:K$29)/100,4)</f>
        <v>2.7099999999999999E-2</v>
      </c>
      <c r="AH14" s="2635">
        <f>ROUND(AVERAGE(L14:L$29)/100,4)</f>
        <v>1.3899999999999999E-2</v>
      </c>
    </row>
    <row r="15" spans="1:34" s="2722" customFormat="1" ht="14.4" customHeight="1">
      <c r="A15" s="2617" t="s">
        <v>2964</v>
      </c>
      <c r="B15" s="2630">
        <f t="shared" ref="B15:C17" si="99">B16*(1+N15)</f>
        <v>431.80730811680002</v>
      </c>
      <c r="C15" s="2630">
        <f t="shared" si="99"/>
        <v>320.57880516480003</v>
      </c>
      <c r="D15" s="2630">
        <f t="shared" si="87"/>
        <v>320.57880516480003</v>
      </c>
      <c r="E15" s="2630">
        <f t="shared" ref="E15:F17" si="100">E16*(1+P15)</f>
        <v>615.96110553196797</v>
      </c>
      <c r="F15" s="2630">
        <f t="shared" si="100"/>
        <v>279.46777300108801</v>
      </c>
      <c r="G15" s="3451"/>
      <c r="H15" s="2620">
        <v>3</v>
      </c>
      <c r="I15" s="2620">
        <v>2.98</v>
      </c>
      <c r="J15" s="2620">
        <v>2.11</v>
      </c>
      <c r="K15" s="2620">
        <v>3.24</v>
      </c>
      <c r="L15" s="2631">
        <v>1.72</v>
      </c>
      <c r="M15" s="2624"/>
      <c r="N15" s="2625">
        <f t="shared" si="90"/>
        <v>2.98E-2</v>
      </c>
      <c r="O15" s="2643">
        <f t="shared" ref="O15:O16" si="101">J15/100</f>
        <v>2.1099999999999997E-2</v>
      </c>
      <c r="P15" s="2643">
        <f t="shared" ref="P15:P16" si="102">K15/100</f>
        <v>3.2400000000000005E-2</v>
      </c>
      <c r="Q15" s="2643">
        <f t="shared" ref="Q15:Q16" si="103">L15/100</f>
        <v>1.72E-2</v>
      </c>
      <c r="R15" s="2627"/>
      <c r="S15" s="2625"/>
      <c r="T15" s="2626"/>
      <c r="U15" s="2626"/>
      <c r="V15" s="2626"/>
      <c r="W15" s="2624"/>
      <c r="X15" s="2715">
        <f>ROUND(SUMPRODUCT(PRODUCT(1+N15:N$28)),4)</f>
        <v>1.4034</v>
      </c>
      <c r="Y15" s="2715">
        <f>ROUND(SUMPRODUCT(PRODUCT(1+O15:O$28)),4)</f>
        <v>1.2463</v>
      </c>
      <c r="Z15" s="2715">
        <f t="shared" si="0"/>
        <v>1.2463</v>
      </c>
      <c r="AA15" s="2715">
        <f>ROUND(SUMPRODUCT(PRODUCT(1+P15:P$28)),4)</f>
        <v>1.4577</v>
      </c>
      <c r="AB15" s="2715">
        <f>ROUND(SUMPRODUCT(PRODUCT(1+Q15:Q$28)),4)</f>
        <v>1.2136</v>
      </c>
      <c r="AC15" s="2624"/>
      <c r="AD15" s="2635">
        <f>ROUND(AVERAGE(I15:I$29)/100,4)</f>
        <v>2.4899999999999999E-2</v>
      </c>
      <c r="AE15" s="2635">
        <f>ROUND(AVERAGE(J15:J$29)/100,4)</f>
        <v>1.6400000000000001E-2</v>
      </c>
      <c r="AF15" s="2635">
        <f t="shared" si="1"/>
        <v>1.6400000000000001E-2</v>
      </c>
      <c r="AG15" s="2635">
        <f>ROUND(AVERAGE(K15:K$29)/100,4)</f>
        <v>2.7799999999999998E-2</v>
      </c>
      <c r="AH15" s="2635">
        <f>ROUND(AVERAGE(L15:L$29)/100,4)</f>
        <v>1.3899999999999999E-2</v>
      </c>
    </row>
    <row r="16" spans="1:34" s="2615" customFormat="1" ht="14.4" customHeight="1">
      <c r="A16" s="2617" t="s">
        <v>2577</v>
      </c>
      <c r="B16" s="2630">
        <f t="shared" si="99"/>
        <v>419.31181600000002</v>
      </c>
      <c r="C16" s="2630">
        <f t="shared" si="99"/>
        <v>313.95436800000004</v>
      </c>
      <c r="D16" s="2630">
        <f t="shared" si="87"/>
        <v>313.95436800000004</v>
      </c>
      <c r="E16" s="2630">
        <f t="shared" si="100"/>
        <v>596.63028431999999</v>
      </c>
      <c r="F16" s="2630">
        <f t="shared" si="100"/>
        <v>274.74220703999998</v>
      </c>
      <c r="G16" s="3451"/>
      <c r="H16" s="2621">
        <v>2</v>
      </c>
      <c r="I16" s="2621">
        <v>3.4</v>
      </c>
      <c r="J16" s="2621">
        <v>2</v>
      </c>
      <c r="K16" s="2621">
        <v>3.82</v>
      </c>
      <c r="L16" s="2632">
        <v>1.68</v>
      </c>
      <c r="N16" s="2625">
        <f t="shared" si="90"/>
        <v>3.4000000000000002E-2</v>
      </c>
      <c r="O16" s="2643">
        <f t="shared" si="101"/>
        <v>0.02</v>
      </c>
      <c r="P16" s="2643">
        <f t="shared" si="102"/>
        <v>3.8199999999999998E-2</v>
      </c>
      <c r="Q16" s="2643">
        <f t="shared" si="103"/>
        <v>1.6799999999999999E-2</v>
      </c>
      <c r="R16" s="2616"/>
      <c r="S16" s="2625"/>
      <c r="T16" s="2626"/>
      <c r="U16" s="2626"/>
      <c r="V16" s="2626"/>
      <c r="X16" s="2715">
        <f>ROUND(SUMPRODUCT(PRODUCT(1+N16:N$28)),4)</f>
        <v>1.3628</v>
      </c>
      <c r="Y16" s="2715">
        <f>ROUND(SUMPRODUCT(PRODUCT(1+O16:O$28)),4)</f>
        <v>1.2205999999999999</v>
      </c>
      <c r="Z16" s="2715">
        <f t="shared" si="0"/>
        <v>1.2205999999999999</v>
      </c>
      <c r="AA16" s="2715">
        <f>ROUND(SUMPRODUCT(PRODUCT(1+P16:P$28)),4)</f>
        <v>1.4118999999999999</v>
      </c>
      <c r="AB16" s="2715">
        <f>ROUND(SUMPRODUCT(PRODUCT(1+Q16:Q$28)),4)</f>
        <v>1.1930000000000001</v>
      </c>
      <c r="AD16" s="2635">
        <f>ROUND(AVERAGE(I16:I$29)/100,4)</f>
        <v>2.46E-2</v>
      </c>
      <c r="AE16" s="2635">
        <f>ROUND(AVERAGE(J16:J$29)/100,4)</f>
        <v>1.6E-2</v>
      </c>
      <c r="AF16" s="2635">
        <f t="shared" si="1"/>
        <v>1.6E-2</v>
      </c>
      <c r="AG16" s="2635">
        <f>ROUND(AVERAGE(K16:K$29)/100,4)</f>
        <v>2.75E-2</v>
      </c>
      <c r="AH16" s="2635">
        <f>ROUND(AVERAGE(L16:L$29)/100,4)</f>
        <v>1.37E-2</v>
      </c>
    </row>
    <row r="17" spans="1:34" s="2722" customFormat="1" ht="15" customHeight="1" thickBot="1">
      <c r="A17" s="2617" t="s">
        <v>2578</v>
      </c>
      <c r="B17" s="2630">
        <f t="shared" si="99"/>
        <v>405.524</v>
      </c>
      <c r="C17" s="2630">
        <f t="shared" si="99"/>
        <v>307.79840000000002</v>
      </c>
      <c r="D17" s="2630">
        <f t="shared" si="87"/>
        <v>307.79840000000002</v>
      </c>
      <c r="E17" s="2630">
        <f t="shared" si="100"/>
        <v>574.67759999999998</v>
      </c>
      <c r="F17" s="2630">
        <f t="shared" si="100"/>
        <v>270.20280000000002</v>
      </c>
      <c r="G17" s="3452"/>
      <c r="H17" s="2620">
        <v>1</v>
      </c>
      <c r="I17" s="2620">
        <v>3.45</v>
      </c>
      <c r="J17" s="2620">
        <v>1.92</v>
      </c>
      <c r="K17" s="2620">
        <v>3.92</v>
      </c>
      <c r="L17" s="2631">
        <v>1.58</v>
      </c>
      <c r="M17" s="2624"/>
      <c r="N17" s="2633">
        <f t="shared" si="90"/>
        <v>3.4500000000000003E-2</v>
      </c>
      <c r="O17" s="2634">
        <f t="shared" ref="O17" si="104">J17/100</f>
        <v>1.9199999999999998E-2</v>
      </c>
      <c r="P17" s="2634">
        <f t="shared" ref="P17" si="105">K17/100</f>
        <v>3.9199999999999999E-2</v>
      </c>
      <c r="Q17" s="2634">
        <f t="shared" ref="Q17" si="106">L17/100</f>
        <v>1.5800000000000002E-2</v>
      </c>
      <c r="R17" s="2627"/>
      <c r="S17" s="2633">
        <f>B17/B18-1</f>
        <v>3.4499999999999975E-2</v>
      </c>
      <c r="T17" s="2634">
        <f>C17/C18-1</f>
        <v>1.9200000000000106E-2</v>
      </c>
      <c r="U17" s="2634">
        <f>E17/E18-1</f>
        <v>3.9199999999999902E-2</v>
      </c>
      <c r="V17" s="2634">
        <f>F17/F18-1</f>
        <v>1.5800000000000036E-2</v>
      </c>
      <c r="W17" s="2624"/>
      <c r="X17" s="2715">
        <f>ROUND(SUMPRODUCT(PRODUCT(1+N17:N$28)),4)</f>
        <v>1.3180000000000001</v>
      </c>
      <c r="Y17" s="2715">
        <f>ROUND(SUMPRODUCT(PRODUCT(1+O17:O$28)),4)</f>
        <v>1.1966000000000001</v>
      </c>
      <c r="Z17" s="2715">
        <f t="shared" si="0"/>
        <v>1.1966000000000001</v>
      </c>
      <c r="AA17" s="2715">
        <f>ROUND(SUMPRODUCT(PRODUCT(1+P17:P$28)),4)</f>
        <v>1.36</v>
      </c>
      <c r="AB17" s="2715">
        <f>ROUND(SUMPRODUCT(PRODUCT(1+Q17:Q$28)),4)</f>
        <v>1.1733</v>
      </c>
      <c r="AC17" s="2624"/>
      <c r="AD17" s="2635">
        <f>ROUND(AVERAGE(I17:I$29)/100,4)</f>
        <v>2.3900000000000001E-2</v>
      </c>
      <c r="AE17" s="2635">
        <f>ROUND(AVERAGE(J17:J$29)/100,4)</f>
        <v>1.5699999999999999E-2</v>
      </c>
      <c r="AF17" s="2635">
        <f t="shared" si="1"/>
        <v>1.5699999999999999E-2</v>
      </c>
      <c r="AG17" s="2635">
        <f>ROUND(AVERAGE(K17:K$29)/100,4)</f>
        <v>2.6599999999999999E-2</v>
      </c>
      <c r="AH17" s="2635">
        <f>ROUND(AVERAGE(L17:L$29)/100,4)</f>
        <v>1.34E-2</v>
      </c>
    </row>
    <row r="18" spans="1:34">
      <c r="A18" s="2617" t="s">
        <v>970</v>
      </c>
      <c r="B18" s="2622">
        <v>392</v>
      </c>
      <c r="C18" s="2622">
        <v>302</v>
      </c>
      <c r="D18" s="2622">
        <f t="shared" si="87"/>
        <v>302</v>
      </c>
      <c r="E18" s="2622">
        <v>553</v>
      </c>
      <c r="F18" s="2623">
        <v>266</v>
      </c>
      <c r="G18" s="3450">
        <v>2016</v>
      </c>
      <c r="H18" s="2618">
        <v>4</v>
      </c>
      <c r="I18" s="2618">
        <v>4.5599999999999996</v>
      </c>
      <c r="J18" s="2618">
        <v>2.15</v>
      </c>
      <c r="K18" s="2618">
        <v>5.32</v>
      </c>
      <c r="L18" s="2619">
        <v>1.57</v>
      </c>
      <c r="N18" s="2625">
        <f t="shared" si="90"/>
        <v>4.5599999999999995E-2</v>
      </c>
      <c r="O18" s="2626">
        <f t="shared" ref="O18:Q33" si="107">J18/100</f>
        <v>2.1499999999999998E-2</v>
      </c>
      <c r="P18" s="2626">
        <f t="shared" si="107"/>
        <v>5.3200000000000004E-2</v>
      </c>
      <c r="Q18" s="2626">
        <f t="shared" si="107"/>
        <v>1.5700000000000002E-2</v>
      </c>
      <c r="R18" s="2627"/>
      <c r="S18" s="2628"/>
      <c r="T18" s="2629"/>
      <c r="U18" s="2629"/>
      <c r="V18" s="2629"/>
      <c r="X18" s="2715">
        <f>ROUND(SUMPRODUCT(PRODUCT(1+N18:N$28)),4)</f>
        <v>1.274</v>
      </c>
      <c r="Y18" s="2715">
        <f>ROUND(SUMPRODUCT(PRODUCT(1+O18:O$28)),4)</f>
        <v>1.1740999999999999</v>
      </c>
      <c r="Z18" s="2715">
        <f t="shared" si="0"/>
        <v>1.1740999999999999</v>
      </c>
      <c r="AA18" s="2715">
        <f>ROUND(SUMPRODUCT(PRODUCT(1+P18:P$28)),4)</f>
        <v>1.3087</v>
      </c>
      <c r="AB18" s="2715">
        <f>ROUND(SUMPRODUCT(PRODUCT(1+Q18:Q$28)),4)</f>
        <v>1.1551</v>
      </c>
      <c r="AD18" s="2635">
        <f>ROUND(AVERAGE(I18:I$29)/100,4)</f>
        <v>2.3E-2</v>
      </c>
      <c r="AE18" s="2635">
        <f>ROUND(AVERAGE(J18:J$29)/100,4)</f>
        <v>1.55E-2</v>
      </c>
      <c r="AF18" s="2635">
        <f t="shared" si="1"/>
        <v>1.55E-2</v>
      </c>
      <c r="AG18" s="2635">
        <f>ROUND(AVERAGE(K18:K$29)/100,4)</f>
        <v>2.5600000000000001E-2</v>
      </c>
      <c r="AH18" s="2635">
        <f>ROUND(AVERAGE(L18:L$29)/100,4)</f>
        <v>1.32E-2</v>
      </c>
    </row>
    <row r="19" spans="1:34">
      <c r="A19" s="2617" t="s">
        <v>969</v>
      </c>
      <c r="B19" s="2630">
        <f t="shared" ref="B19:C21" si="108">B18/(1+N18)</f>
        <v>374.90436113236416</v>
      </c>
      <c r="C19" s="2630">
        <f t="shared" si="108"/>
        <v>295.64366128242779</v>
      </c>
      <c r="D19" s="2630">
        <f t="shared" ref="D19:D78" si="109">C19</f>
        <v>295.64366128242779</v>
      </c>
      <c r="E19" s="2630">
        <f t="shared" ref="E19:F21" si="110">E18/(1+P18)</f>
        <v>525.06646410938095</v>
      </c>
      <c r="F19" s="2630">
        <f t="shared" si="110"/>
        <v>261.88835286009646</v>
      </c>
      <c r="G19" s="3451"/>
      <c r="H19" s="2620">
        <v>3</v>
      </c>
      <c r="I19" s="2620">
        <v>4.12</v>
      </c>
      <c r="J19" s="2620">
        <v>2</v>
      </c>
      <c r="K19" s="2620">
        <v>4.79</v>
      </c>
      <c r="L19" s="2631">
        <v>1.97</v>
      </c>
      <c r="N19" s="2625">
        <f t="shared" ref="N19:Q53" si="111">I19/100</f>
        <v>4.1200000000000001E-2</v>
      </c>
      <c r="O19" s="2626">
        <f t="shared" si="107"/>
        <v>0.02</v>
      </c>
      <c r="P19" s="2626">
        <f t="shared" si="107"/>
        <v>4.7899999999999998E-2</v>
      </c>
      <c r="Q19" s="2626">
        <f t="shared" si="107"/>
        <v>1.9699999999999999E-2</v>
      </c>
      <c r="R19" s="2627"/>
      <c r="S19" s="2625"/>
      <c r="T19" s="2626"/>
      <c r="U19" s="2626"/>
      <c r="V19" s="2626"/>
      <c r="X19" s="2715">
        <f>ROUND(SUMPRODUCT(PRODUCT(1+N19:N$28)),4)</f>
        <v>1.2184999999999999</v>
      </c>
      <c r="Y19" s="2715">
        <f>ROUND(SUMPRODUCT(PRODUCT(1+O19:O$28)),4)</f>
        <v>1.1494</v>
      </c>
      <c r="Z19" s="2715">
        <f t="shared" si="0"/>
        <v>1.1494</v>
      </c>
      <c r="AA19" s="2715">
        <f>ROUND(SUMPRODUCT(PRODUCT(1+P19:P$28)),4)</f>
        <v>1.2425999999999999</v>
      </c>
      <c r="AB19" s="2715">
        <f>ROUND(SUMPRODUCT(PRODUCT(1+Q19:Q$28)),4)</f>
        <v>1.1372</v>
      </c>
      <c r="AD19" s="2635">
        <f>ROUND(AVERAGE(I19:I$29)/100,4)</f>
        <v>2.0899999999999998E-2</v>
      </c>
      <c r="AE19" s="2635">
        <f>ROUND(AVERAGE(J19:J$29)/100,4)</f>
        <v>1.49E-2</v>
      </c>
      <c r="AF19" s="2635">
        <f t="shared" si="1"/>
        <v>1.49E-2</v>
      </c>
      <c r="AG19" s="2635">
        <f>ROUND(AVERAGE(K19:K$29)/100,4)</f>
        <v>2.3099999999999999E-2</v>
      </c>
      <c r="AH19" s="2635">
        <f>ROUND(AVERAGE(L19:L$29)/100,4)</f>
        <v>1.2999999999999999E-2</v>
      </c>
    </row>
    <row r="20" spans="1:34">
      <c r="A20" s="2617" t="s">
        <v>959</v>
      </c>
      <c r="B20" s="2630">
        <f t="shared" si="108"/>
        <v>360.06949782209392</v>
      </c>
      <c r="C20" s="2630">
        <f t="shared" si="108"/>
        <v>289.84672674747821</v>
      </c>
      <c r="D20" s="2630">
        <f t="shared" si="109"/>
        <v>289.84672674747821</v>
      </c>
      <c r="E20" s="2630">
        <f t="shared" si="110"/>
        <v>501.06543001181495</v>
      </c>
      <c r="F20" s="2630">
        <f t="shared" si="110"/>
        <v>256.82882500744967</v>
      </c>
      <c r="G20" s="3451"/>
      <c r="H20" s="2621">
        <v>2</v>
      </c>
      <c r="I20" s="2621">
        <v>3.85</v>
      </c>
      <c r="J20" s="2621">
        <v>1.95</v>
      </c>
      <c r="K20" s="2621">
        <v>4.4800000000000004</v>
      </c>
      <c r="L20" s="2632">
        <v>1.41</v>
      </c>
      <c r="N20" s="2625">
        <f t="shared" si="111"/>
        <v>3.85E-2</v>
      </c>
      <c r="O20" s="2626">
        <f t="shared" si="107"/>
        <v>1.95E-2</v>
      </c>
      <c r="P20" s="2626">
        <f t="shared" si="107"/>
        <v>4.4800000000000006E-2</v>
      </c>
      <c r="Q20" s="2626">
        <f t="shared" si="107"/>
        <v>1.41E-2</v>
      </c>
      <c r="R20" s="2627"/>
      <c r="S20" s="2625"/>
      <c r="T20" s="2626"/>
      <c r="U20" s="2626"/>
      <c r="V20" s="2626"/>
      <c r="X20" s="2715">
        <f>ROUND(SUMPRODUCT(PRODUCT(1+N20:N$28)),4)</f>
        <v>1.1702999999999999</v>
      </c>
      <c r="Y20" s="2715">
        <f>ROUND(SUMPRODUCT(PRODUCT(1+O20:O$28)),4)</f>
        <v>1.1269</v>
      </c>
      <c r="Z20" s="2715">
        <f t="shared" si="0"/>
        <v>1.1269</v>
      </c>
      <c r="AA20" s="2715">
        <f>ROUND(SUMPRODUCT(PRODUCT(1+P20:P$28)),4)</f>
        <v>1.1858</v>
      </c>
      <c r="AB20" s="2715">
        <f>ROUND(SUMPRODUCT(PRODUCT(1+Q20:Q$28)),4)</f>
        <v>1.1152</v>
      </c>
      <c r="AD20" s="2635">
        <f>ROUND(AVERAGE(I20:I$29)/100,4)</f>
        <v>1.89E-2</v>
      </c>
      <c r="AE20" s="2635">
        <f>ROUND(AVERAGE(J20:J$29)/100,4)</f>
        <v>1.44E-2</v>
      </c>
      <c r="AF20" s="2635">
        <f t="shared" si="1"/>
        <v>1.44E-2</v>
      </c>
      <c r="AG20" s="2635">
        <f>ROUND(AVERAGE(K20:K$29)/100,4)</f>
        <v>2.06E-2</v>
      </c>
      <c r="AH20" s="2635">
        <f>ROUND(AVERAGE(L20:L$29)/100,4)</f>
        <v>1.23E-2</v>
      </c>
    </row>
    <row r="21" spans="1:34" ht="13.8" thickBot="1">
      <c r="A21" s="2617" t="s">
        <v>968</v>
      </c>
      <c r="B21" s="2630">
        <f t="shared" si="108"/>
        <v>346.720748986128</v>
      </c>
      <c r="C21" s="2630">
        <f t="shared" si="108"/>
        <v>284.30282172386285</v>
      </c>
      <c r="D21" s="2630">
        <f t="shared" si="109"/>
        <v>284.30282172386285</v>
      </c>
      <c r="E21" s="2630">
        <f t="shared" si="110"/>
        <v>479.58023546306947</v>
      </c>
      <c r="F21" s="2630">
        <f t="shared" si="110"/>
        <v>253.25788877571213</v>
      </c>
      <c r="G21" s="3454"/>
      <c r="H21" s="2620">
        <v>1</v>
      </c>
      <c r="I21" s="2620">
        <v>4.09</v>
      </c>
      <c r="J21" s="2620">
        <v>2.93</v>
      </c>
      <c r="K21" s="2620">
        <v>4.54</v>
      </c>
      <c r="L21" s="2631">
        <v>1.48</v>
      </c>
      <c r="N21" s="2625">
        <f t="shared" si="111"/>
        <v>4.0899999999999999E-2</v>
      </c>
      <c r="O21" s="2626">
        <f t="shared" si="107"/>
        <v>2.9300000000000003E-2</v>
      </c>
      <c r="P21" s="2626">
        <f t="shared" si="107"/>
        <v>4.5400000000000003E-2</v>
      </c>
      <c r="Q21" s="2626">
        <f t="shared" si="107"/>
        <v>1.4800000000000001E-2</v>
      </c>
      <c r="R21" s="2627"/>
      <c r="S21" s="2633">
        <f>B21/B22-1</f>
        <v>4.1203450408792808E-2</v>
      </c>
      <c r="T21" s="2634">
        <f>C21/C22-1</f>
        <v>2.6363977342465095E-2</v>
      </c>
      <c r="U21" s="2634">
        <f>E21/E22-1</f>
        <v>4.4837114298626357E-2</v>
      </c>
      <c r="V21" s="2634">
        <f>F21/F22-1</f>
        <v>1.7099954922538574E-2</v>
      </c>
      <c r="X21" s="2715">
        <f>ROUND(SUMPRODUCT(PRODUCT(1+N21:N$28)),4)</f>
        <v>1.1269</v>
      </c>
      <c r="Y21" s="2715">
        <f>ROUND(SUMPRODUCT(PRODUCT(1+O21:O$28)),4)</f>
        <v>1.1052999999999999</v>
      </c>
      <c r="Z21" s="2715">
        <f t="shared" si="0"/>
        <v>1.1052999999999999</v>
      </c>
      <c r="AA21" s="2715">
        <f>ROUND(SUMPRODUCT(PRODUCT(1+P21:P$28)),4)</f>
        <v>1.1349</v>
      </c>
      <c r="AB21" s="2715">
        <f>ROUND(SUMPRODUCT(PRODUCT(1+Q21:Q$28)),4)</f>
        <v>1.0996999999999999</v>
      </c>
      <c r="AD21" s="2635">
        <f>ROUND(AVERAGE(I21:I$29)/100,4)</f>
        <v>1.67E-2</v>
      </c>
      <c r="AE21" s="2635">
        <f>ROUND(AVERAGE(J21:J$29)/100,4)</f>
        <v>1.38E-2</v>
      </c>
      <c r="AF21" s="2635">
        <f t="shared" si="1"/>
        <v>1.38E-2</v>
      </c>
      <c r="AG21" s="2635">
        <f>ROUND(AVERAGE(K21:K$29)/100,4)</f>
        <v>1.7899999999999999E-2</v>
      </c>
      <c r="AH21" s="2635">
        <f>ROUND(AVERAGE(L21:L$29)/100,4)</f>
        <v>1.21E-2</v>
      </c>
    </row>
    <row r="22" spans="1:34" ht="13.8" thickBot="1">
      <c r="A22" s="2617" t="s">
        <v>967</v>
      </c>
      <c r="B22" s="2622">
        <v>333</v>
      </c>
      <c r="C22" s="2622">
        <v>277</v>
      </c>
      <c r="D22" s="2622">
        <f t="shared" si="109"/>
        <v>277</v>
      </c>
      <c r="E22" s="2622">
        <v>459</v>
      </c>
      <c r="F22" s="2623">
        <v>249</v>
      </c>
      <c r="G22" s="3453">
        <v>2015</v>
      </c>
      <c r="H22" s="2636">
        <v>4</v>
      </c>
      <c r="I22" s="2636">
        <v>1.63</v>
      </c>
      <c r="J22" s="2636">
        <v>1.1100000000000001</v>
      </c>
      <c r="K22" s="2636">
        <v>1.77</v>
      </c>
      <c r="L22" s="2637">
        <v>1.89</v>
      </c>
      <c r="N22" s="2638">
        <f t="shared" si="111"/>
        <v>1.6299999999999999E-2</v>
      </c>
      <c r="O22" s="2639">
        <f t="shared" si="107"/>
        <v>1.11E-2</v>
      </c>
      <c r="P22" s="2639">
        <f t="shared" si="107"/>
        <v>1.77E-2</v>
      </c>
      <c r="Q22" s="2639">
        <f t="shared" si="107"/>
        <v>1.89E-2</v>
      </c>
      <c r="R22" s="2627"/>
      <c r="X22" s="2715">
        <f>ROUND(SUMPRODUCT(PRODUCT(1+N22:N$28)),4)</f>
        <v>1.0826</v>
      </c>
      <c r="Y22" s="2715">
        <f>ROUND(SUMPRODUCT(PRODUCT(1+O22:O$28)),4)</f>
        <v>1.0738000000000001</v>
      </c>
      <c r="Z22" s="2715">
        <f t="shared" si="0"/>
        <v>1.0738000000000001</v>
      </c>
      <c r="AA22" s="2715">
        <f>ROUND(SUMPRODUCT(PRODUCT(1+P22:P$28)),4)</f>
        <v>1.0855999999999999</v>
      </c>
      <c r="AB22" s="2715">
        <f>ROUND(SUMPRODUCT(PRODUCT(1+Q22:Q$28)),4)</f>
        <v>1.0837000000000001</v>
      </c>
      <c r="AD22" s="2635">
        <f>ROUND(AVERAGE(I22:I$29)/100,4)</f>
        <v>1.37E-2</v>
      </c>
      <c r="AE22" s="2635">
        <f>ROUND(AVERAGE(J22:J$29)/100,4)</f>
        <v>1.1900000000000001E-2</v>
      </c>
      <c r="AF22" s="2635">
        <f t="shared" si="1"/>
        <v>1.1900000000000001E-2</v>
      </c>
      <c r="AG22" s="2635">
        <f>ROUND(AVERAGE(K22:K$29)/100,4)</f>
        <v>1.4500000000000001E-2</v>
      </c>
      <c r="AH22" s="2635">
        <f>ROUND(AVERAGE(L22:L$29)/100,4)</f>
        <v>1.18E-2</v>
      </c>
    </row>
    <row r="23" spans="1:34">
      <c r="A23" s="2617" t="s">
        <v>966</v>
      </c>
      <c r="B23" s="2630">
        <f t="shared" ref="B23:C25" si="112">B22/(1+N22)</f>
        <v>327.65915576109415</v>
      </c>
      <c r="C23" s="2630">
        <f t="shared" si="112"/>
        <v>273.95905449510434</v>
      </c>
      <c r="D23" s="2630">
        <f t="shared" si="109"/>
        <v>273.95905449510434</v>
      </c>
      <c r="E23" s="2630">
        <f t="shared" ref="E23:F25" si="113">E22/(1+P22)</f>
        <v>451.01699911565294</v>
      </c>
      <c r="F23" s="2630">
        <f t="shared" si="113"/>
        <v>244.38119540681129</v>
      </c>
      <c r="G23" s="3451"/>
      <c r="H23" s="2641">
        <v>3</v>
      </c>
      <c r="I23" s="2641">
        <v>1.65</v>
      </c>
      <c r="J23" s="2641">
        <v>0.92</v>
      </c>
      <c r="K23" s="2641">
        <v>1.88</v>
      </c>
      <c r="L23" s="2642">
        <v>1.26</v>
      </c>
      <c r="N23" s="2625">
        <f t="shared" si="111"/>
        <v>1.6500000000000001E-2</v>
      </c>
      <c r="O23" s="2643">
        <f t="shared" si="107"/>
        <v>9.1999999999999998E-3</v>
      </c>
      <c r="P23" s="2643">
        <f t="shared" si="107"/>
        <v>1.8799999999999997E-2</v>
      </c>
      <c r="Q23" s="2643">
        <f t="shared" si="107"/>
        <v>1.26E-2</v>
      </c>
      <c r="R23" s="2627"/>
      <c r="S23" s="2625"/>
      <c r="T23" s="2626"/>
      <c r="U23" s="2626"/>
      <c r="V23" s="2626"/>
      <c r="X23" s="2715">
        <f>ROUND(SUMPRODUCT(PRODUCT(1+N23:N$28)),4)</f>
        <v>1.0651999999999999</v>
      </c>
      <c r="Y23" s="2715">
        <f>ROUND(SUMPRODUCT(PRODUCT(1+O23:O$28)),4)</f>
        <v>1.0621</v>
      </c>
      <c r="Z23" s="2715">
        <f t="shared" si="0"/>
        <v>1.0621</v>
      </c>
      <c r="AA23" s="2715">
        <f>ROUND(SUMPRODUCT(PRODUCT(1+P23:P$28)),4)</f>
        <v>1.0668</v>
      </c>
      <c r="AB23" s="2715">
        <f>ROUND(SUMPRODUCT(PRODUCT(1+Q23:Q$28)),4)</f>
        <v>1.0636000000000001</v>
      </c>
      <c r="AD23" s="2635">
        <f>ROUND(AVERAGE(I23:I$29)/100,4)</f>
        <v>1.3299999999999999E-2</v>
      </c>
      <c r="AE23" s="2635">
        <f>ROUND(AVERAGE(J23:J$29)/100,4)</f>
        <v>1.2E-2</v>
      </c>
      <c r="AF23" s="2635">
        <f t="shared" si="1"/>
        <v>1.2E-2</v>
      </c>
      <c r="AG23" s="2635">
        <f>ROUND(AVERAGE(K23:K$29)/100,4)</f>
        <v>1.4E-2</v>
      </c>
      <c r="AH23" s="2635">
        <f>ROUND(AVERAGE(L23:L$29)/100,4)</f>
        <v>1.0800000000000001E-2</v>
      </c>
    </row>
    <row r="24" spans="1:34">
      <c r="A24" s="2617" t="s">
        <v>965</v>
      </c>
      <c r="B24" s="2630">
        <f t="shared" si="112"/>
        <v>322.34053690220776</v>
      </c>
      <c r="C24" s="2630">
        <f t="shared" si="112"/>
        <v>271.46160770422546</v>
      </c>
      <c r="D24" s="2630">
        <f t="shared" si="109"/>
        <v>271.46160770422546</v>
      </c>
      <c r="E24" s="2630">
        <f t="shared" si="113"/>
        <v>442.69434542172456</v>
      </c>
      <c r="F24" s="2630">
        <f t="shared" si="113"/>
        <v>241.34030753190925</v>
      </c>
      <c r="G24" s="3451"/>
      <c r="H24" s="2621">
        <v>2</v>
      </c>
      <c r="I24" s="2621">
        <v>0.77</v>
      </c>
      <c r="J24" s="2621">
        <v>0.69</v>
      </c>
      <c r="K24" s="2621">
        <v>0.8</v>
      </c>
      <c r="L24" s="2632">
        <v>0.88</v>
      </c>
      <c r="N24" s="2625">
        <f t="shared" si="111"/>
        <v>7.7000000000000002E-3</v>
      </c>
      <c r="O24" s="2643">
        <f t="shared" si="107"/>
        <v>6.8999999999999999E-3</v>
      </c>
      <c r="P24" s="2643">
        <f t="shared" si="107"/>
        <v>8.0000000000000002E-3</v>
      </c>
      <c r="Q24" s="2643">
        <f t="shared" si="107"/>
        <v>8.8000000000000005E-3</v>
      </c>
      <c r="R24" s="2627"/>
      <c r="S24" s="2625"/>
      <c r="T24" s="2626"/>
      <c r="U24" s="2626"/>
      <c r="V24" s="2626"/>
      <c r="X24" s="2715">
        <f>ROUND(SUMPRODUCT(PRODUCT(1+N24:N$28)),4)</f>
        <v>1.048</v>
      </c>
      <c r="Y24" s="2715">
        <f>ROUND(SUMPRODUCT(PRODUCT(1+O24:O$28)),4)</f>
        <v>1.0524</v>
      </c>
      <c r="Z24" s="2715">
        <f t="shared" si="0"/>
        <v>1.0524</v>
      </c>
      <c r="AA24" s="2715">
        <f>ROUND(SUMPRODUCT(PRODUCT(1+P24:P$28)),4)</f>
        <v>1.0470999999999999</v>
      </c>
      <c r="AB24" s="2715">
        <f>ROUND(SUMPRODUCT(PRODUCT(1+Q24:Q$28)),4)</f>
        <v>1.0504</v>
      </c>
      <c r="AD24" s="2635">
        <f>ROUND(AVERAGE(I24:I$29)/100,4)</f>
        <v>1.2800000000000001E-2</v>
      </c>
      <c r="AE24" s="2635">
        <f>ROUND(AVERAGE(J24:J$29)/100,4)</f>
        <v>1.2500000000000001E-2</v>
      </c>
      <c r="AF24" s="2635">
        <f t="shared" si="1"/>
        <v>1.2500000000000001E-2</v>
      </c>
      <c r="AG24" s="2635">
        <f>ROUND(AVERAGE(K24:K$29)/100,4)</f>
        <v>1.32E-2</v>
      </c>
      <c r="AH24" s="2635">
        <f>ROUND(AVERAGE(L24:L$29)/100,4)</f>
        <v>1.0500000000000001E-2</v>
      </c>
    </row>
    <row r="25" spans="1:34">
      <c r="A25" s="2617" t="s">
        <v>964</v>
      </c>
      <c r="B25" s="2630">
        <f t="shared" si="112"/>
        <v>319.87748030386797</v>
      </c>
      <c r="C25" s="2630">
        <f t="shared" si="112"/>
        <v>269.60135833173649</v>
      </c>
      <c r="D25" s="2630">
        <f t="shared" si="109"/>
        <v>269.60135833173649</v>
      </c>
      <c r="E25" s="2630">
        <f t="shared" si="113"/>
        <v>439.18089823583784</v>
      </c>
      <c r="F25" s="2630">
        <f t="shared" si="113"/>
        <v>239.23503918706311</v>
      </c>
      <c r="G25" s="3454"/>
      <c r="H25" s="2620">
        <v>1</v>
      </c>
      <c r="I25" s="2620">
        <v>0.51</v>
      </c>
      <c r="J25" s="2620">
        <v>0.54</v>
      </c>
      <c r="K25" s="2620">
        <v>0.48</v>
      </c>
      <c r="L25" s="2631">
        <v>0.93</v>
      </c>
      <c r="N25" s="2633">
        <f t="shared" si="111"/>
        <v>5.1000000000000004E-3</v>
      </c>
      <c r="O25" s="2634">
        <f t="shared" si="107"/>
        <v>5.4000000000000003E-3</v>
      </c>
      <c r="P25" s="2634">
        <f t="shared" si="107"/>
        <v>4.7999999999999996E-3</v>
      </c>
      <c r="Q25" s="2634">
        <f t="shared" si="107"/>
        <v>9.300000000000001E-3</v>
      </c>
      <c r="R25" s="2627"/>
      <c r="S25" s="2633">
        <f>B25/B26-1</f>
        <v>5.9040261127922822E-3</v>
      </c>
      <c r="T25" s="2634">
        <f>C25/C26-1</f>
        <v>5.9752176557332781E-3</v>
      </c>
      <c r="U25" s="2634">
        <f>E25/E26-1</f>
        <v>4.9906138119859556E-3</v>
      </c>
      <c r="V25" s="2634">
        <f>F25/F26-1</f>
        <v>9.4305450930933787E-3</v>
      </c>
      <c r="X25" s="2715">
        <f>ROUND(SUMPRODUCT(PRODUCT(1+N25:N$28)),4)</f>
        <v>1.0399</v>
      </c>
      <c r="Y25" s="2715">
        <f>ROUND(SUMPRODUCT(PRODUCT(1+O25:O$28)),4)</f>
        <v>1.0451999999999999</v>
      </c>
      <c r="Z25" s="2715">
        <f t="shared" si="0"/>
        <v>1.0451999999999999</v>
      </c>
      <c r="AA25" s="2715">
        <f>ROUND(SUMPRODUCT(PRODUCT(1+P25:P$28)),4)</f>
        <v>1.0387999999999999</v>
      </c>
      <c r="AB25" s="2715">
        <f>ROUND(SUMPRODUCT(PRODUCT(1+Q25:Q$28)),4)</f>
        <v>1.0411999999999999</v>
      </c>
      <c r="AD25" s="2635">
        <f>ROUND(AVERAGE(I25:I$29)/100,4)</f>
        <v>1.38E-2</v>
      </c>
      <c r="AE25" s="2635">
        <f>ROUND(AVERAGE(J25:J$29)/100,4)</f>
        <v>1.3599999999999999E-2</v>
      </c>
      <c r="AF25" s="2635">
        <f t="shared" si="1"/>
        <v>1.3599999999999999E-2</v>
      </c>
      <c r="AG25" s="2635">
        <f>ROUND(AVERAGE(K25:K$29)/100,4)</f>
        <v>1.4200000000000001E-2</v>
      </c>
      <c r="AH25" s="2635">
        <f>ROUND(AVERAGE(L25:L$29)/100,4)</f>
        <v>1.0800000000000001E-2</v>
      </c>
    </row>
    <row r="26" spans="1:34" ht="13.8" thickBot="1">
      <c r="A26" s="2617" t="s">
        <v>963</v>
      </c>
      <c r="B26" s="2644">
        <v>318</v>
      </c>
      <c r="C26" s="2644">
        <v>268</v>
      </c>
      <c r="D26" s="2644">
        <f t="shared" si="109"/>
        <v>268</v>
      </c>
      <c r="E26" s="2644">
        <v>437</v>
      </c>
      <c r="F26" s="2645">
        <v>237</v>
      </c>
      <c r="G26" s="3453">
        <v>2014</v>
      </c>
      <c r="H26" s="2636">
        <v>4</v>
      </c>
      <c r="I26" s="2636">
        <v>0.21</v>
      </c>
      <c r="J26" s="2636">
        <v>0.41</v>
      </c>
      <c r="K26" s="2636">
        <v>0.12</v>
      </c>
      <c r="L26" s="2637">
        <v>0.89</v>
      </c>
      <c r="N26" s="2625">
        <f t="shared" si="111"/>
        <v>2.0999999999999999E-3</v>
      </c>
      <c r="O26" s="2626">
        <f t="shared" si="107"/>
        <v>4.0999999999999995E-3</v>
      </c>
      <c r="P26" s="2626">
        <f t="shared" si="107"/>
        <v>1.1999999999999999E-3</v>
      </c>
      <c r="Q26" s="2626">
        <f t="shared" si="107"/>
        <v>8.8999999999999999E-3</v>
      </c>
      <c r="R26" s="2627"/>
      <c r="S26" s="2628"/>
      <c r="T26" s="2629"/>
      <c r="U26" s="2629"/>
      <c r="V26" s="2629"/>
      <c r="X26" s="2715">
        <f>ROUND(SUMPRODUCT(PRODUCT(1+N26:N$28)),4)</f>
        <v>1.0347</v>
      </c>
      <c r="Y26" s="2715">
        <f>ROUND(SUMPRODUCT(PRODUCT(1+O26:O$28)),4)</f>
        <v>1.0395000000000001</v>
      </c>
      <c r="Z26" s="2715">
        <f t="shared" si="0"/>
        <v>1.0395000000000001</v>
      </c>
      <c r="AA26" s="2715">
        <f>ROUND(SUMPRODUCT(PRODUCT(1+P26:P$28)),4)</f>
        <v>1.0338000000000001</v>
      </c>
      <c r="AB26" s="2715">
        <f>ROUND(SUMPRODUCT(PRODUCT(1+Q26:Q$28)),4)</f>
        <v>1.0316000000000001</v>
      </c>
      <c r="AD26" s="2635">
        <f>ROUND(AVERAGE(I26:I$29)/100,4)</f>
        <v>1.6E-2</v>
      </c>
      <c r="AE26" s="2635">
        <f>ROUND(AVERAGE(J26:J$29)/100,4)</f>
        <v>1.5599999999999999E-2</v>
      </c>
      <c r="AF26" s="2635">
        <f t="shared" si="1"/>
        <v>1.5599999999999999E-2</v>
      </c>
      <c r="AG26" s="2635">
        <f>ROUND(AVERAGE(K26:K$29)/100,4)</f>
        <v>1.66E-2</v>
      </c>
      <c r="AH26" s="2635">
        <f>ROUND(AVERAGE(L26:L$29)/100,4)</f>
        <v>1.12E-2</v>
      </c>
    </row>
    <row r="27" spans="1:34">
      <c r="A27" s="2617" t="s">
        <v>962</v>
      </c>
      <c r="B27" s="2630">
        <f t="shared" ref="B27:C29" si="114">B26/(1+N26)</f>
        <v>317.33359944117353</v>
      </c>
      <c r="C27" s="2630">
        <f t="shared" si="114"/>
        <v>266.90568668459315</v>
      </c>
      <c r="D27" s="2630">
        <f t="shared" si="109"/>
        <v>266.90568668459315</v>
      </c>
      <c r="E27" s="2630">
        <f t="shared" ref="E27:F29" si="115">E26/(1+P26)</f>
        <v>436.47622852576905</v>
      </c>
      <c r="F27" s="2630">
        <f t="shared" si="115"/>
        <v>234.90930716622066</v>
      </c>
      <c r="G27" s="3451"/>
      <c r="H27" s="2646">
        <v>3</v>
      </c>
      <c r="I27" s="2646">
        <v>0.83</v>
      </c>
      <c r="J27" s="2646">
        <v>1.47</v>
      </c>
      <c r="K27" s="2646">
        <v>0.65</v>
      </c>
      <c r="L27" s="2647">
        <v>0.72</v>
      </c>
      <c r="N27" s="2625">
        <f t="shared" si="111"/>
        <v>8.3000000000000001E-3</v>
      </c>
      <c r="O27" s="2626">
        <f t="shared" si="107"/>
        <v>1.47E-2</v>
      </c>
      <c r="P27" s="2626">
        <f t="shared" si="107"/>
        <v>6.5000000000000006E-3</v>
      </c>
      <c r="Q27" s="2626">
        <f t="shared" si="107"/>
        <v>7.1999999999999998E-3</v>
      </c>
      <c r="R27" s="2627"/>
      <c r="S27" s="2625"/>
      <c r="T27" s="2626"/>
      <c r="U27" s="2626"/>
      <c r="V27" s="2626"/>
      <c r="X27" s="2715">
        <f>ROUND(SUMPRODUCT(PRODUCT(1+N27:N$28)),4)</f>
        <v>1.0325</v>
      </c>
      <c r="Y27" s="2715">
        <f>ROUND(SUMPRODUCT(PRODUCT(1+O27:O$28)),4)</f>
        <v>1.0353000000000001</v>
      </c>
      <c r="Z27" s="2715">
        <f t="shared" ref="Z27:Z28" si="116">Y27</f>
        <v>1.0353000000000001</v>
      </c>
      <c r="AA27" s="2715">
        <f>ROUND(SUMPRODUCT(PRODUCT(1+P27:P$28)),4)</f>
        <v>1.0326</v>
      </c>
      <c r="AB27" s="2715">
        <f>ROUND(SUMPRODUCT(PRODUCT(1+Q27:Q$28)),4)</f>
        <v>1.0225</v>
      </c>
      <c r="AD27" s="2635">
        <f>ROUND(AVERAGE(I27:I$29)/100,4)</f>
        <v>2.07E-2</v>
      </c>
      <c r="AE27" s="2635">
        <f>ROUND(AVERAGE(J27:J$29)/100,4)</f>
        <v>1.95E-2</v>
      </c>
      <c r="AF27" s="2635">
        <f t="shared" si="1"/>
        <v>1.95E-2</v>
      </c>
      <c r="AG27" s="2635">
        <f>ROUND(AVERAGE(K27:K$29)/100,4)</f>
        <v>2.1700000000000001E-2</v>
      </c>
      <c r="AH27" s="2635">
        <f>ROUND(AVERAGE(L27:L$29)/100,4)</f>
        <v>1.2E-2</v>
      </c>
    </row>
    <row r="28" spans="1:34" ht="13.8" thickBot="1">
      <c r="A28" s="2617" t="s">
        <v>961</v>
      </c>
      <c r="B28" s="2630">
        <f t="shared" si="114"/>
        <v>314.72141172386546</v>
      </c>
      <c r="C28" s="2630">
        <f t="shared" si="114"/>
        <v>263.03901319069001</v>
      </c>
      <c r="D28" s="2630">
        <f t="shared" si="109"/>
        <v>263.03901319069001</v>
      </c>
      <c r="E28" s="2630">
        <f t="shared" si="115"/>
        <v>433.65745506782821</v>
      </c>
      <c r="F28" s="2630">
        <f t="shared" si="115"/>
        <v>233.23005080045735</v>
      </c>
      <c r="G28" s="3451"/>
      <c r="H28" s="2636">
        <v>2</v>
      </c>
      <c r="I28" s="2636">
        <v>2.4</v>
      </c>
      <c r="J28" s="2636">
        <v>2.0299999999999998</v>
      </c>
      <c r="K28" s="2636">
        <v>2.59</v>
      </c>
      <c r="L28" s="2637">
        <v>1.52</v>
      </c>
      <c r="N28" s="2625">
        <f t="shared" si="111"/>
        <v>2.4E-2</v>
      </c>
      <c r="O28" s="2626">
        <f t="shared" si="107"/>
        <v>2.0299999999999999E-2</v>
      </c>
      <c r="P28" s="2626">
        <f t="shared" si="107"/>
        <v>2.5899999999999999E-2</v>
      </c>
      <c r="Q28" s="2626">
        <f t="shared" si="107"/>
        <v>1.52E-2</v>
      </c>
      <c r="R28" s="2627"/>
      <c r="S28" s="2625"/>
      <c r="T28" s="2626"/>
      <c r="U28" s="2626"/>
      <c r="V28" s="2626"/>
      <c r="X28" s="2715">
        <f>1+N28</f>
        <v>1.024</v>
      </c>
      <c r="Y28" s="2715">
        <f>1+O28</f>
        <v>1.0203</v>
      </c>
      <c r="Z28" s="2715">
        <f t="shared" si="116"/>
        <v>1.0203</v>
      </c>
      <c r="AA28" s="2715">
        <f>1+P28</f>
        <v>1.0259</v>
      </c>
      <c r="AB28" s="2715">
        <f>1+Q28</f>
        <v>1.0152000000000001</v>
      </c>
      <c r="AD28" s="2635">
        <f>ROUND(AVERAGE(I28:I$29)/100,4)</f>
        <v>2.69E-2</v>
      </c>
      <c r="AE28" s="2635">
        <f>ROUND(AVERAGE(J28:J$29)/100,4)</f>
        <v>2.1899999999999999E-2</v>
      </c>
      <c r="AF28" s="2635">
        <f t="shared" ref="AF28" si="117">AE28</f>
        <v>2.1899999999999999E-2</v>
      </c>
      <c r="AG28" s="2635">
        <f>ROUND(AVERAGE(K28:K$29)/100,4)</f>
        <v>2.9399999999999999E-2</v>
      </c>
      <c r="AH28" s="2635">
        <f>ROUND(AVERAGE(L28:L$29)/100,4)</f>
        <v>1.44E-2</v>
      </c>
    </row>
    <row r="29" spans="1:34" s="2652" customFormat="1" ht="13.8" thickBot="1">
      <c r="A29" s="2648" t="s">
        <v>960</v>
      </c>
      <c r="B29" s="2649">
        <f t="shared" si="114"/>
        <v>307.34512863658733</v>
      </c>
      <c r="C29" s="2649">
        <f t="shared" si="114"/>
        <v>257.80556031626975</v>
      </c>
      <c r="D29" s="2649">
        <f t="shared" si="109"/>
        <v>257.80556031626975</v>
      </c>
      <c r="E29" s="2649">
        <f t="shared" si="115"/>
        <v>422.70928459677179</v>
      </c>
      <c r="F29" s="2649">
        <f t="shared" si="115"/>
        <v>229.73803270336617</v>
      </c>
      <c r="G29" s="3454"/>
      <c r="H29" s="2650">
        <v>1</v>
      </c>
      <c r="I29" s="2650">
        <v>2.97</v>
      </c>
      <c r="J29" s="2650">
        <v>2.34</v>
      </c>
      <c r="K29" s="2650">
        <v>3.28</v>
      </c>
      <c r="L29" s="2651">
        <v>1.36</v>
      </c>
      <c r="N29" s="2653">
        <f t="shared" si="111"/>
        <v>2.9700000000000001E-2</v>
      </c>
      <c r="O29" s="2654">
        <f t="shared" si="107"/>
        <v>2.3399999999999997E-2</v>
      </c>
      <c r="P29" s="2654">
        <f t="shared" si="107"/>
        <v>3.2799999999999996E-2</v>
      </c>
      <c r="Q29" s="2654">
        <f t="shared" si="107"/>
        <v>1.3600000000000001E-2</v>
      </c>
      <c r="R29" s="2655"/>
      <c r="S29" s="2656">
        <f>B29/B30-1</f>
        <v>2.7910129219355539E-2</v>
      </c>
      <c r="T29" s="2657">
        <f>C29/C30-1</f>
        <v>2.3037937762975247E-2</v>
      </c>
      <c r="U29" s="2657">
        <f>E29/E30-1</f>
        <v>3.3519033243940788E-2</v>
      </c>
      <c r="V29" s="2657">
        <f>F29/F30-1</f>
        <v>1.2061818076502862E-2</v>
      </c>
      <c r="W29" s="2724" t="s">
        <v>2636</v>
      </c>
      <c r="X29" s="2726">
        <v>1</v>
      </c>
      <c r="Y29" s="2726">
        <v>1</v>
      </c>
      <c r="Z29" s="2726">
        <v>1</v>
      </c>
      <c r="AA29" s="2726">
        <v>1</v>
      </c>
      <c r="AB29" s="2726">
        <v>1</v>
      </c>
      <c r="AD29" s="2959">
        <f>I29/100</f>
        <v>2.9700000000000001E-2</v>
      </c>
      <c r="AE29" s="2959">
        <f>J29/100</f>
        <v>2.3399999999999997E-2</v>
      </c>
      <c r="AF29" s="2959">
        <f>AE29</f>
        <v>2.3399999999999997E-2</v>
      </c>
      <c r="AG29" s="2959">
        <f>K29/100</f>
        <v>3.2799999999999996E-2</v>
      </c>
      <c r="AH29" s="2959">
        <f>L29/100</f>
        <v>1.3600000000000001E-2</v>
      </c>
    </row>
    <row r="30" spans="1:34" ht="13.8" thickBot="1">
      <c r="A30" s="2617" t="s">
        <v>2579</v>
      </c>
      <c r="B30" s="2622">
        <v>299</v>
      </c>
      <c r="C30" s="2622">
        <v>252</v>
      </c>
      <c r="D30" s="2622">
        <f t="shared" si="109"/>
        <v>252</v>
      </c>
      <c r="E30" s="2622">
        <v>409</v>
      </c>
      <c r="F30" s="2623">
        <v>227</v>
      </c>
      <c r="G30" s="3458">
        <v>2013</v>
      </c>
      <c r="H30" s="2658">
        <v>4</v>
      </c>
      <c r="I30" s="2658">
        <v>1.83</v>
      </c>
      <c r="J30" s="2658">
        <v>1.68</v>
      </c>
      <c r="K30" s="2658">
        <v>1.97</v>
      </c>
      <c r="L30" s="2659">
        <v>0.87</v>
      </c>
      <c r="N30" s="2638">
        <f t="shared" si="111"/>
        <v>1.83E-2</v>
      </c>
      <c r="O30" s="2639">
        <f t="shared" si="107"/>
        <v>1.6799999999999999E-2</v>
      </c>
      <c r="P30" s="2639">
        <f t="shared" si="107"/>
        <v>1.9699999999999999E-2</v>
      </c>
      <c r="Q30" s="2639">
        <f t="shared" si="107"/>
        <v>8.6999999999999994E-3</v>
      </c>
      <c r="R30" s="2627"/>
      <c r="S30" s="2628"/>
      <c r="T30" s="2629"/>
      <c r="U30" s="2629"/>
      <c r="V30" s="2629"/>
      <c r="X30" s="2629"/>
      <c r="Y30" s="2629"/>
      <c r="Z30" s="2629"/>
    </row>
    <row r="31" spans="1:34">
      <c r="A31" s="2617" t="s">
        <v>2580</v>
      </c>
      <c r="B31" s="2630">
        <f t="shared" ref="B31:C33" si="118">B30/(1+N30)</f>
        <v>293.62663262299913</v>
      </c>
      <c r="C31" s="2630">
        <f t="shared" si="118"/>
        <v>247.83634933123525</v>
      </c>
      <c r="D31" s="2630">
        <f t="shared" si="109"/>
        <v>247.83634933123525</v>
      </c>
      <c r="E31" s="2630">
        <f t="shared" ref="E31:F33" si="119">E30/(1+P30)</f>
        <v>401.09836226341076</v>
      </c>
      <c r="F31" s="2630">
        <f t="shared" si="119"/>
        <v>225.04213343908003</v>
      </c>
      <c r="G31" s="3459"/>
      <c r="H31" s="2641">
        <v>3</v>
      </c>
      <c r="I31" s="2641">
        <v>1.86</v>
      </c>
      <c r="J31" s="2641">
        <v>1.72</v>
      </c>
      <c r="K31" s="2641">
        <v>1.98</v>
      </c>
      <c r="L31" s="2642">
        <v>0.88</v>
      </c>
      <c r="N31" s="2625">
        <f t="shared" si="111"/>
        <v>1.8600000000000002E-2</v>
      </c>
      <c r="O31" s="2643">
        <f t="shared" si="107"/>
        <v>1.72E-2</v>
      </c>
      <c r="P31" s="2643">
        <f t="shared" si="107"/>
        <v>1.9799999999999998E-2</v>
      </c>
      <c r="Q31" s="2643">
        <f t="shared" si="107"/>
        <v>8.8000000000000005E-3</v>
      </c>
      <c r="R31" s="2627"/>
      <c r="S31" s="2625"/>
      <c r="T31" s="2626"/>
      <c r="U31" s="2626"/>
      <c r="V31" s="2626"/>
    </row>
    <row r="32" spans="1:34">
      <c r="A32" s="2617" t="s">
        <v>2581</v>
      </c>
      <c r="B32" s="2630">
        <f t="shared" si="118"/>
        <v>288.2649053828776</v>
      </c>
      <c r="C32" s="2630">
        <f t="shared" si="118"/>
        <v>243.64564425013293</v>
      </c>
      <c r="D32" s="2630">
        <f t="shared" si="109"/>
        <v>243.64564425013293</v>
      </c>
      <c r="E32" s="2630">
        <f t="shared" si="119"/>
        <v>393.31080825986544</v>
      </c>
      <c r="F32" s="2630">
        <f t="shared" si="119"/>
        <v>223.07903790551154</v>
      </c>
      <c r="G32" s="3459"/>
      <c r="H32" s="2621">
        <v>2</v>
      </c>
      <c r="I32" s="2621">
        <v>2.04</v>
      </c>
      <c r="J32" s="2621">
        <v>2.33</v>
      </c>
      <c r="K32" s="2621">
        <v>2.0699999999999998</v>
      </c>
      <c r="L32" s="2632">
        <v>0.69</v>
      </c>
      <c r="N32" s="2625">
        <f t="shared" si="111"/>
        <v>2.0400000000000001E-2</v>
      </c>
      <c r="O32" s="2643">
        <f t="shared" si="107"/>
        <v>2.3300000000000001E-2</v>
      </c>
      <c r="P32" s="2643">
        <f t="shared" si="107"/>
        <v>2.07E-2</v>
      </c>
      <c r="Q32" s="2643">
        <f t="shared" si="107"/>
        <v>6.8999999999999999E-3</v>
      </c>
      <c r="R32" s="2627"/>
      <c r="S32" s="2625"/>
      <c r="T32" s="2626"/>
      <c r="U32" s="2626"/>
      <c r="V32" s="2626"/>
      <c r="X32" s="2727"/>
      <c r="Y32" s="2729"/>
    </row>
    <row r="33" spans="1:26">
      <c r="A33" s="2617" t="s">
        <v>2582</v>
      </c>
      <c r="B33" s="2630">
        <f t="shared" si="118"/>
        <v>282.50186729015837</v>
      </c>
      <c r="C33" s="2630">
        <f t="shared" si="118"/>
        <v>238.09796174155468</v>
      </c>
      <c r="D33" s="2630">
        <f t="shared" si="109"/>
        <v>238.09796174155468</v>
      </c>
      <c r="E33" s="2630">
        <f t="shared" si="119"/>
        <v>385.33438646014054</v>
      </c>
      <c r="F33" s="2630">
        <f t="shared" si="119"/>
        <v>221.55034055567739</v>
      </c>
      <c r="G33" s="3460"/>
      <c r="H33" s="2620">
        <v>1</v>
      </c>
      <c r="I33" s="2620">
        <v>1.67</v>
      </c>
      <c r="J33" s="2620">
        <v>1.31</v>
      </c>
      <c r="K33" s="2620">
        <v>1.85</v>
      </c>
      <c r="L33" s="2631">
        <v>0.96</v>
      </c>
      <c r="N33" s="2633">
        <f t="shared" si="111"/>
        <v>1.67E-2</v>
      </c>
      <c r="O33" s="2634">
        <f t="shared" si="107"/>
        <v>1.3100000000000001E-2</v>
      </c>
      <c r="P33" s="2634">
        <f t="shared" si="107"/>
        <v>1.8500000000000003E-2</v>
      </c>
      <c r="Q33" s="2634">
        <f t="shared" si="107"/>
        <v>9.5999999999999992E-3</v>
      </c>
      <c r="R33" s="2627"/>
      <c r="S33" s="2633">
        <f>B33/B34-1</f>
        <v>1.6193767230785472E-2</v>
      </c>
      <c r="T33" s="2634">
        <f>C33/C34-1</f>
        <v>1.7512657015190891E-2</v>
      </c>
      <c r="U33" s="2634">
        <f>E33/E34-1</f>
        <v>1.6713420739157048E-2</v>
      </c>
      <c r="V33" s="2634">
        <f>F33/F34-1</f>
        <v>7.0470025258062563E-3</v>
      </c>
      <c r="X33" s="2728"/>
      <c r="Y33" s="2635"/>
      <c r="Z33" s="2635"/>
    </row>
    <row r="34" spans="1:26" ht="13.8" thickBot="1">
      <c r="A34" s="2617" t="s">
        <v>2583</v>
      </c>
      <c r="B34" s="2660">
        <v>278</v>
      </c>
      <c r="C34" s="2660">
        <v>234</v>
      </c>
      <c r="D34" s="2660">
        <f t="shared" si="109"/>
        <v>234</v>
      </c>
      <c r="E34" s="2660">
        <v>379</v>
      </c>
      <c r="F34" s="2661">
        <v>220</v>
      </c>
      <c r="G34" s="3453">
        <v>2012</v>
      </c>
      <c r="H34" s="2636">
        <v>4</v>
      </c>
      <c r="I34" s="2636">
        <v>0.91</v>
      </c>
      <c r="J34" s="2636">
        <v>0.68</v>
      </c>
      <c r="K34" s="2636">
        <v>0.98</v>
      </c>
      <c r="L34" s="2637">
        <v>0.9</v>
      </c>
      <c r="N34" s="2625">
        <f t="shared" si="111"/>
        <v>9.1000000000000004E-3</v>
      </c>
      <c r="O34" s="2626">
        <f t="shared" si="111"/>
        <v>6.8000000000000005E-3</v>
      </c>
      <c r="P34" s="2626">
        <f t="shared" si="111"/>
        <v>9.7999999999999997E-3</v>
      </c>
      <c r="Q34" s="2626">
        <f t="shared" si="111"/>
        <v>9.0000000000000011E-3</v>
      </c>
      <c r="R34" s="2627"/>
      <c r="S34" s="2628"/>
      <c r="T34" s="2629"/>
      <c r="U34" s="2629"/>
      <c r="V34" s="2629"/>
      <c r="X34" s="2629"/>
      <c r="Y34" s="2629"/>
      <c r="Z34" s="2629"/>
    </row>
    <row r="35" spans="1:26">
      <c r="A35" s="2617" t="s">
        <v>2584</v>
      </c>
      <c r="B35" s="2630">
        <f>B34/(1+N34)</f>
        <v>275.49301357645425</v>
      </c>
      <c r="C35" s="2630">
        <f>C34/(1+O34)</f>
        <v>232.41954707985698</v>
      </c>
      <c r="D35" s="2630">
        <f t="shared" si="109"/>
        <v>232.41954707985698</v>
      </c>
      <c r="E35" s="2630">
        <f t="shared" ref="E35:F37" si="120">E34/(1+P34)</f>
        <v>375.32184591008121</v>
      </c>
      <c r="F35" s="2630">
        <f t="shared" si="120"/>
        <v>218.03766105054513</v>
      </c>
      <c r="G35" s="3451"/>
      <c r="H35" s="2641">
        <v>3</v>
      </c>
      <c r="I35" s="2641">
        <v>0.09</v>
      </c>
      <c r="J35" s="2641">
        <v>0.28999999999999998</v>
      </c>
      <c r="K35" s="2641">
        <v>-0.01</v>
      </c>
      <c r="L35" s="2642">
        <v>0.57999999999999996</v>
      </c>
      <c r="N35" s="2625">
        <f t="shared" si="111"/>
        <v>8.9999999999999998E-4</v>
      </c>
      <c r="O35" s="2626">
        <f t="shared" si="111"/>
        <v>2.8999999999999998E-3</v>
      </c>
      <c r="P35" s="2626">
        <f t="shared" si="111"/>
        <v>-1E-4</v>
      </c>
      <c r="Q35" s="2626">
        <f t="shared" si="111"/>
        <v>5.7999999999999996E-3</v>
      </c>
      <c r="R35" s="2627"/>
      <c r="S35" s="2625"/>
      <c r="T35" s="2626"/>
      <c r="U35" s="2626"/>
      <c r="V35" s="2626"/>
    </row>
    <row r="36" spans="1:26">
      <c r="A36" s="2617" t="s">
        <v>2585</v>
      </c>
      <c r="B36" s="2630">
        <f>B35/(1+N35)</f>
        <v>275.24529281292263</v>
      </c>
      <c r="C36" s="2630">
        <f>C35/(1+O35)</f>
        <v>231.74747938962707</v>
      </c>
      <c r="D36" s="2630">
        <f t="shared" si="109"/>
        <v>231.74747938962707</v>
      </c>
      <c r="E36" s="2630">
        <f t="shared" si="120"/>
        <v>375.35938184826603</v>
      </c>
      <c r="F36" s="2630">
        <f t="shared" si="120"/>
        <v>216.78033510692495</v>
      </c>
      <c r="G36" s="3451"/>
      <c r="H36" s="2621">
        <v>2</v>
      </c>
      <c r="I36" s="2621">
        <v>0.02</v>
      </c>
      <c r="J36" s="2621">
        <v>0.12</v>
      </c>
      <c r="K36" s="2621">
        <v>-0.08</v>
      </c>
      <c r="L36" s="2632">
        <v>1.24</v>
      </c>
      <c r="N36" s="2625">
        <f t="shared" si="111"/>
        <v>2.0000000000000001E-4</v>
      </c>
      <c r="O36" s="2626">
        <f t="shared" si="111"/>
        <v>1.1999999999999999E-3</v>
      </c>
      <c r="P36" s="2626">
        <f t="shared" si="111"/>
        <v>-8.0000000000000004E-4</v>
      </c>
      <c r="Q36" s="2626">
        <f t="shared" si="111"/>
        <v>1.24E-2</v>
      </c>
      <c r="R36" s="2627"/>
      <c r="S36" s="2625"/>
      <c r="T36" s="2626"/>
      <c r="U36" s="2626"/>
      <c r="V36" s="2626"/>
    </row>
    <row r="37" spans="1:26" ht="13.8" thickBot="1">
      <c r="A37" s="2617" t="s">
        <v>2586</v>
      </c>
      <c r="B37" s="2630">
        <f>B36/(1+N36)</f>
        <v>275.19025476197027</v>
      </c>
      <c r="C37" s="2662">
        <v>232</v>
      </c>
      <c r="D37" s="2662">
        <f t="shared" si="109"/>
        <v>232</v>
      </c>
      <c r="E37" s="2630">
        <f t="shared" si="120"/>
        <v>375.65990977608692</v>
      </c>
      <c r="F37" s="2630">
        <f t="shared" si="120"/>
        <v>214.12518283971252</v>
      </c>
      <c r="G37" s="3454"/>
      <c r="H37" s="2620">
        <v>1</v>
      </c>
      <c r="I37" s="2620">
        <v>0.02</v>
      </c>
      <c r="J37" s="2620">
        <v>0.13</v>
      </c>
      <c r="K37" s="2620">
        <v>-0.04</v>
      </c>
      <c r="L37" s="2631">
        <v>0.46</v>
      </c>
      <c r="N37" s="2625">
        <f t="shared" si="111"/>
        <v>2.0000000000000001E-4</v>
      </c>
      <c r="O37" s="2626">
        <f t="shared" si="111"/>
        <v>1.2999999999999999E-3</v>
      </c>
      <c r="P37" s="2626">
        <f t="shared" si="111"/>
        <v>-4.0000000000000002E-4</v>
      </c>
      <c r="Q37" s="2626">
        <f t="shared" si="111"/>
        <v>4.5999999999999999E-3</v>
      </c>
      <c r="R37" s="2627"/>
      <c r="S37" s="2633">
        <f>B37/B38-1</f>
        <v>6.9183549807361189E-4</v>
      </c>
      <c r="T37" s="2634">
        <f>C37/C38-1</f>
        <v>0</v>
      </c>
      <c r="U37" s="2634">
        <f>E37/E38-1</f>
        <v>-9.0449527636460303E-4</v>
      </c>
      <c r="V37" s="2634">
        <f>F37/F38-1</f>
        <v>5.2825485432512753E-3</v>
      </c>
      <c r="X37" s="2635"/>
      <c r="Y37" s="2635"/>
      <c r="Z37" s="2635"/>
    </row>
    <row r="38" spans="1:26" ht="13.8" thickBot="1">
      <c r="A38" s="2617" t="s">
        <v>2587</v>
      </c>
      <c r="B38" s="2622">
        <v>275</v>
      </c>
      <c r="C38" s="2622">
        <v>232</v>
      </c>
      <c r="D38" s="2622">
        <f t="shared" si="109"/>
        <v>232</v>
      </c>
      <c r="E38" s="2622">
        <v>376</v>
      </c>
      <c r="F38" s="2623">
        <v>213</v>
      </c>
      <c r="G38" s="3453">
        <v>2011</v>
      </c>
      <c r="H38" s="2636">
        <v>4</v>
      </c>
      <c r="I38" s="2636">
        <v>-0.2</v>
      </c>
      <c r="J38" s="2636">
        <v>0.04</v>
      </c>
      <c r="K38" s="2636">
        <v>-0.34</v>
      </c>
      <c r="L38" s="2637">
        <v>0.46</v>
      </c>
      <c r="N38" s="2638">
        <f t="shared" si="111"/>
        <v>-2E-3</v>
      </c>
      <c r="O38" s="2639">
        <f t="shared" si="111"/>
        <v>4.0000000000000002E-4</v>
      </c>
      <c r="P38" s="2639">
        <f t="shared" si="111"/>
        <v>-3.4000000000000002E-3</v>
      </c>
      <c r="Q38" s="2639">
        <f t="shared" si="111"/>
        <v>4.5999999999999999E-3</v>
      </c>
      <c r="R38" s="2627"/>
      <c r="S38" s="2628"/>
      <c r="T38" s="2629"/>
      <c r="U38" s="2629"/>
      <c r="V38" s="2629"/>
      <c r="X38" s="2629"/>
      <c r="Y38" s="2629"/>
      <c r="Z38" s="2629"/>
    </row>
    <row r="39" spans="1:26">
      <c r="A39" s="2617" t="s">
        <v>2588</v>
      </c>
      <c r="B39" s="2630">
        <f t="shared" ref="B39:C41" si="121">B38/(1+N38)</f>
        <v>275.55110220440883</v>
      </c>
      <c r="C39" s="2630">
        <f t="shared" si="121"/>
        <v>231.90723710515795</v>
      </c>
      <c r="D39" s="2630">
        <f t="shared" si="109"/>
        <v>231.90723710515795</v>
      </c>
      <c r="E39" s="2630">
        <f t="shared" ref="E39:F41" si="122">E38/(1+P38)</f>
        <v>377.28276138872161</v>
      </c>
      <c r="F39" s="2630">
        <f t="shared" si="122"/>
        <v>212.02468644236512</v>
      </c>
      <c r="G39" s="3451">
        <v>2011</v>
      </c>
      <c r="H39" s="2641">
        <v>3</v>
      </c>
      <c r="I39" s="2641">
        <v>0.13</v>
      </c>
      <c r="J39" s="2641">
        <v>0.75</v>
      </c>
      <c r="K39" s="2641">
        <v>-0.08</v>
      </c>
      <c r="L39" s="2642">
        <v>0.53</v>
      </c>
      <c r="N39" s="2625">
        <f t="shared" si="111"/>
        <v>1.2999999999999999E-3</v>
      </c>
      <c r="O39" s="2643">
        <f t="shared" si="111"/>
        <v>7.4999999999999997E-3</v>
      </c>
      <c r="P39" s="2643">
        <f t="shared" si="111"/>
        <v>-8.0000000000000004E-4</v>
      </c>
      <c r="Q39" s="2643">
        <f t="shared" si="111"/>
        <v>5.3E-3</v>
      </c>
      <c r="R39" s="2627"/>
      <c r="S39" s="2625"/>
      <c r="T39" s="2626"/>
      <c r="U39" s="2626"/>
      <c r="V39" s="2626"/>
    </row>
    <row r="40" spans="1:26">
      <c r="A40" s="2617" t="s">
        <v>2589</v>
      </c>
      <c r="B40" s="2630">
        <f t="shared" si="121"/>
        <v>275.19335084830601</v>
      </c>
      <c r="C40" s="2630">
        <f t="shared" si="121"/>
        <v>230.18088050139744</v>
      </c>
      <c r="D40" s="2630">
        <f t="shared" si="109"/>
        <v>230.18088050139744</v>
      </c>
      <c r="E40" s="2630">
        <f t="shared" si="122"/>
        <v>377.58482925212331</v>
      </c>
      <c r="F40" s="2630">
        <f t="shared" si="122"/>
        <v>210.90687997847917</v>
      </c>
      <c r="G40" s="3451">
        <v>2011</v>
      </c>
      <c r="H40" s="2621">
        <v>2</v>
      </c>
      <c r="I40" s="2621">
        <v>-0.4</v>
      </c>
      <c r="J40" s="2621">
        <v>0.17</v>
      </c>
      <c r="K40" s="2621">
        <v>-0.57999999999999996</v>
      </c>
      <c r="L40" s="2632">
        <v>-0.2</v>
      </c>
      <c r="N40" s="2625">
        <f t="shared" si="111"/>
        <v>-4.0000000000000001E-3</v>
      </c>
      <c r="O40" s="2643">
        <f t="shared" si="111"/>
        <v>1.7000000000000001E-3</v>
      </c>
      <c r="P40" s="2643">
        <f t="shared" si="111"/>
        <v>-5.7999999999999996E-3</v>
      </c>
      <c r="Q40" s="2643">
        <f t="shared" si="111"/>
        <v>-2E-3</v>
      </c>
      <c r="R40" s="2627"/>
      <c r="S40" s="2625"/>
      <c r="T40" s="2626"/>
      <c r="U40" s="2626"/>
      <c r="V40" s="2626"/>
    </row>
    <row r="41" spans="1:26" ht="13.8" thickBot="1">
      <c r="A41" s="2617" t="s">
        <v>2590</v>
      </c>
      <c r="B41" s="2630">
        <f t="shared" si="121"/>
        <v>276.29854502841971</v>
      </c>
      <c r="C41" s="2630">
        <f t="shared" si="121"/>
        <v>229.79023709833027</v>
      </c>
      <c r="D41" s="2630">
        <f t="shared" si="109"/>
        <v>229.79023709833027</v>
      </c>
      <c r="E41" s="2630">
        <f t="shared" si="122"/>
        <v>379.78759731655936</v>
      </c>
      <c r="F41" s="2630">
        <f t="shared" si="122"/>
        <v>211.32953905659235</v>
      </c>
      <c r="G41" s="3454">
        <v>2011</v>
      </c>
      <c r="H41" s="2620">
        <v>1</v>
      </c>
      <c r="I41" s="2620">
        <v>2.65</v>
      </c>
      <c r="J41" s="2620">
        <v>3.76</v>
      </c>
      <c r="K41" s="2620">
        <v>1.89</v>
      </c>
      <c r="L41" s="2631">
        <v>7.95</v>
      </c>
      <c r="N41" s="2633">
        <f t="shared" si="111"/>
        <v>2.6499999999999999E-2</v>
      </c>
      <c r="O41" s="2634">
        <f t="shared" si="111"/>
        <v>3.7599999999999995E-2</v>
      </c>
      <c r="P41" s="2634">
        <f t="shared" si="111"/>
        <v>1.89E-2</v>
      </c>
      <c r="Q41" s="2634">
        <f t="shared" si="111"/>
        <v>7.9500000000000001E-2</v>
      </c>
      <c r="R41" s="2627"/>
      <c r="S41" s="2633">
        <f>B41/B42-1</f>
        <v>2.713213765211786E-2</v>
      </c>
      <c r="T41" s="2634">
        <f>C41/C42-1</f>
        <v>3.9774828499231862E-2</v>
      </c>
      <c r="U41" s="2634">
        <f>E41/E42-1</f>
        <v>1.8197311840641772E-2</v>
      </c>
      <c r="V41" s="2634">
        <f>F41/F42-1</f>
        <v>7.8211933962205826E-2</v>
      </c>
      <c r="X41" s="2635"/>
      <c r="Y41" s="2635"/>
      <c r="Z41" s="2635"/>
    </row>
    <row r="42" spans="1:26" ht="13.8" thickBot="1">
      <c r="A42" s="2617" t="s">
        <v>2591</v>
      </c>
      <c r="B42" s="2622">
        <v>269</v>
      </c>
      <c r="C42" s="2622">
        <v>221</v>
      </c>
      <c r="D42" s="2622">
        <f t="shared" si="109"/>
        <v>221</v>
      </c>
      <c r="E42" s="2622">
        <v>373</v>
      </c>
      <c r="F42" s="2623">
        <v>196</v>
      </c>
      <c r="G42" s="3453">
        <v>2010</v>
      </c>
      <c r="H42" s="2636">
        <v>4</v>
      </c>
      <c r="I42" s="2636">
        <v>5.72</v>
      </c>
      <c r="J42" s="2636">
        <v>6.57</v>
      </c>
      <c r="K42" s="2636">
        <v>5.72</v>
      </c>
      <c r="L42" s="2637">
        <v>2.72</v>
      </c>
      <c r="N42" s="2625">
        <f t="shared" si="111"/>
        <v>5.7200000000000001E-2</v>
      </c>
      <c r="O42" s="2626">
        <f t="shared" si="111"/>
        <v>6.5700000000000008E-2</v>
      </c>
      <c r="P42" s="2626">
        <f t="shared" si="111"/>
        <v>5.7200000000000001E-2</v>
      </c>
      <c r="Q42" s="2626">
        <f t="shared" si="111"/>
        <v>2.7200000000000002E-2</v>
      </c>
      <c r="R42" s="2627"/>
      <c r="S42" s="2628"/>
      <c r="T42" s="2629"/>
      <c r="U42" s="2629"/>
      <c r="V42" s="2629"/>
      <c r="X42" s="2629"/>
      <c r="Y42" s="2629"/>
      <c r="Z42" s="2629"/>
    </row>
    <row r="43" spans="1:26">
      <c r="A43" s="2617" t="s">
        <v>2592</v>
      </c>
      <c r="B43" s="2630">
        <f t="shared" ref="B43:C45" si="123">B42/(1+N42)</f>
        <v>254.44570563753314</v>
      </c>
      <c r="C43" s="2630">
        <f t="shared" si="123"/>
        <v>207.37543398705074</v>
      </c>
      <c r="D43" s="2630">
        <f t="shared" si="109"/>
        <v>207.37543398705074</v>
      </c>
      <c r="E43" s="2630">
        <f t="shared" ref="E43:F45" si="124">E42/(1+P42)</f>
        <v>352.81876655315932</v>
      </c>
      <c r="F43" s="2630">
        <f t="shared" si="124"/>
        <v>190.809968847352</v>
      </c>
      <c r="G43" s="3451">
        <v>2010</v>
      </c>
      <c r="H43" s="2641">
        <v>3</v>
      </c>
      <c r="I43" s="2641">
        <v>4.7300000000000004</v>
      </c>
      <c r="J43" s="2641">
        <v>3.9</v>
      </c>
      <c r="K43" s="2641">
        <v>5.03</v>
      </c>
      <c r="L43" s="2642">
        <v>4.21</v>
      </c>
      <c r="N43" s="2625">
        <f t="shared" si="111"/>
        <v>4.7300000000000002E-2</v>
      </c>
      <c r="O43" s="2626">
        <f t="shared" si="111"/>
        <v>3.9E-2</v>
      </c>
      <c r="P43" s="2626">
        <f t="shared" si="111"/>
        <v>5.0300000000000004E-2</v>
      </c>
      <c r="Q43" s="2626">
        <f t="shared" si="111"/>
        <v>4.2099999999999999E-2</v>
      </c>
      <c r="R43" s="2627"/>
      <c r="S43" s="2625"/>
      <c r="T43" s="2626"/>
      <c r="U43" s="2626"/>
      <c r="V43" s="2626"/>
    </row>
    <row r="44" spans="1:26">
      <c r="A44" s="2617" t="s">
        <v>2593</v>
      </c>
      <c r="B44" s="2630">
        <f t="shared" si="123"/>
        <v>242.95398227588385</v>
      </c>
      <c r="C44" s="2630">
        <f t="shared" si="123"/>
        <v>199.59137053614126</v>
      </c>
      <c r="D44" s="2630">
        <f t="shared" si="109"/>
        <v>199.59137053614126</v>
      </c>
      <c r="E44" s="2630">
        <f t="shared" si="124"/>
        <v>335.92189522342125</v>
      </c>
      <c r="F44" s="2630">
        <f t="shared" si="124"/>
        <v>183.10139991109489</v>
      </c>
      <c r="G44" s="3451">
        <v>2010</v>
      </c>
      <c r="H44" s="2621">
        <v>2</v>
      </c>
      <c r="I44" s="2621">
        <v>4.6900000000000004</v>
      </c>
      <c r="J44" s="2621">
        <v>3.55</v>
      </c>
      <c r="K44" s="2621">
        <v>5.07</v>
      </c>
      <c r="L44" s="2632">
        <v>4.2300000000000004</v>
      </c>
      <c r="N44" s="2625">
        <f t="shared" si="111"/>
        <v>4.6900000000000004E-2</v>
      </c>
      <c r="O44" s="2626">
        <f t="shared" si="111"/>
        <v>3.5499999999999997E-2</v>
      </c>
      <c r="P44" s="2626">
        <f t="shared" si="111"/>
        <v>5.0700000000000002E-2</v>
      </c>
      <c r="Q44" s="2626">
        <f t="shared" si="111"/>
        <v>4.2300000000000004E-2</v>
      </c>
      <c r="R44" s="2627"/>
      <c r="S44" s="2625"/>
      <c r="T44" s="2626"/>
      <c r="U44" s="2626"/>
      <c r="V44" s="2626"/>
    </row>
    <row r="45" spans="1:26" ht="13.8" thickBot="1">
      <c r="A45" s="2617" t="s">
        <v>2594</v>
      </c>
      <c r="B45" s="2630">
        <f t="shared" si="123"/>
        <v>232.06990378821649</v>
      </c>
      <c r="C45" s="2630">
        <f t="shared" si="123"/>
        <v>192.74878854286936</v>
      </c>
      <c r="D45" s="2630">
        <f t="shared" si="109"/>
        <v>192.74878854286936</v>
      </c>
      <c r="E45" s="2630">
        <f t="shared" si="124"/>
        <v>319.71247284992984</v>
      </c>
      <c r="F45" s="2630">
        <f t="shared" si="124"/>
        <v>175.67053622862409</v>
      </c>
      <c r="G45" s="3454">
        <v>2010</v>
      </c>
      <c r="H45" s="2620">
        <v>1</v>
      </c>
      <c r="I45" s="2620">
        <v>5.4</v>
      </c>
      <c r="J45" s="2620">
        <v>3.2</v>
      </c>
      <c r="K45" s="2620">
        <v>6.16</v>
      </c>
      <c r="L45" s="2631">
        <v>4.51</v>
      </c>
      <c r="N45" s="2625">
        <f t="shared" si="111"/>
        <v>5.4000000000000006E-2</v>
      </c>
      <c r="O45" s="2626">
        <f t="shared" si="111"/>
        <v>3.2000000000000001E-2</v>
      </c>
      <c r="P45" s="2626">
        <f t="shared" si="111"/>
        <v>6.1600000000000002E-2</v>
      </c>
      <c r="Q45" s="2626">
        <f t="shared" si="111"/>
        <v>4.5100000000000001E-2</v>
      </c>
      <c r="R45" s="2627"/>
      <c r="S45" s="2633">
        <f>B45/B46-1</f>
        <v>5.4863199037347599E-2</v>
      </c>
      <c r="T45" s="2634">
        <f>C45/C46-1</f>
        <v>3.0742184721226584E-2</v>
      </c>
      <c r="U45" s="2634">
        <f>E45/E46-1</f>
        <v>6.2167683886810154E-2</v>
      </c>
      <c r="V45" s="2634">
        <f>F45/F46-1</f>
        <v>4.5657953741810031E-2</v>
      </c>
      <c r="X45" s="2635"/>
      <c r="Y45" s="2635"/>
      <c r="Z45" s="2635"/>
    </row>
    <row r="46" spans="1:26" ht="13.8" thickBot="1">
      <c r="A46" s="2617" t="s">
        <v>2595</v>
      </c>
      <c r="B46" s="2622">
        <v>220</v>
      </c>
      <c r="C46" s="2622">
        <v>187</v>
      </c>
      <c r="D46" s="2622">
        <f t="shared" si="109"/>
        <v>187</v>
      </c>
      <c r="E46" s="2622">
        <v>301</v>
      </c>
      <c r="F46" s="2623">
        <v>168</v>
      </c>
      <c r="G46" s="3453">
        <v>2009</v>
      </c>
      <c r="H46" s="2636">
        <v>4</v>
      </c>
      <c r="I46" s="2636">
        <v>2.2999999999999998</v>
      </c>
      <c r="J46" s="2636">
        <v>1.04</v>
      </c>
      <c r="K46" s="2636">
        <v>2.84</v>
      </c>
      <c r="L46" s="2637">
        <v>0.67</v>
      </c>
      <c r="N46" s="2638">
        <f t="shared" si="111"/>
        <v>2.3E-2</v>
      </c>
      <c r="O46" s="2639">
        <f t="shared" si="111"/>
        <v>1.04E-2</v>
      </c>
      <c r="P46" s="2639">
        <f t="shared" si="111"/>
        <v>2.8399999999999998E-2</v>
      </c>
      <c r="Q46" s="2639">
        <f t="shared" si="111"/>
        <v>6.7000000000000002E-3</v>
      </c>
      <c r="R46" s="2627"/>
      <c r="S46" s="2628"/>
      <c r="T46" s="2629"/>
      <c r="U46" s="2629"/>
      <c r="V46" s="2629"/>
      <c r="X46" s="2629"/>
      <c r="Y46" s="2629"/>
      <c r="Z46" s="2629"/>
    </row>
    <row r="47" spans="1:26">
      <c r="A47" s="2617" t="s">
        <v>2596</v>
      </c>
      <c r="B47" s="2630">
        <f t="shared" ref="B47:C49" si="125">B46/(1+N46)</f>
        <v>215.05376344086022</v>
      </c>
      <c r="C47" s="2630">
        <f t="shared" si="125"/>
        <v>185.0752177355503</v>
      </c>
      <c r="D47" s="2630">
        <f t="shared" si="109"/>
        <v>185.0752177355503</v>
      </c>
      <c r="E47" s="2630">
        <f t="shared" ref="E47:F49" si="126">E46/(1+P46)</f>
        <v>292.68767016725008</v>
      </c>
      <c r="F47" s="2630">
        <f t="shared" si="126"/>
        <v>166.88189132810174</v>
      </c>
      <c r="G47" s="3451">
        <v>2009</v>
      </c>
      <c r="H47" s="2641">
        <v>3</v>
      </c>
      <c r="I47" s="2641">
        <v>2.1</v>
      </c>
      <c r="J47" s="2641">
        <v>1.86</v>
      </c>
      <c r="K47" s="2641">
        <v>2.29</v>
      </c>
      <c r="L47" s="2642">
        <v>0.85</v>
      </c>
      <c r="N47" s="2625">
        <f t="shared" si="111"/>
        <v>2.1000000000000001E-2</v>
      </c>
      <c r="O47" s="2643">
        <f t="shared" si="111"/>
        <v>1.8600000000000002E-2</v>
      </c>
      <c r="P47" s="2643">
        <f t="shared" si="111"/>
        <v>2.29E-2</v>
      </c>
      <c r="Q47" s="2643">
        <f t="shared" si="111"/>
        <v>8.5000000000000006E-3</v>
      </c>
      <c r="R47" s="2627"/>
      <c r="S47" s="2625"/>
      <c r="T47" s="2626"/>
      <c r="U47" s="2626"/>
      <c r="V47" s="2626"/>
    </row>
    <row r="48" spans="1:26">
      <c r="A48" s="2617" t="s">
        <v>2597</v>
      </c>
      <c r="B48" s="2630">
        <f t="shared" si="125"/>
        <v>210.630522469011</v>
      </c>
      <c r="C48" s="2630">
        <f t="shared" si="125"/>
        <v>181.69567812247232</v>
      </c>
      <c r="D48" s="2630">
        <f t="shared" si="109"/>
        <v>181.69567812247232</v>
      </c>
      <c r="E48" s="2630">
        <f t="shared" si="126"/>
        <v>286.13517466736738</v>
      </c>
      <c r="F48" s="2630">
        <f t="shared" si="126"/>
        <v>165.47535084591149</v>
      </c>
      <c r="G48" s="3451">
        <v>2009</v>
      </c>
      <c r="H48" s="2621">
        <v>2</v>
      </c>
      <c r="I48" s="2621">
        <v>0.86</v>
      </c>
      <c r="J48" s="2621">
        <v>-1.1299999999999999</v>
      </c>
      <c r="K48" s="2621">
        <v>1.79</v>
      </c>
      <c r="L48" s="2632">
        <v>-2.0699999999999998</v>
      </c>
      <c r="N48" s="2625">
        <f t="shared" si="111"/>
        <v>8.6E-3</v>
      </c>
      <c r="O48" s="2643">
        <f t="shared" si="111"/>
        <v>-1.1299999999999999E-2</v>
      </c>
      <c r="P48" s="2643">
        <f t="shared" si="111"/>
        <v>1.7899999999999999E-2</v>
      </c>
      <c r="Q48" s="2643">
        <f t="shared" si="111"/>
        <v>-2.07E-2</v>
      </c>
      <c r="R48" s="2627"/>
      <c r="S48" s="2625"/>
      <c r="T48" s="2626"/>
      <c r="U48" s="2626"/>
      <c r="V48" s="2626"/>
    </row>
    <row r="49" spans="1:26">
      <c r="A49" s="2617" t="s">
        <v>2598</v>
      </c>
      <c r="B49" s="2630">
        <f t="shared" si="125"/>
        <v>208.83454537875372</v>
      </c>
      <c r="C49" s="2630">
        <f t="shared" si="125"/>
        <v>183.77230517090351</v>
      </c>
      <c r="D49" s="2630">
        <f t="shared" si="109"/>
        <v>183.77230517090351</v>
      </c>
      <c r="E49" s="2630">
        <f t="shared" si="126"/>
        <v>281.10342338870947</v>
      </c>
      <c r="F49" s="2630">
        <f t="shared" si="126"/>
        <v>168.97309388942256</v>
      </c>
      <c r="G49" s="3454">
        <v>2009</v>
      </c>
      <c r="H49" s="2620">
        <v>1</v>
      </c>
      <c r="I49" s="2620">
        <v>-2.64</v>
      </c>
      <c r="J49" s="2620">
        <v>-2.5299999999999998</v>
      </c>
      <c r="K49" s="2620">
        <v>-3.02</v>
      </c>
      <c r="L49" s="2631">
        <v>1.52</v>
      </c>
      <c r="N49" s="2633">
        <f t="shared" si="111"/>
        <v>-2.64E-2</v>
      </c>
      <c r="O49" s="2634">
        <f t="shared" si="111"/>
        <v>-2.53E-2</v>
      </c>
      <c r="P49" s="2634">
        <f t="shared" si="111"/>
        <v>-3.0200000000000001E-2</v>
      </c>
      <c r="Q49" s="2634">
        <f t="shared" si="111"/>
        <v>1.52E-2</v>
      </c>
      <c r="R49" s="2627"/>
      <c r="S49" s="2633">
        <f>B49/B50-1</f>
        <v>-2.4137638417038754E-2</v>
      </c>
      <c r="T49" s="2634">
        <f>C49/C50-1</f>
        <v>-2.248773845264096E-2</v>
      </c>
      <c r="U49" s="2634">
        <f>E49/E50-1</f>
        <v>-2.7323794502735366E-2</v>
      </c>
      <c r="V49" s="2634">
        <f>F49/F50-1</f>
        <v>1.7910204153148035E-2</v>
      </c>
      <c r="X49" s="2635"/>
      <c r="Y49" s="2635"/>
      <c r="Z49" s="2635"/>
    </row>
    <row r="50" spans="1:26" ht="13.8" thickBot="1">
      <c r="A50" s="2617" t="s">
        <v>2599</v>
      </c>
      <c r="B50" s="2660">
        <v>214</v>
      </c>
      <c r="C50" s="2660">
        <v>188</v>
      </c>
      <c r="D50" s="2660">
        <f t="shared" si="109"/>
        <v>188</v>
      </c>
      <c r="E50" s="2660">
        <v>289</v>
      </c>
      <c r="F50" s="2661">
        <v>166</v>
      </c>
      <c r="G50" s="3453">
        <v>2008</v>
      </c>
      <c r="H50" s="2636">
        <v>4</v>
      </c>
      <c r="I50" s="2636">
        <v>1.73</v>
      </c>
      <c r="J50" s="2636">
        <v>0.03</v>
      </c>
      <c r="K50" s="2636">
        <v>2.59</v>
      </c>
      <c r="L50" s="2637">
        <v>-1.66</v>
      </c>
      <c r="N50" s="2625">
        <f t="shared" si="111"/>
        <v>1.7299999999999999E-2</v>
      </c>
      <c r="O50" s="2626">
        <f t="shared" si="111"/>
        <v>2.9999999999999997E-4</v>
      </c>
      <c r="P50" s="2626">
        <f t="shared" si="111"/>
        <v>2.5899999999999999E-2</v>
      </c>
      <c r="Q50" s="2626">
        <f t="shared" si="111"/>
        <v>-1.66E-2</v>
      </c>
      <c r="R50" s="2627"/>
      <c r="S50" s="2628"/>
      <c r="T50" s="2629"/>
      <c r="U50" s="2629"/>
      <c r="V50" s="2629"/>
      <c r="X50" s="2629"/>
      <c r="Y50" s="2629"/>
      <c r="Z50" s="2629"/>
    </row>
    <row r="51" spans="1:26">
      <c r="A51" s="2617" t="s">
        <v>2600</v>
      </c>
      <c r="B51" s="2630">
        <f t="shared" ref="B51:C53" si="127">B50/(1+N50)</f>
        <v>210.36075887152265</v>
      </c>
      <c r="C51" s="2630">
        <f t="shared" si="127"/>
        <v>187.94361691492554</v>
      </c>
      <c r="D51" s="2630">
        <f t="shared" si="109"/>
        <v>187.94361691492554</v>
      </c>
      <c r="E51" s="2630">
        <f t="shared" ref="E51:F53" si="128">E50/(1+P50)</f>
        <v>281.70386977288234</v>
      </c>
      <c r="F51" s="2630">
        <f t="shared" si="128"/>
        <v>168.80211511083994</v>
      </c>
      <c r="G51" s="3451">
        <v>2008</v>
      </c>
      <c r="H51" s="2641">
        <v>3</v>
      </c>
      <c r="I51" s="2641">
        <v>1.96</v>
      </c>
      <c r="J51" s="2641">
        <v>2.36</v>
      </c>
      <c r="K51" s="2641">
        <v>1.82</v>
      </c>
      <c r="L51" s="2642">
        <v>2.2200000000000002</v>
      </c>
      <c r="N51" s="2625">
        <f t="shared" si="111"/>
        <v>1.9599999999999999E-2</v>
      </c>
      <c r="O51" s="2626">
        <f t="shared" si="111"/>
        <v>2.3599999999999999E-2</v>
      </c>
      <c r="P51" s="2626">
        <f t="shared" si="111"/>
        <v>1.8200000000000001E-2</v>
      </c>
      <c r="Q51" s="2626">
        <f t="shared" si="111"/>
        <v>2.2200000000000001E-2</v>
      </c>
      <c r="R51" s="2627"/>
      <c r="S51" s="2625"/>
      <c r="T51" s="2626"/>
      <c r="U51" s="2626"/>
      <c r="V51" s="2626"/>
    </row>
    <row r="52" spans="1:26">
      <c r="A52" s="2617" t="s">
        <v>2601</v>
      </c>
      <c r="B52" s="2630">
        <f t="shared" si="127"/>
        <v>206.31694671589116</v>
      </c>
      <c r="C52" s="2630">
        <f t="shared" si="127"/>
        <v>183.61041121036101</v>
      </c>
      <c r="D52" s="2630">
        <f t="shared" si="109"/>
        <v>183.61041121036101</v>
      </c>
      <c r="E52" s="2630">
        <f t="shared" si="128"/>
        <v>276.66850301795557</v>
      </c>
      <c r="F52" s="2630">
        <f t="shared" si="128"/>
        <v>165.1360938278614</v>
      </c>
      <c r="G52" s="3451">
        <v>2008</v>
      </c>
      <c r="H52" s="2621">
        <v>2</v>
      </c>
      <c r="I52" s="2621">
        <v>4.93</v>
      </c>
      <c r="J52" s="2621">
        <v>7.38</v>
      </c>
      <c r="K52" s="2621">
        <v>3.98</v>
      </c>
      <c r="L52" s="2632">
        <v>6.86</v>
      </c>
      <c r="N52" s="2625">
        <f t="shared" si="111"/>
        <v>4.9299999999999997E-2</v>
      </c>
      <c r="O52" s="2626">
        <f t="shared" si="111"/>
        <v>7.3800000000000004E-2</v>
      </c>
      <c r="P52" s="2626">
        <f t="shared" si="111"/>
        <v>3.9800000000000002E-2</v>
      </c>
      <c r="Q52" s="2626">
        <f t="shared" si="111"/>
        <v>6.8600000000000008E-2</v>
      </c>
      <c r="R52" s="2627"/>
      <c r="S52" s="2625"/>
      <c r="T52" s="2626"/>
      <c r="U52" s="2626"/>
      <c r="V52" s="2626"/>
    </row>
    <row r="53" spans="1:26" s="2666" customFormat="1" ht="13.8" thickBot="1">
      <c r="A53" s="2617" t="s">
        <v>2602</v>
      </c>
      <c r="B53" s="2663">
        <f t="shared" si="127"/>
        <v>196.62341248059772</v>
      </c>
      <c r="C53" s="2663">
        <f t="shared" si="127"/>
        <v>170.99125648199012</v>
      </c>
      <c r="D53" s="2663">
        <f t="shared" si="109"/>
        <v>170.99125648199012</v>
      </c>
      <c r="E53" s="2663">
        <f t="shared" si="128"/>
        <v>266.07857570490052</v>
      </c>
      <c r="F53" s="2663">
        <f t="shared" si="128"/>
        <v>154.53499328828505</v>
      </c>
      <c r="G53" s="3454">
        <v>2008</v>
      </c>
      <c r="H53" s="2664">
        <v>1</v>
      </c>
      <c r="I53" s="2664">
        <v>4.1399999999999997</v>
      </c>
      <c r="J53" s="2664">
        <v>3.45</v>
      </c>
      <c r="K53" s="2664">
        <v>4.95</v>
      </c>
      <c r="L53" s="2665">
        <v>4.82</v>
      </c>
      <c r="N53" s="2667">
        <f t="shared" si="111"/>
        <v>4.1399999999999999E-2</v>
      </c>
      <c r="O53" s="2668">
        <f t="shared" si="111"/>
        <v>3.4500000000000003E-2</v>
      </c>
      <c r="P53" s="2668">
        <f t="shared" si="111"/>
        <v>4.9500000000000002E-2</v>
      </c>
      <c r="Q53" s="2668">
        <f t="shared" si="111"/>
        <v>4.82E-2</v>
      </c>
      <c r="R53" s="2669"/>
      <c r="S53" s="2667">
        <f>B53/B54-1</f>
        <v>4.5869215322328349E-2</v>
      </c>
      <c r="T53" s="2668">
        <f>C53/C54-1</f>
        <v>3.6310645345394743E-2</v>
      </c>
      <c r="U53" s="2668">
        <f>E53/E54-1</f>
        <v>4.7553447657088688E-2</v>
      </c>
      <c r="V53" s="2668">
        <f>F53/F54-1</f>
        <v>4.4155360055980086E-2</v>
      </c>
      <c r="X53" s="2670"/>
      <c r="Y53" s="2670"/>
      <c r="Z53" s="2670"/>
    </row>
    <row r="54" spans="1:26" ht="13.8" thickBot="1">
      <c r="A54" s="2617" t="s">
        <v>2603</v>
      </c>
      <c r="B54" s="2622">
        <v>188</v>
      </c>
      <c r="C54" s="2622">
        <v>165</v>
      </c>
      <c r="D54" s="2622">
        <f t="shared" si="109"/>
        <v>165</v>
      </c>
      <c r="E54" s="2622">
        <v>254</v>
      </c>
      <c r="F54" s="2623">
        <v>148</v>
      </c>
      <c r="G54" s="3453">
        <v>2007</v>
      </c>
      <c r="H54" s="2671">
        <v>4</v>
      </c>
      <c r="I54" s="2671">
        <v>5.51</v>
      </c>
      <c r="J54" s="2671">
        <v>4.8899999999999997</v>
      </c>
      <c r="K54" s="2671">
        <v>6.43</v>
      </c>
      <c r="L54" s="2672">
        <v>5.36</v>
      </c>
      <c r="N54" s="2673">
        <f t="shared" ref="N54:O57" si="129">B54/B55-1</f>
        <v>4.1339718365245526E-2</v>
      </c>
      <c r="O54" s="2674">
        <f t="shared" si="129"/>
        <v>4.0324492593776018E-2</v>
      </c>
      <c r="P54" s="2674">
        <f t="shared" ref="P54:Q57" si="130">E54/E55-1</f>
        <v>6.1625555347990968E-2</v>
      </c>
      <c r="Q54" s="2674">
        <f t="shared" si="130"/>
        <v>4.6757569250590603E-2</v>
      </c>
      <c r="R54" s="2627"/>
      <c r="S54" s="2628"/>
      <c r="T54" s="2629"/>
      <c r="U54" s="2629"/>
      <c r="V54" s="2629"/>
      <c r="X54" s="2629"/>
      <c r="Y54" s="2629"/>
      <c r="Z54" s="2629"/>
    </row>
    <row r="55" spans="1:26">
      <c r="A55" s="2617" t="s">
        <v>2604</v>
      </c>
      <c r="B55" s="2630">
        <f t="shared" ref="B55:C57" si="131">B56+(B$54-B$58)*I55/SUM(I$54:I$57)</f>
        <v>180.5366651097618</v>
      </c>
      <c r="C55" s="2630">
        <f t="shared" si="131"/>
        <v>158.60435967302453</v>
      </c>
      <c r="D55" s="2630">
        <f t="shared" si="109"/>
        <v>158.60435967302453</v>
      </c>
      <c r="E55" s="2630">
        <f t="shared" ref="E55:F57" si="132">E56+(E$54-E$58)*K55/SUM(K$54:K$57)</f>
        <v>239.25573260785075</v>
      </c>
      <c r="F55" s="2630">
        <f t="shared" si="132"/>
        <v>141.38899430740037</v>
      </c>
      <c r="G55" s="3451">
        <v>2007</v>
      </c>
      <c r="H55" s="2641">
        <v>3</v>
      </c>
      <c r="I55" s="2641">
        <v>8.65</v>
      </c>
      <c r="J55" s="2641">
        <v>8.06</v>
      </c>
      <c r="K55" s="2641">
        <v>9.94</v>
      </c>
      <c r="L55" s="2642">
        <v>5.8</v>
      </c>
      <c r="N55" s="2673">
        <f t="shared" si="129"/>
        <v>6.940217571740015E-2</v>
      </c>
      <c r="O55" s="2674">
        <f t="shared" si="129"/>
        <v>7.1197482471153428E-2</v>
      </c>
      <c r="P55" s="2674">
        <f t="shared" si="130"/>
        <v>0.10529679922579582</v>
      </c>
      <c r="Q55" s="2674">
        <f t="shared" si="130"/>
        <v>5.3292245059512133E-2</v>
      </c>
      <c r="R55" s="2627"/>
      <c r="S55" s="2625"/>
      <c r="T55" s="2626"/>
      <c r="U55" s="2626"/>
      <c r="V55" s="2626"/>
      <c r="X55" s="2675"/>
      <c r="Y55" s="2675"/>
      <c r="Z55" s="2675"/>
    </row>
    <row r="56" spans="1:26">
      <c r="A56" s="2617" t="s">
        <v>2605</v>
      </c>
      <c r="B56" s="2630">
        <f t="shared" si="131"/>
        <v>168.82017748715555</v>
      </c>
      <c r="C56" s="2630">
        <f t="shared" si="131"/>
        <v>148.06267029972753</v>
      </c>
      <c r="D56" s="2630">
        <f t="shared" si="109"/>
        <v>148.06267029972753</v>
      </c>
      <c r="E56" s="2630">
        <f t="shared" si="132"/>
        <v>216.46288379323747</v>
      </c>
      <c r="F56" s="2630">
        <f t="shared" si="132"/>
        <v>134.23529411764704</v>
      </c>
      <c r="G56" s="3451">
        <v>2007</v>
      </c>
      <c r="H56" s="2621">
        <v>2</v>
      </c>
      <c r="I56" s="2621">
        <v>3.67</v>
      </c>
      <c r="J56" s="2621">
        <v>2.3199999999999998</v>
      </c>
      <c r="K56" s="2621">
        <v>5.0199999999999996</v>
      </c>
      <c r="L56" s="2632">
        <v>6.71</v>
      </c>
      <c r="N56" s="2673">
        <f t="shared" si="129"/>
        <v>3.0339138143848032E-2</v>
      </c>
      <c r="O56" s="2674">
        <f t="shared" si="129"/>
        <v>2.0922341588790472E-2</v>
      </c>
      <c r="P56" s="2674">
        <f t="shared" si="130"/>
        <v>5.6164796592717003E-2</v>
      </c>
      <c r="Q56" s="2674">
        <f t="shared" si="130"/>
        <v>6.5704536723887319E-2</v>
      </c>
      <c r="R56" s="2627"/>
      <c r="S56" s="2625"/>
      <c r="T56" s="2626"/>
      <c r="U56" s="2626"/>
      <c r="V56" s="2626"/>
      <c r="X56" s="2675"/>
      <c r="Y56" s="2675"/>
      <c r="Z56" s="2675"/>
    </row>
    <row r="57" spans="1:26">
      <c r="A57" s="2617" t="s">
        <v>2606</v>
      </c>
      <c r="B57" s="2630">
        <f t="shared" si="131"/>
        <v>163.84913591779542</v>
      </c>
      <c r="C57" s="2630">
        <f t="shared" si="131"/>
        <v>145.0283378746594</v>
      </c>
      <c r="D57" s="2630">
        <f t="shared" si="109"/>
        <v>145.0283378746594</v>
      </c>
      <c r="E57" s="2630">
        <f t="shared" si="132"/>
        <v>204.95180722891567</v>
      </c>
      <c r="F57" s="2630">
        <f t="shared" si="132"/>
        <v>125.95920303605313</v>
      </c>
      <c r="G57" s="3454">
        <v>2007</v>
      </c>
      <c r="H57" s="2620">
        <v>1</v>
      </c>
      <c r="I57" s="2620">
        <v>3.58</v>
      </c>
      <c r="J57" s="2620">
        <v>3.08</v>
      </c>
      <c r="K57" s="2620">
        <v>4.34</v>
      </c>
      <c r="L57" s="2631">
        <v>3.21</v>
      </c>
      <c r="N57" s="2676">
        <f t="shared" si="129"/>
        <v>3.0497710174814063E-2</v>
      </c>
      <c r="O57" s="2677">
        <f t="shared" si="129"/>
        <v>2.8569772160704998E-2</v>
      </c>
      <c r="P57" s="2677">
        <f t="shared" si="130"/>
        <v>5.1034908866234296E-2</v>
      </c>
      <c r="Q57" s="2677">
        <f t="shared" si="130"/>
        <v>3.245248390207478E-2</v>
      </c>
      <c r="R57" s="2627"/>
      <c r="S57" s="2633">
        <f>B57/B58-1</f>
        <v>3.0497710174814063E-2</v>
      </c>
      <c r="T57" s="2634">
        <f>C57/C58-1</f>
        <v>2.8569772160704998E-2</v>
      </c>
      <c r="U57" s="2634">
        <f>E57/E58-1</f>
        <v>5.1034908866234296E-2</v>
      </c>
      <c r="V57" s="2634">
        <f>F57/F58-1</f>
        <v>3.245248390207478E-2</v>
      </c>
      <c r="X57" s="2675"/>
      <c r="Y57" s="2675"/>
      <c r="Z57" s="2675"/>
    </row>
    <row r="58" spans="1:26" ht="13.8" thickBot="1">
      <c r="A58" s="2617" t="s">
        <v>2607</v>
      </c>
      <c r="B58" s="2644">
        <v>159</v>
      </c>
      <c r="C58" s="2644">
        <v>141</v>
      </c>
      <c r="D58" s="2644">
        <f t="shared" si="109"/>
        <v>141</v>
      </c>
      <c r="E58" s="2644">
        <v>195</v>
      </c>
      <c r="F58" s="2645">
        <v>122</v>
      </c>
      <c r="G58" s="3453">
        <v>2006</v>
      </c>
      <c r="H58" s="2636">
        <v>4</v>
      </c>
      <c r="I58" s="2636">
        <v>3.79</v>
      </c>
      <c r="J58" s="2636">
        <v>2.21</v>
      </c>
      <c r="K58" s="2636">
        <v>5.65</v>
      </c>
      <c r="L58" s="2637">
        <v>5.41</v>
      </c>
      <c r="N58" s="2673">
        <f t="shared" ref="N58:O61" si="133">I58/SUM(I$58:I$61)*(B$58/B$62-1)</f>
        <v>7.245466462748526E-2</v>
      </c>
      <c r="O58" s="2674">
        <f t="shared" si="133"/>
        <v>2.3237230038062766E-2</v>
      </c>
      <c r="P58" s="2674">
        <f t="shared" ref="P58:Q61" si="134">K58/SUM(K$58:K$61)*(E$58/E$62-1)</f>
        <v>0.16146893866323722</v>
      </c>
      <c r="Q58" s="2674">
        <f t="shared" si="134"/>
        <v>5.0755230321793784E-2</v>
      </c>
      <c r="R58" s="2627"/>
      <c r="S58" s="2628"/>
      <c r="T58" s="2629"/>
      <c r="U58" s="2629"/>
      <c r="V58" s="2629"/>
      <c r="X58" s="2675"/>
      <c r="Y58" s="2675"/>
      <c r="Z58" s="2675"/>
    </row>
    <row r="59" spans="1:26">
      <c r="A59" s="2617" t="s">
        <v>2608</v>
      </c>
      <c r="B59" s="2630">
        <f t="shared" ref="B59:C61" si="135">B60+(B$58-B$62)*I59/SUM(I$58:I$61)</f>
        <v>149.00125628140702</v>
      </c>
      <c r="C59" s="2630">
        <f t="shared" si="135"/>
        <v>137.95592286501378</v>
      </c>
      <c r="D59" s="2630">
        <f t="shared" si="109"/>
        <v>137.95592286501378</v>
      </c>
      <c r="E59" s="2630">
        <f t="shared" ref="E59:F61" si="136">E60+(E$58-E$62)*K59/SUM(K$58:K$61)</f>
        <v>169.97231450719823</v>
      </c>
      <c r="F59" s="2630">
        <f t="shared" si="136"/>
        <v>116.21390374331551</v>
      </c>
      <c r="G59" s="3451">
        <v>2006</v>
      </c>
      <c r="H59" s="2641">
        <v>3</v>
      </c>
      <c r="I59" s="2641">
        <v>0.92</v>
      </c>
      <c r="J59" s="2641">
        <v>1.08</v>
      </c>
      <c r="K59" s="2641">
        <v>0.73</v>
      </c>
      <c r="L59" s="2642">
        <v>1.08</v>
      </c>
      <c r="N59" s="2673">
        <f t="shared" si="133"/>
        <v>1.7587939698492462E-2</v>
      </c>
      <c r="O59" s="2674">
        <f t="shared" si="133"/>
        <v>1.1355750425840628E-2</v>
      </c>
      <c r="P59" s="2674">
        <f t="shared" si="134"/>
        <v>2.0862358446754544E-2</v>
      </c>
      <c r="Q59" s="2674">
        <f t="shared" si="134"/>
        <v>1.0132282578103011E-2</v>
      </c>
      <c r="R59" s="2627"/>
      <c r="S59" s="2625"/>
      <c r="T59" s="2626"/>
      <c r="U59" s="2626"/>
      <c r="V59" s="2626"/>
      <c r="X59" s="2675"/>
      <c r="Y59" s="2675"/>
      <c r="Z59" s="2675"/>
    </row>
    <row r="60" spans="1:26">
      <c r="A60" s="2617" t="s">
        <v>2609</v>
      </c>
      <c r="B60" s="2630">
        <f t="shared" si="135"/>
        <v>146.57412060301507</v>
      </c>
      <c r="C60" s="2630">
        <f t="shared" si="135"/>
        <v>136.46831955922866</v>
      </c>
      <c r="D60" s="2630">
        <f t="shared" si="109"/>
        <v>136.46831955922866</v>
      </c>
      <c r="E60" s="2630">
        <f t="shared" si="136"/>
        <v>166.73864894795128</v>
      </c>
      <c r="F60" s="2630">
        <f t="shared" si="136"/>
        <v>115.05882352941177</v>
      </c>
      <c r="G60" s="3451">
        <v>2006</v>
      </c>
      <c r="H60" s="2621">
        <v>2</v>
      </c>
      <c r="I60" s="2621">
        <v>0.96</v>
      </c>
      <c r="J60" s="2621">
        <v>0.25</v>
      </c>
      <c r="K60" s="2621">
        <v>1.9</v>
      </c>
      <c r="L60" s="2632">
        <v>0.95</v>
      </c>
      <c r="N60" s="2673">
        <f t="shared" si="133"/>
        <v>1.8352632728861701E-2</v>
      </c>
      <c r="O60" s="2674">
        <f t="shared" si="133"/>
        <v>2.6286459319075526E-3</v>
      </c>
      <c r="P60" s="2674">
        <f t="shared" si="134"/>
        <v>5.4299289107991269E-2</v>
      </c>
      <c r="Q60" s="2674">
        <f t="shared" si="134"/>
        <v>8.9126559714794995E-3</v>
      </c>
      <c r="R60" s="2627"/>
      <c r="S60" s="2625"/>
      <c r="T60" s="2626"/>
      <c r="U60" s="2626"/>
      <c r="V60" s="2626"/>
      <c r="X60" s="2675"/>
      <c r="Y60" s="2675"/>
      <c r="Z60" s="2675"/>
    </row>
    <row r="61" spans="1:26">
      <c r="A61" s="2617" t="s">
        <v>2610</v>
      </c>
      <c r="B61" s="2630">
        <f t="shared" si="135"/>
        <v>144.04145728643215</v>
      </c>
      <c r="C61" s="2630">
        <f t="shared" si="135"/>
        <v>136.12396694214877</v>
      </c>
      <c r="D61" s="2630">
        <f t="shared" si="109"/>
        <v>136.12396694214877</v>
      </c>
      <c r="E61" s="2630">
        <f t="shared" si="136"/>
        <v>158.32225913621264</v>
      </c>
      <c r="F61" s="2630">
        <f t="shared" si="136"/>
        <v>114.04278074866311</v>
      </c>
      <c r="G61" s="3454">
        <v>2006</v>
      </c>
      <c r="H61" s="2620">
        <v>1</v>
      </c>
      <c r="I61" s="2620">
        <v>2.29</v>
      </c>
      <c r="J61" s="2620">
        <v>3.72</v>
      </c>
      <c r="K61" s="2620">
        <v>0.75</v>
      </c>
      <c r="L61" s="2631">
        <v>0.04</v>
      </c>
      <c r="N61" s="2676">
        <f t="shared" si="133"/>
        <v>4.3778675988638847E-2</v>
      </c>
      <c r="O61" s="2677">
        <f t="shared" si="133"/>
        <v>3.9114251466784385E-2</v>
      </c>
      <c r="P61" s="2677">
        <f t="shared" si="134"/>
        <v>2.1433929911049188E-2</v>
      </c>
      <c r="Q61" s="2677">
        <f t="shared" si="134"/>
        <v>3.7526972511492629E-4</v>
      </c>
      <c r="R61" s="2627"/>
      <c r="S61" s="2633">
        <f>B61/B62-1</f>
        <v>4.3778675988638716E-2</v>
      </c>
      <c r="T61" s="2634">
        <f>C61/C62-1</f>
        <v>3.91142514667846E-2</v>
      </c>
      <c r="U61" s="2634">
        <f>E61/E62-1</f>
        <v>2.143392991104931E-2</v>
      </c>
      <c r="V61" s="2634">
        <f>F61/F62-1</f>
        <v>3.7526972511492396E-4</v>
      </c>
      <c r="X61" s="2675"/>
      <c r="Y61" s="2675"/>
      <c r="Z61" s="2675"/>
    </row>
    <row r="62" spans="1:26" ht="13.8" thickBot="1">
      <c r="A62" s="2617" t="s">
        <v>2611</v>
      </c>
      <c r="B62" s="2644">
        <v>138</v>
      </c>
      <c r="C62" s="2644">
        <v>131</v>
      </c>
      <c r="D62" s="2644">
        <f t="shared" si="109"/>
        <v>131</v>
      </c>
      <c r="E62" s="2644">
        <v>155</v>
      </c>
      <c r="F62" s="2645">
        <v>114</v>
      </c>
      <c r="G62" s="3453">
        <v>2005</v>
      </c>
      <c r="H62" s="2636">
        <v>4</v>
      </c>
      <c r="I62" s="2636">
        <v>3.29</v>
      </c>
      <c r="J62" s="2636">
        <v>1.44</v>
      </c>
      <c r="K62" s="2636">
        <v>0.66</v>
      </c>
      <c r="L62" s="2637">
        <v>7.78</v>
      </c>
      <c r="N62" s="2673">
        <f t="shared" ref="N62:O65" si="137">I62/SUM(I$62:I$65)*(B$62/B$66-1)</f>
        <v>9.9404603216919935E-2</v>
      </c>
      <c r="O62" s="2674">
        <f t="shared" si="137"/>
        <v>4.7636550760861554E-2</v>
      </c>
      <c r="P62" s="2674">
        <f t="shared" ref="P62:Q65" si="138">K62/SUM(K$62:K$65)*(E$62/E$66-1)</f>
        <v>8.3756345177664976E-2</v>
      </c>
      <c r="Q62" s="2674">
        <f t="shared" si="138"/>
        <v>5.2148766661559584E-2</v>
      </c>
      <c r="R62" s="2627"/>
      <c r="S62" s="2628"/>
      <c r="T62" s="2629"/>
      <c r="U62" s="2629"/>
      <c r="V62" s="2629"/>
      <c r="X62" s="2675"/>
      <c r="Y62" s="2675"/>
      <c r="Z62" s="2675"/>
    </row>
    <row r="63" spans="1:26">
      <c r="A63" s="2617" t="s">
        <v>2612</v>
      </c>
      <c r="B63" s="2630">
        <f t="shared" ref="B63:C65" si="139">B64+(B$62-B$66)*I63/SUM(I$62:I$65)</f>
        <v>125.9720430107527</v>
      </c>
      <c r="C63" s="2630">
        <f t="shared" si="139"/>
        <v>125.1883408071749</v>
      </c>
      <c r="D63" s="2630">
        <f t="shared" si="109"/>
        <v>125.1883408071749</v>
      </c>
      <c r="E63" s="2630">
        <f t="shared" ref="E63:F65" si="140">E64+(E$62-E$66)*K63/SUM(K$62:K$65)</f>
        <v>144.61421319796952</v>
      </c>
      <c r="F63" s="2630">
        <f t="shared" si="140"/>
        <v>108.42008196721311</v>
      </c>
      <c r="G63" s="3451">
        <v>2005</v>
      </c>
      <c r="H63" s="2641">
        <v>3</v>
      </c>
      <c r="I63" s="2641">
        <v>0.46</v>
      </c>
      <c r="J63" s="2641">
        <v>0.32</v>
      </c>
      <c r="K63" s="2641">
        <v>0.42</v>
      </c>
      <c r="L63" s="2642">
        <v>0.64</v>
      </c>
      <c r="N63" s="2673">
        <f t="shared" si="137"/>
        <v>1.3898515951301874E-2</v>
      </c>
      <c r="O63" s="2674">
        <f t="shared" si="137"/>
        <v>1.0585900169080346E-2</v>
      </c>
      <c r="P63" s="2674">
        <f t="shared" si="138"/>
        <v>5.3299492385786795E-2</v>
      </c>
      <c r="Q63" s="2674">
        <f t="shared" si="138"/>
        <v>4.2898728359123568E-3</v>
      </c>
      <c r="R63" s="2627"/>
      <c r="S63" s="2625"/>
      <c r="T63" s="2626"/>
      <c r="U63" s="2626"/>
      <c r="V63" s="2626"/>
      <c r="X63" s="2675"/>
      <c r="Y63" s="2675"/>
      <c r="Z63" s="2675"/>
    </row>
    <row r="64" spans="1:26">
      <c r="A64" s="2617" t="s">
        <v>2613</v>
      </c>
      <c r="B64" s="2630">
        <f t="shared" si="139"/>
        <v>124.29032258064517</v>
      </c>
      <c r="C64" s="2630">
        <f t="shared" si="139"/>
        <v>123.8968609865471</v>
      </c>
      <c r="D64" s="2630">
        <f t="shared" si="109"/>
        <v>123.8968609865471</v>
      </c>
      <c r="E64" s="2630">
        <f t="shared" si="140"/>
        <v>138.00507614213197</v>
      </c>
      <c r="F64" s="2630">
        <f t="shared" si="140"/>
        <v>107.96106557377048</v>
      </c>
      <c r="G64" s="3451">
        <v>2005</v>
      </c>
      <c r="H64" s="2621">
        <v>2</v>
      </c>
      <c r="I64" s="2621">
        <v>0.47</v>
      </c>
      <c r="J64" s="2621">
        <v>0.1</v>
      </c>
      <c r="K64" s="2621">
        <v>0.52</v>
      </c>
      <c r="L64" s="2632">
        <v>0.79</v>
      </c>
      <c r="N64" s="2673">
        <f t="shared" si="137"/>
        <v>1.420065760241713E-2</v>
      </c>
      <c r="O64" s="2674">
        <f t="shared" si="137"/>
        <v>3.3080938028376083E-3</v>
      </c>
      <c r="P64" s="2674">
        <f t="shared" si="138"/>
        <v>6.598984771573603E-2</v>
      </c>
      <c r="Q64" s="2674">
        <f t="shared" si="138"/>
        <v>5.2953117818293153E-3</v>
      </c>
      <c r="R64" s="2627"/>
      <c r="S64" s="2625"/>
      <c r="T64" s="2626"/>
      <c r="U64" s="2626"/>
      <c r="V64" s="2626"/>
      <c r="X64" s="2675"/>
      <c r="Y64" s="2675"/>
      <c r="Z64" s="2675"/>
    </row>
    <row r="65" spans="1:26">
      <c r="A65" s="2617" t="s">
        <v>2614</v>
      </c>
      <c r="B65" s="2630">
        <f t="shared" si="139"/>
        <v>122.57204301075269</v>
      </c>
      <c r="C65" s="2630">
        <f t="shared" si="139"/>
        <v>123.4932735426009</v>
      </c>
      <c r="D65" s="2630">
        <f t="shared" si="109"/>
        <v>123.4932735426009</v>
      </c>
      <c r="E65" s="2630">
        <f t="shared" si="140"/>
        <v>129.82233502538071</v>
      </c>
      <c r="F65" s="2630">
        <f t="shared" si="140"/>
        <v>107.39446721311475</v>
      </c>
      <c r="G65" s="3454">
        <v>2005</v>
      </c>
      <c r="H65" s="2620">
        <v>1</v>
      </c>
      <c r="I65" s="2620">
        <v>0.43</v>
      </c>
      <c r="J65" s="2620">
        <v>0.37</v>
      </c>
      <c r="K65" s="2620">
        <v>0.37</v>
      </c>
      <c r="L65" s="2631">
        <v>0.55000000000000004</v>
      </c>
      <c r="N65" s="2676">
        <f t="shared" si="137"/>
        <v>1.2992090997956099E-2</v>
      </c>
      <c r="O65" s="2677">
        <f t="shared" si="137"/>
        <v>1.2239947070499151E-2</v>
      </c>
      <c r="P65" s="2677">
        <f t="shared" si="138"/>
        <v>4.6954314720812178E-2</v>
      </c>
      <c r="Q65" s="2677">
        <f t="shared" si="138"/>
        <v>3.6866094683621815E-3</v>
      </c>
      <c r="R65" s="2627"/>
      <c r="S65" s="2633">
        <f>B65/B66-1</f>
        <v>1.2992090997956174E-2</v>
      </c>
      <c r="T65" s="2634">
        <f>C65/C66-1</f>
        <v>1.2239947070499246E-2</v>
      </c>
      <c r="U65" s="2634">
        <f>E65/E66-1</f>
        <v>4.695431472081224E-2</v>
      </c>
      <c r="V65" s="2634">
        <f>F65/F66-1</f>
        <v>3.6866094683620787E-3</v>
      </c>
      <c r="X65" s="2675"/>
      <c r="Y65" s="2675"/>
      <c r="Z65" s="2675"/>
    </row>
    <row r="66" spans="1:26" ht="13.8" thickBot="1">
      <c r="A66" s="2617" t="s">
        <v>2615</v>
      </c>
      <c r="B66" s="2660">
        <v>121</v>
      </c>
      <c r="C66" s="2660">
        <v>122</v>
      </c>
      <c r="D66" s="2660">
        <f t="shared" si="109"/>
        <v>122</v>
      </c>
      <c r="E66" s="2660">
        <v>124</v>
      </c>
      <c r="F66" s="2661">
        <v>107</v>
      </c>
      <c r="G66" s="3453">
        <v>2004</v>
      </c>
      <c r="H66" s="2636">
        <v>4</v>
      </c>
      <c r="I66" s="2636">
        <v>0.33</v>
      </c>
      <c r="J66" s="2636">
        <v>0.5</v>
      </c>
      <c r="K66" s="2636">
        <v>0.5</v>
      </c>
      <c r="L66" s="2637">
        <v>0</v>
      </c>
      <c r="N66" s="2673">
        <f t="shared" ref="N66:O69" si="141">I66/SUM(I$66:I$69)*(B$66/B$70-1)</f>
        <v>1.3391770148526898E-2</v>
      </c>
      <c r="O66" s="2674">
        <f t="shared" si="141"/>
        <v>1.063264221158958E-2</v>
      </c>
      <c r="P66" s="2674">
        <f t="shared" ref="P66:Q69" si="142">K66/SUM(K$66:K$69)*(E$66/E$70-1)</f>
        <v>2.2244466688911134E-2</v>
      </c>
      <c r="Q66" s="2674">
        <f t="shared" si="142"/>
        <v>0</v>
      </c>
      <c r="R66" s="2627"/>
      <c r="S66" s="2628"/>
      <c r="T66" s="2629"/>
      <c r="U66" s="2629"/>
      <c r="V66" s="2629"/>
      <c r="X66" s="2675"/>
      <c r="Y66" s="2675"/>
      <c r="Z66" s="2675"/>
    </row>
    <row r="67" spans="1:26">
      <c r="A67" s="2617" t="s">
        <v>2616</v>
      </c>
      <c r="B67" s="2630">
        <f t="shared" ref="B67:C69" si="143">B68+(B$66-B$70)*I67/SUM(I$66:I$69)</f>
        <v>119.51351351351352</v>
      </c>
      <c r="C67" s="2630">
        <f t="shared" si="143"/>
        <v>120.7878787878788</v>
      </c>
      <c r="D67" s="2630">
        <f t="shared" si="109"/>
        <v>120.7878787878788</v>
      </c>
      <c r="E67" s="2630">
        <f t="shared" ref="E67:F69" si="144">E68+(E$66-E$70)*K67/SUM(K$66:K$69)</f>
        <v>121.5975975975976</v>
      </c>
      <c r="F67" s="2630">
        <f t="shared" si="144"/>
        <v>107</v>
      </c>
      <c r="G67" s="3451">
        <v>2004</v>
      </c>
      <c r="H67" s="2641">
        <v>3</v>
      </c>
      <c r="I67" s="2641">
        <v>0.56000000000000005</v>
      </c>
      <c r="J67" s="2641">
        <v>0.8</v>
      </c>
      <c r="K67" s="2641">
        <v>0.83</v>
      </c>
      <c r="L67" s="2642">
        <v>0.06</v>
      </c>
      <c r="N67" s="2673">
        <f t="shared" si="141"/>
        <v>2.2725428130833527E-2</v>
      </c>
      <c r="O67" s="2674">
        <f t="shared" si="141"/>
        <v>1.7012227538543329E-2</v>
      </c>
      <c r="P67" s="2674">
        <f t="shared" si="142"/>
        <v>3.6925814703592477E-2</v>
      </c>
      <c r="Q67" s="2674">
        <f t="shared" si="142"/>
        <v>2.8846153846153744E-2</v>
      </c>
      <c r="R67" s="2627"/>
      <c r="S67" s="2625"/>
      <c r="T67" s="2626"/>
      <c r="U67" s="2626"/>
      <c r="V67" s="2626"/>
      <c r="X67" s="2675"/>
      <c r="Y67" s="2675"/>
      <c r="Z67" s="2675"/>
    </row>
    <row r="68" spans="1:26">
      <c r="A68" s="2617" t="s">
        <v>2617</v>
      </c>
      <c r="B68" s="2630">
        <f t="shared" si="143"/>
        <v>116.99099099099099</v>
      </c>
      <c r="C68" s="2630">
        <f t="shared" si="143"/>
        <v>118.84848484848486</v>
      </c>
      <c r="D68" s="2630">
        <f t="shared" si="109"/>
        <v>118.84848484848486</v>
      </c>
      <c r="E68" s="2630">
        <f t="shared" si="144"/>
        <v>117.60960960960961</v>
      </c>
      <c r="F68" s="2630">
        <f t="shared" si="144"/>
        <v>104</v>
      </c>
      <c r="G68" s="3451">
        <v>2004</v>
      </c>
      <c r="H68" s="2621">
        <v>2</v>
      </c>
      <c r="I68" s="2621">
        <v>1</v>
      </c>
      <c r="J68" s="2621">
        <v>1.5</v>
      </c>
      <c r="K68" s="2621">
        <v>1.5</v>
      </c>
      <c r="L68" s="2632">
        <v>0</v>
      </c>
      <c r="N68" s="2673">
        <f t="shared" si="141"/>
        <v>4.0581121662202721E-2</v>
      </c>
      <c r="O68" s="2674">
        <f t="shared" si="141"/>
        <v>3.1897926634768738E-2</v>
      </c>
      <c r="P68" s="2674">
        <f t="shared" si="142"/>
        <v>6.6733400066733395E-2</v>
      </c>
      <c r="Q68" s="2674">
        <f t="shared" si="142"/>
        <v>0</v>
      </c>
      <c r="R68" s="2627"/>
      <c r="S68" s="2625"/>
      <c r="T68" s="2626"/>
      <c r="U68" s="2626"/>
      <c r="V68" s="2626"/>
      <c r="X68" s="2675"/>
      <c r="Y68" s="2675"/>
      <c r="Z68" s="2675"/>
    </row>
    <row r="69" spans="1:26" s="2666" customFormat="1" ht="13.8" thickBot="1">
      <c r="A69" s="2617" t="s">
        <v>2618</v>
      </c>
      <c r="B69" s="2663">
        <f t="shared" si="143"/>
        <v>112.48648648648648</v>
      </c>
      <c r="C69" s="2663">
        <f t="shared" si="143"/>
        <v>115.21212121212122</v>
      </c>
      <c r="D69" s="2663">
        <f t="shared" si="109"/>
        <v>115.21212121212122</v>
      </c>
      <c r="E69" s="2663">
        <f t="shared" si="144"/>
        <v>110.4024024024024</v>
      </c>
      <c r="F69" s="2663">
        <f t="shared" si="144"/>
        <v>104</v>
      </c>
      <c r="G69" s="3454">
        <v>2004</v>
      </c>
      <c r="H69" s="2664">
        <v>1</v>
      </c>
      <c r="I69" s="2664">
        <v>0.33</v>
      </c>
      <c r="J69" s="2664">
        <v>0.5</v>
      </c>
      <c r="K69" s="2664">
        <v>0.5</v>
      </c>
      <c r="L69" s="2665">
        <v>0</v>
      </c>
      <c r="N69" s="2678">
        <f t="shared" si="141"/>
        <v>1.3391770148526898E-2</v>
      </c>
      <c r="O69" s="2679">
        <f t="shared" si="141"/>
        <v>1.063264221158958E-2</v>
      </c>
      <c r="P69" s="2679">
        <f t="shared" si="142"/>
        <v>2.2244466688911134E-2</v>
      </c>
      <c r="Q69" s="2679">
        <f t="shared" si="142"/>
        <v>0</v>
      </c>
      <c r="R69" s="2669"/>
      <c r="S69" s="2667">
        <f>B69/B70-1</f>
        <v>1.3391770148526883E-2</v>
      </c>
      <c r="T69" s="2668">
        <f>C69/C70-1</f>
        <v>1.063264221158966E-2</v>
      </c>
      <c r="U69" s="2668">
        <f>E69/E70-1</f>
        <v>2.2244466688911224E-2</v>
      </c>
      <c r="V69" s="2668">
        <f>F69/F70-1</f>
        <v>0</v>
      </c>
      <c r="X69" s="2680"/>
      <c r="Y69" s="2680"/>
      <c r="Z69" s="2680"/>
    </row>
    <row r="70" spans="1:26" ht="13.8" thickBot="1">
      <c r="A70" s="2617" t="s">
        <v>2619</v>
      </c>
      <c r="B70" s="2681">
        <v>111</v>
      </c>
      <c r="C70" s="2681">
        <v>114</v>
      </c>
      <c r="D70" s="2681">
        <f t="shared" si="109"/>
        <v>114</v>
      </c>
      <c r="E70" s="2681">
        <v>108</v>
      </c>
      <c r="F70" s="2682">
        <v>104</v>
      </c>
      <c r="G70" s="3453">
        <v>2003</v>
      </c>
      <c r="H70" s="2671">
        <v>4</v>
      </c>
      <c r="I70" s="2683"/>
      <c r="J70" s="2683"/>
      <c r="K70" s="2683"/>
      <c r="L70" s="2683"/>
      <c r="N70" s="2684"/>
      <c r="O70" s="2683"/>
      <c r="P70" s="2683"/>
      <c r="Q70" s="2683"/>
      <c r="S70" s="2684"/>
      <c r="T70" s="2683"/>
      <c r="U70" s="2683"/>
      <c r="V70" s="2683"/>
      <c r="X70" s="2675"/>
      <c r="Y70" s="2675"/>
      <c r="Z70" s="2675"/>
    </row>
    <row r="71" spans="1:26">
      <c r="A71" s="2617" t="s">
        <v>2620</v>
      </c>
      <c r="B71" s="2685">
        <f t="shared" ref="B71:C73" si="145">B72+(B$70-B$74)/4</f>
        <v>109.75</v>
      </c>
      <c r="C71" s="2685">
        <f t="shared" si="145"/>
        <v>112.25</v>
      </c>
      <c r="D71" s="2685">
        <f t="shared" si="109"/>
        <v>112.25</v>
      </c>
      <c r="E71" s="2685">
        <f t="shared" ref="E71:F73" si="146">E72+(E$70-E$74)/4</f>
        <v>107.25</v>
      </c>
      <c r="F71" s="2685">
        <f t="shared" si="146"/>
        <v>103.5</v>
      </c>
      <c r="G71" s="3451">
        <v>2003</v>
      </c>
      <c r="H71" s="2641">
        <v>3</v>
      </c>
      <c r="I71" s="2683"/>
      <c r="J71" s="2683"/>
      <c r="K71" s="2683"/>
      <c r="L71" s="2683"/>
      <c r="X71" s="2675"/>
      <c r="Y71" s="2675"/>
      <c r="Z71" s="2675"/>
    </row>
    <row r="72" spans="1:26">
      <c r="A72" s="2617" t="s">
        <v>2621</v>
      </c>
      <c r="B72" s="2685">
        <f t="shared" si="145"/>
        <v>108.5</v>
      </c>
      <c r="C72" s="2685">
        <f t="shared" si="145"/>
        <v>110.5</v>
      </c>
      <c r="D72" s="2685">
        <f t="shared" si="109"/>
        <v>110.5</v>
      </c>
      <c r="E72" s="2685">
        <f t="shared" si="146"/>
        <v>106.5</v>
      </c>
      <c r="F72" s="2685">
        <f t="shared" si="146"/>
        <v>103</v>
      </c>
      <c r="G72" s="3451">
        <v>2003</v>
      </c>
      <c r="H72" s="2621">
        <v>2</v>
      </c>
      <c r="I72" s="2683"/>
      <c r="J72" s="2683"/>
      <c r="K72" s="2683"/>
      <c r="L72" s="2683"/>
      <c r="X72" s="2675"/>
      <c r="Y72" s="2675"/>
      <c r="Z72" s="2675"/>
    </row>
    <row r="73" spans="1:26" ht="13.8" thickBot="1">
      <c r="A73" s="2617" t="s">
        <v>2622</v>
      </c>
      <c r="B73" s="2685">
        <f t="shared" si="145"/>
        <v>107.25</v>
      </c>
      <c r="C73" s="2685">
        <f t="shared" si="145"/>
        <v>108.75</v>
      </c>
      <c r="D73" s="2685">
        <f t="shared" si="109"/>
        <v>108.75</v>
      </c>
      <c r="E73" s="2685">
        <f t="shared" si="146"/>
        <v>105.75</v>
      </c>
      <c r="F73" s="2685">
        <f t="shared" si="146"/>
        <v>102.5</v>
      </c>
      <c r="G73" s="3454">
        <v>2003</v>
      </c>
      <c r="H73" s="2686">
        <v>1</v>
      </c>
      <c r="I73" s="2683"/>
      <c r="J73" s="2683"/>
      <c r="K73" s="2683"/>
      <c r="L73" s="2683"/>
      <c r="S73" s="2625"/>
      <c r="T73" s="2626"/>
      <c r="U73" s="2626"/>
      <c r="X73" s="2675"/>
      <c r="Y73" s="2675"/>
      <c r="Z73" s="2675"/>
    </row>
    <row r="74" spans="1:26" ht="13.8" thickBot="1">
      <c r="A74" s="2617" t="s">
        <v>2623</v>
      </c>
      <c r="B74" s="2687">
        <v>106</v>
      </c>
      <c r="C74" s="2687">
        <v>107</v>
      </c>
      <c r="D74" s="2687">
        <f t="shared" si="109"/>
        <v>107</v>
      </c>
      <c r="E74" s="2687">
        <v>105</v>
      </c>
      <c r="F74" s="2688">
        <v>102</v>
      </c>
      <c r="G74" s="3453">
        <v>2002</v>
      </c>
      <c r="H74" s="2636">
        <v>4</v>
      </c>
      <c r="I74" s="2683"/>
      <c r="J74" s="2683"/>
      <c r="K74" s="2683"/>
      <c r="L74" s="2683"/>
      <c r="N74" s="2684"/>
      <c r="O74" s="2683"/>
      <c r="P74" s="2683"/>
      <c r="Q74" s="2683"/>
      <c r="S74" s="2684"/>
      <c r="T74" s="2683"/>
      <c r="U74" s="2683"/>
      <c r="V74" s="2683"/>
      <c r="X74" s="2675"/>
      <c r="Y74" s="2675"/>
      <c r="Z74" s="2675"/>
    </row>
    <row r="75" spans="1:26">
      <c r="A75" s="2617" t="s">
        <v>2624</v>
      </c>
      <c r="B75" s="2685">
        <f t="shared" ref="B75:C77" si="147">B76+(B$74-B$78)/4</f>
        <v>105</v>
      </c>
      <c r="C75" s="2685">
        <f t="shared" si="147"/>
        <v>106</v>
      </c>
      <c r="D75" s="2685">
        <f t="shared" si="109"/>
        <v>106</v>
      </c>
      <c r="E75" s="2685">
        <f t="shared" ref="E75:F77" si="148">E76+(E$74-E$78)/4</f>
        <v>104.5</v>
      </c>
      <c r="F75" s="2685">
        <f t="shared" si="148"/>
        <v>101.5</v>
      </c>
      <c r="G75" s="3451">
        <v>2002</v>
      </c>
      <c r="H75" s="2641">
        <v>3</v>
      </c>
      <c r="I75" s="2683"/>
      <c r="J75" s="2683"/>
      <c r="K75" s="2683"/>
      <c r="L75" s="2683"/>
      <c r="X75" s="2675"/>
      <c r="Y75" s="2675"/>
      <c r="Z75" s="2675"/>
    </row>
    <row r="76" spans="1:26">
      <c r="A76" s="2617" t="s">
        <v>2625</v>
      </c>
      <c r="B76" s="2685">
        <f t="shared" si="147"/>
        <v>104</v>
      </c>
      <c r="C76" s="2685">
        <f t="shared" si="147"/>
        <v>105</v>
      </c>
      <c r="D76" s="2685">
        <f t="shared" si="109"/>
        <v>105</v>
      </c>
      <c r="E76" s="2685">
        <f t="shared" si="148"/>
        <v>104</v>
      </c>
      <c r="F76" s="2685">
        <f t="shared" si="148"/>
        <v>101</v>
      </c>
      <c r="G76" s="3451">
        <v>2002</v>
      </c>
      <c r="H76" s="2621">
        <v>2</v>
      </c>
      <c r="I76" s="2683"/>
      <c r="J76" s="2683"/>
      <c r="K76" s="2683"/>
      <c r="L76" s="2683"/>
      <c r="X76" s="2675"/>
      <c r="Y76" s="2675"/>
      <c r="Z76" s="2675"/>
    </row>
    <row r="77" spans="1:26" s="2652" customFormat="1" ht="13.8" thickBot="1">
      <c r="A77" s="2648" t="s">
        <v>2626</v>
      </c>
      <c r="B77" s="2689">
        <f t="shared" si="147"/>
        <v>103</v>
      </c>
      <c r="C77" s="2689">
        <f t="shared" si="147"/>
        <v>104</v>
      </c>
      <c r="D77" s="2689">
        <f t="shared" si="109"/>
        <v>104</v>
      </c>
      <c r="E77" s="2689">
        <f t="shared" si="148"/>
        <v>103.5</v>
      </c>
      <c r="F77" s="2689">
        <f t="shared" si="148"/>
        <v>100.5</v>
      </c>
      <c r="G77" s="3454">
        <v>2002</v>
      </c>
      <c r="H77" s="2690">
        <v>1</v>
      </c>
      <c r="I77" s="2691"/>
      <c r="J77" s="2691"/>
      <c r="K77" s="2691"/>
      <c r="L77" s="2691"/>
      <c r="N77" s="2692"/>
      <c r="S77" s="2692"/>
      <c r="X77" s="2693"/>
      <c r="Y77" s="2693"/>
      <c r="Z77" s="2693"/>
    </row>
    <row r="78" spans="1:26" ht="13.8" thickBot="1">
      <c r="B78" s="2694">
        <v>102</v>
      </c>
      <c r="C78" s="2695">
        <v>103</v>
      </c>
      <c r="D78" s="2695">
        <f t="shared" si="109"/>
        <v>103</v>
      </c>
      <c r="E78" s="2695">
        <v>103</v>
      </c>
      <c r="F78" s="2696">
        <v>100</v>
      </c>
      <c r="I78" s="2683"/>
      <c r="J78" s="2683"/>
      <c r="K78" s="2683"/>
      <c r="L78" s="2683"/>
      <c r="N78" s="2684"/>
      <c r="O78" s="2683"/>
      <c r="P78" s="2683"/>
      <c r="Q78" s="2683"/>
      <c r="S78" s="2684"/>
      <c r="T78" s="2683"/>
      <c r="U78" s="2683"/>
      <c r="V78" s="2683"/>
      <c r="X78" s="2629"/>
      <c r="Y78" s="2629"/>
      <c r="Z78" s="2629"/>
    </row>
    <row r="80" spans="1:26" s="2698" customFormat="1">
      <c r="A80" s="2697" t="s">
        <v>2627</v>
      </c>
      <c r="G80" s="2699"/>
      <c r="N80" s="2699"/>
      <c r="S80" s="2699"/>
    </row>
    <row r="81" spans="1:22" s="2698" customFormat="1">
      <c r="A81" s="2698" t="s">
        <v>2628</v>
      </c>
      <c r="G81" s="2699"/>
      <c r="N81" s="2699"/>
      <c r="S81" s="2699"/>
    </row>
    <row r="82" spans="1:22" s="2698" customFormat="1">
      <c r="A82" s="2698" t="s">
        <v>2629</v>
      </c>
      <c r="G82" s="2699"/>
      <c r="I82" s="2700"/>
      <c r="J82" s="2700"/>
      <c r="K82" s="2700"/>
      <c r="L82" s="2700"/>
      <c r="N82" s="2701"/>
      <c r="O82" s="2700"/>
      <c r="P82" s="2700"/>
      <c r="Q82" s="2700"/>
      <c r="S82" s="2701"/>
      <c r="T82" s="2700"/>
      <c r="U82" s="2700"/>
      <c r="V82" s="2700"/>
    </row>
    <row r="83" spans="1:22" s="2698" customFormat="1">
      <c r="A83" s="2698" t="s">
        <v>2630</v>
      </c>
      <c r="G83" s="2699"/>
      <c r="N83" s="2699"/>
      <c r="S83" s="2699"/>
    </row>
    <row r="90" spans="1:22" ht="13.8" thickBot="1"/>
    <row r="91" spans="1:22">
      <c r="G91" s="2624"/>
      <c r="S91" s="2702" t="s">
        <v>2631</v>
      </c>
      <c r="T91" s="2703" t="s">
        <v>2632</v>
      </c>
      <c r="U91" s="2703" t="s">
        <v>2633</v>
      </c>
      <c r="V91" s="2703" t="s">
        <v>2634</v>
      </c>
    </row>
    <row r="92" spans="1:22">
      <c r="G92" s="2624"/>
      <c r="N92" s="2628"/>
      <c r="O92" s="2629"/>
      <c r="P92" s="2629"/>
      <c r="Q92" s="2629"/>
      <c r="S92" s="2704">
        <v>2006</v>
      </c>
      <c r="T92" s="2705">
        <v>15.1</v>
      </c>
      <c r="U92" s="2705">
        <v>7.43</v>
      </c>
      <c r="V92" s="2705">
        <v>26.26</v>
      </c>
    </row>
    <row r="93" spans="1:22">
      <c r="G93" s="2624"/>
      <c r="N93" s="2628"/>
      <c r="O93" s="2629"/>
      <c r="P93" s="2629"/>
      <c r="Q93" s="2629"/>
      <c r="S93" s="2707">
        <v>2005</v>
      </c>
      <c r="T93" s="2706">
        <v>13.9</v>
      </c>
      <c r="U93" s="2706">
        <v>7.49</v>
      </c>
      <c r="V93" s="2706">
        <v>24.92</v>
      </c>
    </row>
    <row r="94" spans="1:22">
      <c r="G94" s="2624"/>
      <c r="N94" s="2628"/>
      <c r="O94" s="2629"/>
      <c r="P94" s="2629"/>
      <c r="Q94" s="2629"/>
      <c r="S94" s="2704">
        <v>2004</v>
      </c>
      <c r="T94" s="2705">
        <v>9.48</v>
      </c>
      <c r="U94" s="2705">
        <v>7.2</v>
      </c>
      <c r="V94" s="2705">
        <v>14.68</v>
      </c>
    </row>
    <row r="95" spans="1:22">
      <c r="G95" s="2624"/>
      <c r="N95" s="2628"/>
      <c r="O95" s="2629"/>
      <c r="P95" s="2629"/>
      <c r="Q95" s="2629"/>
      <c r="S95" s="2707">
        <v>2003</v>
      </c>
      <c r="T95" s="2706">
        <v>4.5</v>
      </c>
      <c r="U95" s="2706">
        <v>6.12</v>
      </c>
      <c r="V95" s="2706">
        <v>2.34</v>
      </c>
    </row>
    <row r="96" spans="1:22" ht="13.8" thickBot="1">
      <c r="G96" s="2624"/>
      <c r="N96" s="2628"/>
      <c r="O96" s="2629"/>
      <c r="P96" s="2629"/>
      <c r="Q96" s="2629"/>
      <c r="S96" s="2708">
        <v>2002</v>
      </c>
      <c r="T96" s="2709">
        <v>3.59</v>
      </c>
      <c r="U96" s="2709">
        <v>4.54</v>
      </c>
      <c r="V96" s="2709">
        <v>2.5499999999999998</v>
      </c>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row r="112" spans="7:19">
      <c r="G112" s="2624"/>
      <c r="N112" s="2628"/>
      <c r="O112" s="2629"/>
      <c r="P112" s="2629"/>
      <c r="Q112" s="2629"/>
      <c r="S112" s="2624"/>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9"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H19" sqref="H1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1" t="s">
        <v>2942</v>
      </c>
      <c r="B1" s="3053"/>
      <c r="C1" s="3053"/>
      <c r="D1" s="3053"/>
      <c r="E1" s="3053"/>
      <c r="F1" s="3053"/>
    </row>
    <row r="2" spans="1:6" ht="15.6">
      <c r="A2" s="3054" t="s">
        <v>2937</v>
      </c>
      <c r="B2" s="3055" t="e">
        <f ca="1">SUMIF(B7:B14,"&lt;&gt;#ref!",B7:B14)</f>
        <v>#DIV/0!</v>
      </c>
      <c r="C2" s="3054" t="s">
        <v>2938</v>
      </c>
      <c r="D2" s="3053"/>
      <c r="E2" s="3053"/>
      <c r="F2" s="3053"/>
    </row>
    <row r="3" spans="1:6" ht="15.6">
      <c r="A3" s="3054" t="s">
        <v>2970</v>
      </c>
      <c r="B3" s="3055" t="e">
        <f ca="1">ROUND(B2*10000/E3,0)</f>
        <v>#DIV/0!</v>
      </c>
      <c r="C3" s="3054" t="s">
        <v>2075</v>
      </c>
      <c r="D3" s="3054" t="s">
        <v>2939</v>
      </c>
      <c r="E3" s="3055">
        <f ca="1">SUMIF(E7:E14,"&lt;&gt;#ref!",E7:E14)</f>
        <v>0</v>
      </c>
      <c r="F3" s="3053"/>
    </row>
    <row r="4" spans="1:6" ht="15.6">
      <c r="A4" s="3054" t="s">
        <v>2946</v>
      </c>
      <c r="B4" s="3055" t="e">
        <f ca="1">ROUND(B2*10000/E4,0)</f>
        <v>#DIV/0!</v>
      </c>
      <c r="C4" s="3054" t="s">
        <v>2075</v>
      </c>
      <c r="D4" s="3054" t="s">
        <v>2947</v>
      </c>
      <c r="E4" s="3055">
        <f ca="1">SUMIF(F7:F14,"&lt;&gt;#ref!",F7:F14)</f>
        <v>0</v>
      </c>
      <c r="F4" s="3053"/>
    </row>
    <row r="5" spans="1:6" ht="15.6">
      <c r="A5" s="3056"/>
      <c r="B5" s="1864"/>
      <c r="C5" s="1864"/>
      <c r="D5" s="1864"/>
      <c r="E5" s="1864"/>
      <c r="F5" s="3053"/>
    </row>
    <row r="6" spans="1:6" ht="31.2">
      <c r="A6" s="3057" t="s">
        <v>2943</v>
      </c>
      <c r="B6" s="3054" t="s">
        <v>2940</v>
      </c>
      <c r="C6" s="3055"/>
      <c r="D6" s="1864"/>
      <c r="E6" s="3054" t="s">
        <v>2941</v>
      </c>
      <c r="F6" s="3054" t="s">
        <v>2945</v>
      </c>
    </row>
    <row r="7" spans="1:6" ht="15.6">
      <c r="A7" s="260" t="s">
        <v>2944</v>
      </c>
      <c r="B7" s="3058" t="e">
        <f ca="1">SUMIF(INDIRECT("'"&amp;A7&amp;"'"&amp;"!A:A"),"总价",INDIRECT("'"&amp;A7&amp;"'"&amp;"!B:B"))</f>
        <v>#DIV/0!</v>
      </c>
      <c r="C7" s="3054" t="s">
        <v>2938</v>
      </c>
      <c r="D7" s="1864"/>
      <c r="E7" s="3059">
        <f ca="1">SUMIF(INDIRECT("'"&amp;A7&amp;"'"&amp;"!C:C"),"建筑面积",INDIRECT("'"&amp;A7&amp;"'"&amp;"!D:D"))</f>
        <v>0</v>
      </c>
      <c r="F7" s="3059">
        <f ca="1">SUMIF(INDIRECT("'"&amp;A7&amp;"'"&amp;"!E:E"),"土地面积",INDIRECT("'"&amp;A7&amp;"'"&amp;"!F:F"))</f>
        <v>0</v>
      </c>
    </row>
    <row r="8" spans="1:6" ht="15.6">
      <c r="A8" s="260"/>
      <c r="B8" s="3058" t="e">
        <f t="shared" ref="B8:B14" ca="1" si="0">SUMIF(INDIRECT("'"&amp;A8&amp;"'"&amp;"!A:A"),"总价",INDIRECT("'"&amp;A8&amp;"'"&amp;"!B:B"))</f>
        <v>#REF!</v>
      </c>
      <c r="C8" s="3054" t="s">
        <v>2938</v>
      </c>
      <c r="D8" s="1864"/>
      <c r="E8" s="3059" t="e">
        <f t="shared" ref="E8:E14" ca="1" si="1">SUMIF(INDIRECT("'"&amp;A8&amp;"'"&amp;"!C:C"),"建筑面积",INDIRECT("'"&amp;A8&amp;"'"&amp;"!D:D"))</f>
        <v>#REF!</v>
      </c>
      <c r="F8" s="3059" t="e">
        <f t="shared" ref="F8:F14" ca="1" si="2">SUMIF(INDIRECT("'"&amp;A8&amp;"'"&amp;"!E:E"),"土地面积",INDIRECT("'"&amp;A8&amp;"'"&amp;"!F:F"))</f>
        <v>#REF!</v>
      </c>
    </row>
    <row r="9" spans="1:6" ht="15.6">
      <c r="A9" s="260"/>
      <c r="B9" s="3058" t="e">
        <f t="shared" ca="1" si="0"/>
        <v>#REF!</v>
      </c>
      <c r="C9" s="3054" t="s">
        <v>2938</v>
      </c>
      <c r="D9" s="1864"/>
      <c r="E9" s="3059" t="e">
        <f t="shared" ca="1" si="1"/>
        <v>#REF!</v>
      </c>
      <c r="F9" s="3059" t="e">
        <f t="shared" ca="1" si="2"/>
        <v>#REF!</v>
      </c>
    </row>
    <row r="10" spans="1:6" ht="15.6">
      <c r="A10" s="260"/>
      <c r="B10" s="3058" t="e">
        <f t="shared" ca="1" si="0"/>
        <v>#REF!</v>
      </c>
      <c r="C10" s="3054" t="s">
        <v>2938</v>
      </c>
      <c r="D10" s="1864"/>
      <c r="E10" s="3059" t="e">
        <f t="shared" ca="1" si="1"/>
        <v>#REF!</v>
      </c>
      <c r="F10" s="3059" t="e">
        <f t="shared" ca="1" si="2"/>
        <v>#REF!</v>
      </c>
    </row>
    <row r="11" spans="1:6" ht="15.6">
      <c r="A11" s="260"/>
      <c r="B11" s="3058" t="e">
        <f t="shared" ca="1" si="0"/>
        <v>#REF!</v>
      </c>
      <c r="C11" s="3054" t="s">
        <v>2938</v>
      </c>
      <c r="D11" s="1864"/>
      <c r="E11" s="3059" t="e">
        <f t="shared" ca="1" si="1"/>
        <v>#REF!</v>
      </c>
      <c r="F11" s="3059" t="e">
        <f t="shared" ca="1" si="2"/>
        <v>#REF!</v>
      </c>
    </row>
    <row r="12" spans="1:6" ht="15.6">
      <c r="A12" s="260"/>
      <c r="B12" s="3058" t="e">
        <f t="shared" ca="1" si="0"/>
        <v>#REF!</v>
      </c>
      <c r="C12" s="3054" t="s">
        <v>2938</v>
      </c>
      <c r="D12" s="1864"/>
      <c r="E12" s="3059" t="e">
        <f t="shared" ca="1" si="1"/>
        <v>#REF!</v>
      </c>
      <c r="F12" s="3059" t="e">
        <f t="shared" ca="1" si="2"/>
        <v>#REF!</v>
      </c>
    </row>
    <row r="13" spans="1:6" ht="15.6">
      <c r="A13" s="260"/>
      <c r="B13" s="3058" t="e">
        <f t="shared" ca="1" si="0"/>
        <v>#REF!</v>
      </c>
      <c r="C13" s="3054" t="s">
        <v>2938</v>
      </c>
      <c r="D13" s="1864"/>
      <c r="E13" s="3059" t="e">
        <f t="shared" ca="1" si="1"/>
        <v>#REF!</v>
      </c>
      <c r="F13" s="3059" t="e">
        <f t="shared" ca="1" si="2"/>
        <v>#REF!</v>
      </c>
    </row>
    <row r="14" spans="1:6" ht="15.6">
      <c r="A14" s="3052"/>
      <c r="B14" s="3058" t="e">
        <f t="shared" ca="1" si="0"/>
        <v>#REF!</v>
      </c>
      <c r="C14" s="3054" t="s">
        <v>2938</v>
      </c>
      <c r="D14" s="1864"/>
      <c r="E14" s="3059" t="e">
        <f t="shared" ca="1" si="1"/>
        <v>#REF!</v>
      </c>
      <c r="F14" s="3059" t="e">
        <f t="shared" ca="1" si="2"/>
        <v>#REF!</v>
      </c>
    </row>
  </sheetData>
  <sheetProtection password="C66D" sheet="1" objects="1" scenarios="1"/>
  <phoneticPr fontId="229"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D4DCC-D7FB-4479-BA41-F75091B64E3E}">
  <sheetPr>
    <outlinePr summaryBelow="0" summaryRight="0"/>
    <pageSetUpPr autoPageBreaks="0" fitToPage="1"/>
  </sheetPr>
  <dimension ref="A1:N35"/>
  <sheetViews>
    <sheetView topLeftCell="A70" workbookViewId="0">
      <selection activeCell="G17" sqref="G17"/>
    </sheetView>
  </sheetViews>
  <sheetFormatPr defaultRowHeight="13.2"/>
  <cols>
    <col min="1" max="1" width="54.77734375" style="3180" customWidth="1"/>
    <col min="2" max="2" width="7.109375" style="3180" customWidth="1"/>
    <col min="3" max="3" width="15.5546875" style="3180" customWidth="1"/>
    <col min="4" max="4" width="11" style="3180" customWidth="1"/>
    <col min="5" max="5" width="10.44140625" style="3180" customWidth="1"/>
    <col min="6" max="6" width="21.88671875" style="3180" customWidth="1"/>
    <col min="7" max="7" width="9" style="3180" customWidth="1"/>
    <col min="8" max="8" width="10.21875" style="3180" customWidth="1"/>
    <col min="9" max="10" width="12.109375" style="3180" customWidth="1"/>
    <col min="11" max="11" width="9.44140625" style="3180" customWidth="1"/>
    <col min="12" max="12" width="7.109375" style="3180" customWidth="1"/>
    <col min="13" max="13" width="36.6640625" style="3180" customWidth="1"/>
    <col min="14" max="14" width="9" style="3180" customWidth="1"/>
    <col min="15" max="256" width="8.88671875" style="3180"/>
    <col min="257" max="257" width="79.109375" style="3180" customWidth="1"/>
    <col min="258" max="258" width="7.109375" style="3180" customWidth="1"/>
    <col min="259" max="261" width="15.88671875" style="3180" customWidth="1"/>
    <col min="262" max="262" width="21.88671875" style="3180" customWidth="1"/>
    <col min="263" max="263" width="9" style="3180" customWidth="1"/>
    <col min="264" max="264" width="10.21875" style="3180" customWidth="1"/>
    <col min="265" max="266" width="12.109375" style="3180" customWidth="1"/>
    <col min="267" max="267" width="16.33203125" style="3180" customWidth="1"/>
    <col min="268" max="268" width="7.109375" style="3180" customWidth="1"/>
    <col min="269" max="269" width="36.6640625" style="3180" customWidth="1"/>
    <col min="270" max="270" width="9" style="3180" customWidth="1"/>
    <col min="271" max="512" width="8.88671875" style="3180"/>
    <col min="513" max="513" width="79.109375" style="3180" customWidth="1"/>
    <col min="514" max="514" width="7.109375" style="3180" customWidth="1"/>
    <col min="515" max="517" width="15.88671875" style="3180" customWidth="1"/>
    <col min="518" max="518" width="21.88671875" style="3180" customWidth="1"/>
    <col min="519" max="519" width="9" style="3180" customWidth="1"/>
    <col min="520" max="520" width="10.21875" style="3180" customWidth="1"/>
    <col min="521" max="522" width="12.109375" style="3180" customWidth="1"/>
    <col min="523" max="523" width="16.33203125" style="3180" customWidth="1"/>
    <col min="524" max="524" width="7.109375" style="3180" customWidth="1"/>
    <col min="525" max="525" width="36.6640625" style="3180" customWidth="1"/>
    <col min="526" max="526" width="9" style="3180" customWidth="1"/>
    <col min="527" max="768" width="8.88671875" style="3180"/>
    <col min="769" max="769" width="79.109375" style="3180" customWidth="1"/>
    <col min="770" max="770" width="7.109375" style="3180" customWidth="1"/>
    <col min="771" max="773" width="15.88671875" style="3180" customWidth="1"/>
    <col min="774" max="774" width="21.88671875" style="3180" customWidth="1"/>
    <col min="775" max="775" width="9" style="3180" customWidth="1"/>
    <col min="776" max="776" width="10.21875" style="3180" customWidth="1"/>
    <col min="777" max="778" width="12.109375" style="3180" customWidth="1"/>
    <col min="779" max="779" width="16.33203125" style="3180" customWidth="1"/>
    <col min="780" max="780" width="7.109375" style="3180" customWidth="1"/>
    <col min="781" max="781" width="36.6640625" style="3180" customWidth="1"/>
    <col min="782" max="782" width="9" style="3180" customWidth="1"/>
    <col min="783" max="1024" width="8.88671875" style="3180"/>
    <col min="1025" max="1025" width="79.109375" style="3180" customWidth="1"/>
    <col min="1026" max="1026" width="7.109375" style="3180" customWidth="1"/>
    <col min="1027" max="1029" width="15.88671875" style="3180" customWidth="1"/>
    <col min="1030" max="1030" width="21.88671875" style="3180" customWidth="1"/>
    <col min="1031" max="1031" width="9" style="3180" customWidth="1"/>
    <col min="1032" max="1032" width="10.21875" style="3180" customWidth="1"/>
    <col min="1033" max="1034" width="12.109375" style="3180" customWidth="1"/>
    <col min="1035" max="1035" width="16.33203125" style="3180" customWidth="1"/>
    <col min="1036" max="1036" width="7.109375" style="3180" customWidth="1"/>
    <col min="1037" max="1037" width="36.6640625" style="3180" customWidth="1"/>
    <col min="1038" max="1038" width="9" style="3180" customWidth="1"/>
    <col min="1039" max="1280" width="8.88671875" style="3180"/>
    <col min="1281" max="1281" width="79.109375" style="3180" customWidth="1"/>
    <col min="1282" max="1282" width="7.109375" style="3180" customWidth="1"/>
    <col min="1283" max="1285" width="15.88671875" style="3180" customWidth="1"/>
    <col min="1286" max="1286" width="21.88671875" style="3180" customWidth="1"/>
    <col min="1287" max="1287" width="9" style="3180" customWidth="1"/>
    <col min="1288" max="1288" width="10.21875" style="3180" customWidth="1"/>
    <col min="1289" max="1290" width="12.109375" style="3180" customWidth="1"/>
    <col min="1291" max="1291" width="16.33203125" style="3180" customWidth="1"/>
    <col min="1292" max="1292" width="7.109375" style="3180" customWidth="1"/>
    <col min="1293" max="1293" width="36.6640625" style="3180" customWidth="1"/>
    <col min="1294" max="1294" width="9" style="3180" customWidth="1"/>
    <col min="1295" max="1536" width="8.88671875" style="3180"/>
    <col min="1537" max="1537" width="79.109375" style="3180" customWidth="1"/>
    <col min="1538" max="1538" width="7.109375" style="3180" customWidth="1"/>
    <col min="1539" max="1541" width="15.88671875" style="3180" customWidth="1"/>
    <col min="1542" max="1542" width="21.88671875" style="3180" customWidth="1"/>
    <col min="1543" max="1543" width="9" style="3180" customWidth="1"/>
    <col min="1544" max="1544" width="10.21875" style="3180" customWidth="1"/>
    <col min="1545" max="1546" width="12.109375" style="3180" customWidth="1"/>
    <col min="1547" max="1547" width="16.33203125" style="3180" customWidth="1"/>
    <col min="1548" max="1548" width="7.109375" style="3180" customWidth="1"/>
    <col min="1549" max="1549" width="36.6640625" style="3180" customWidth="1"/>
    <col min="1550" max="1550" width="9" style="3180" customWidth="1"/>
    <col min="1551" max="1792" width="8.88671875" style="3180"/>
    <col min="1793" max="1793" width="79.109375" style="3180" customWidth="1"/>
    <col min="1794" max="1794" width="7.109375" style="3180" customWidth="1"/>
    <col min="1795" max="1797" width="15.88671875" style="3180" customWidth="1"/>
    <col min="1798" max="1798" width="21.88671875" style="3180" customWidth="1"/>
    <col min="1799" max="1799" width="9" style="3180" customWidth="1"/>
    <col min="1800" max="1800" width="10.21875" style="3180" customWidth="1"/>
    <col min="1801" max="1802" width="12.109375" style="3180" customWidth="1"/>
    <col min="1803" max="1803" width="16.33203125" style="3180" customWidth="1"/>
    <col min="1804" max="1804" width="7.109375" style="3180" customWidth="1"/>
    <col min="1805" max="1805" width="36.6640625" style="3180" customWidth="1"/>
    <col min="1806" max="1806" width="9" style="3180" customWidth="1"/>
    <col min="1807" max="2048" width="8.88671875" style="3180"/>
    <col min="2049" max="2049" width="79.109375" style="3180" customWidth="1"/>
    <col min="2050" max="2050" width="7.109375" style="3180" customWidth="1"/>
    <col min="2051" max="2053" width="15.88671875" style="3180" customWidth="1"/>
    <col min="2054" max="2054" width="21.88671875" style="3180" customWidth="1"/>
    <col min="2055" max="2055" width="9" style="3180" customWidth="1"/>
    <col min="2056" max="2056" width="10.21875" style="3180" customWidth="1"/>
    <col min="2057" max="2058" width="12.109375" style="3180" customWidth="1"/>
    <col min="2059" max="2059" width="16.33203125" style="3180" customWidth="1"/>
    <col min="2060" max="2060" width="7.109375" style="3180" customWidth="1"/>
    <col min="2061" max="2061" width="36.6640625" style="3180" customWidth="1"/>
    <col min="2062" max="2062" width="9" style="3180" customWidth="1"/>
    <col min="2063" max="2304" width="8.88671875" style="3180"/>
    <col min="2305" max="2305" width="79.109375" style="3180" customWidth="1"/>
    <col min="2306" max="2306" width="7.109375" style="3180" customWidth="1"/>
    <col min="2307" max="2309" width="15.88671875" style="3180" customWidth="1"/>
    <col min="2310" max="2310" width="21.88671875" style="3180" customWidth="1"/>
    <col min="2311" max="2311" width="9" style="3180" customWidth="1"/>
    <col min="2312" max="2312" width="10.21875" style="3180" customWidth="1"/>
    <col min="2313" max="2314" width="12.109375" style="3180" customWidth="1"/>
    <col min="2315" max="2315" width="16.33203125" style="3180" customWidth="1"/>
    <col min="2316" max="2316" width="7.109375" style="3180" customWidth="1"/>
    <col min="2317" max="2317" width="36.6640625" style="3180" customWidth="1"/>
    <col min="2318" max="2318" width="9" style="3180" customWidth="1"/>
    <col min="2319" max="2560" width="8.88671875" style="3180"/>
    <col min="2561" max="2561" width="79.109375" style="3180" customWidth="1"/>
    <col min="2562" max="2562" width="7.109375" style="3180" customWidth="1"/>
    <col min="2563" max="2565" width="15.88671875" style="3180" customWidth="1"/>
    <col min="2566" max="2566" width="21.88671875" style="3180" customWidth="1"/>
    <col min="2567" max="2567" width="9" style="3180" customWidth="1"/>
    <col min="2568" max="2568" width="10.21875" style="3180" customWidth="1"/>
    <col min="2569" max="2570" width="12.109375" style="3180" customWidth="1"/>
    <col min="2571" max="2571" width="16.33203125" style="3180" customWidth="1"/>
    <col min="2572" max="2572" width="7.109375" style="3180" customWidth="1"/>
    <col min="2573" max="2573" width="36.6640625" style="3180" customWidth="1"/>
    <col min="2574" max="2574" width="9" style="3180" customWidth="1"/>
    <col min="2575" max="2816" width="8.88671875" style="3180"/>
    <col min="2817" max="2817" width="79.109375" style="3180" customWidth="1"/>
    <col min="2818" max="2818" width="7.109375" style="3180" customWidth="1"/>
    <col min="2819" max="2821" width="15.88671875" style="3180" customWidth="1"/>
    <col min="2822" max="2822" width="21.88671875" style="3180" customWidth="1"/>
    <col min="2823" max="2823" width="9" style="3180" customWidth="1"/>
    <col min="2824" max="2824" width="10.21875" style="3180" customWidth="1"/>
    <col min="2825" max="2826" width="12.109375" style="3180" customWidth="1"/>
    <col min="2827" max="2827" width="16.33203125" style="3180" customWidth="1"/>
    <col min="2828" max="2828" width="7.109375" style="3180" customWidth="1"/>
    <col min="2829" max="2829" width="36.6640625" style="3180" customWidth="1"/>
    <col min="2830" max="2830" width="9" style="3180" customWidth="1"/>
    <col min="2831" max="3072" width="8.88671875" style="3180"/>
    <col min="3073" max="3073" width="79.109375" style="3180" customWidth="1"/>
    <col min="3074" max="3074" width="7.109375" style="3180" customWidth="1"/>
    <col min="3075" max="3077" width="15.88671875" style="3180" customWidth="1"/>
    <col min="3078" max="3078" width="21.88671875" style="3180" customWidth="1"/>
    <col min="3079" max="3079" width="9" style="3180" customWidth="1"/>
    <col min="3080" max="3080" width="10.21875" style="3180" customWidth="1"/>
    <col min="3081" max="3082" width="12.109375" style="3180" customWidth="1"/>
    <col min="3083" max="3083" width="16.33203125" style="3180" customWidth="1"/>
    <col min="3084" max="3084" width="7.109375" style="3180" customWidth="1"/>
    <col min="3085" max="3085" width="36.6640625" style="3180" customWidth="1"/>
    <col min="3086" max="3086" width="9" style="3180" customWidth="1"/>
    <col min="3087" max="3328" width="8.88671875" style="3180"/>
    <col min="3329" max="3329" width="79.109375" style="3180" customWidth="1"/>
    <col min="3330" max="3330" width="7.109375" style="3180" customWidth="1"/>
    <col min="3331" max="3333" width="15.88671875" style="3180" customWidth="1"/>
    <col min="3334" max="3334" width="21.88671875" style="3180" customWidth="1"/>
    <col min="3335" max="3335" width="9" style="3180" customWidth="1"/>
    <col min="3336" max="3336" width="10.21875" style="3180" customWidth="1"/>
    <col min="3337" max="3338" width="12.109375" style="3180" customWidth="1"/>
    <col min="3339" max="3339" width="16.33203125" style="3180" customWidth="1"/>
    <col min="3340" max="3340" width="7.109375" style="3180" customWidth="1"/>
    <col min="3341" max="3341" width="36.6640625" style="3180" customWidth="1"/>
    <col min="3342" max="3342" width="9" style="3180" customWidth="1"/>
    <col min="3343" max="3584" width="8.88671875" style="3180"/>
    <col min="3585" max="3585" width="79.109375" style="3180" customWidth="1"/>
    <col min="3586" max="3586" width="7.109375" style="3180" customWidth="1"/>
    <col min="3587" max="3589" width="15.88671875" style="3180" customWidth="1"/>
    <col min="3590" max="3590" width="21.88671875" style="3180" customWidth="1"/>
    <col min="3591" max="3591" width="9" style="3180" customWidth="1"/>
    <col min="3592" max="3592" width="10.21875" style="3180" customWidth="1"/>
    <col min="3593" max="3594" width="12.109375" style="3180" customWidth="1"/>
    <col min="3595" max="3595" width="16.33203125" style="3180" customWidth="1"/>
    <col min="3596" max="3596" width="7.109375" style="3180" customWidth="1"/>
    <col min="3597" max="3597" width="36.6640625" style="3180" customWidth="1"/>
    <col min="3598" max="3598" width="9" style="3180" customWidth="1"/>
    <col min="3599" max="3840" width="8.88671875" style="3180"/>
    <col min="3841" max="3841" width="79.109375" style="3180" customWidth="1"/>
    <col min="3842" max="3842" width="7.109375" style="3180" customWidth="1"/>
    <col min="3843" max="3845" width="15.88671875" style="3180" customWidth="1"/>
    <col min="3846" max="3846" width="21.88671875" style="3180" customWidth="1"/>
    <col min="3847" max="3847" width="9" style="3180" customWidth="1"/>
    <col min="3848" max="3848" width="10.21875" style="3180" customWidth="1"/>
    <col min="3849" max="3850" width="12.109375" style="3180" customWidth="1"/>
    <col min="3851" max="3851" width="16.33203125" style="3180" customWidth="1"/>
    <col min="3852" max="3852" width="7.109375" style="3180" customWidth="1"/>
    <col min="3853" max="3853" width="36.6640625" style="3180" customWidth="1"/>
    <col min="3854" max="3854" width="9" style="3180" customWidth="1"/>
    <col min="3855" max="4096" width="8.88671875" style="3180"/>
    <col min="4097" max="4097" width="79.109375" style="3180" customWidth="1"/>
    <col min="4098" max="4098" width="7.109375" style="3180" customWidth="1"/>
    <col min="4099" max="4101" width="15.88671875" style="3180" customWidth="1"/>
    <col min="4102" max="4102" width="21.88671875" style="3180" customWidth="1"/>
    <col min="4103" max="4103" width="9" style="3180" customWidth="1"/>
    <col min="4104" max="4104" width="10.21875" style="3180" customWidth="1"/>
    <col min="4105" max="4106" width="12.109375" style="3180" customWidth="1"/>
    <col min="4107" max="4107" width="16.33203125" style="3180" customWidth="1"/>
    <col min="4108" max="4108" width="7.109375" style="3180" customWidth="1"/>
    <col min="4109" max="4109" width="36.6640625" style="3180" customWidth="1"/>
    <col min="4110" max="4110" width="9" style="3180" customWidth="1"/>
    <col min="4111" max="4352" width="8.88671875" style="3180"/>
    <col min="4353" max="4353" width="79.109375" style="3180" customWidth="1"/>
    <col min="4354" max="4354" width="7.109375" style="3180" customWidth="1"/>
    <col min="4355" max="4357" width="15.88671875" style="3180" customWidth="1"/>
    <col min="4358" max="4358" width="21.88671875" style="3180" customWidth="1"/>
    <col min="4359" max="4359" width="9" style="3180" customWidth="1"/>
    <col min="4360" max="4360" width="10.21875" style="3180" customWidth="1"/>
    <col min="4361" max="4362" width="12.109375" style="3180" customWidth="1"/>
    <col min="4363" max="4363" width="16.33203125" style="3180" customWidth="1"/>
    <col min="4364" max="4364" width="7.109375" style="3180" customWidth="1"/>
    <col min="4365" max="4365" width="36.6640625" style="3180" customWidth="1"/>
    <col min="4366" max="4366" width="9" style="3180" customWidth="1"/>
    <col min="4367" max="4608" width="8.88671875" style="3180"/>
    <col min="4609" max="4609" width="79.109375" style="3180" customWidth="1"/>
    <col min="4610" max="4610" width="7.109375" style="3180" customWidth="1"/>
    <col min="4611" max="4613" width="15.88671875" style="3180" customWidth="1"/>
    <col min="4614" max="4614" width="21.88671875" style="3180" customWidth="1"/>
    <col min="4615" max="4615" width="9" style="3180" customWidth="1"/>
    <col min="4616" max="4616" width="10.21875" style="3180" customWidth="1"/>
    <col min="4617" max="4618" width="12.109375" style="3180" customWidth="1"/>
    <col min="4619" max="4619" width="16.33203125" style="3180" customWidth="1"/>
    <col min="4620" max="4620" width="7.109375" style="3180" customWidth="1"/>
    <col min="4621" max="4621" width="36.6640625" style="3180" customWidth="1"/>
    <col min="4622" max="4622" width="9" style="3180" customWidth="1"/>
    <col min="4623" max="4864" width="8.88671875" style="3180"/>
    <col min="4865" max="4865" width="79.109375" style="3180" customWidth="1"/>
    <col min="4866" max="4866" width="7.109375" style="3180" customWidth="1"/>
    <col min="4867" max="4869" width="15.88671875" style="3180" customWidth="1"/>
    <col min="4870" max="4870" width="21.88671875" style="3180" customWidth="1"/>
    <col min="4871" max="4871" width="9" style="3180" customWidth="1"/>
    <col min="4872" max="4872" width="10.21875" style="3180" customWidth="1"/>
    <col min="4873" max="4874" width="12.109375" style="3180" customWidth="1"/>
    <col min="4875" max="4875" width="16.33203125" style="3180" customWidth="1"/>
    <col min="4876" max="4876" width="7.109375" style="3180" customWidth="1"/>
    <col min="4877" max="4877" width="36.6640625" style="3180" customWidth="1"/>
    <col min="4878" max="4878" width="9" style="3180" customWidth="1"/>
    <col min="4879" max="5120" width="8.88671875" style="3180"/>
    <col min="5121" max="5121" width="79.109375" style="3180" customWidth="1"/>
    <col min="5122" max="5122" width="7.109375" style="3180" customWidth="1"/>
    <col min="5123" max="5125" width="15.88671875" style="3180" customWidth="1"/>
    <col min="5126" max="5126" width="21.88671875" style="3180" customWidth="1"/>
    <col min="5127" max="5127" width="9" style="3180" customWidth="1"/>
    <col min="5128" max="5128" width="10.21875" style="3180" customWidth="1"/>
    <col min="5129" max="5130" width="12.109375" style="3180" customWidth="1"/>
    <col min="5131" max="5131" width="16.33203125" style="3180" customWidth="1"/>
    <col min="5132" max="5132" width="7.109375" style="3180" customWidth="1"/>
    <col min="5133" max="5133" width="36.6640625" style="3180" customWidth="1"/>
    <col min="5134" max="5134" width="9" style="3180" customWidth="1"/>
    <col min="5135" max="5376" width="8.88671875" style="3180"/>
    <col min="5377" max="5377" width="79.109375" style="3180" customWidth="1"/>
    <col min="5378" max="5378" width="7.109375" style="3180" customWidth="1"/>
    <col min="5379" max="5381" width="15.88671875" style="3180" customWidth="1"/>
    <col min="5382" max="5382" width="21.88671875" style="3180" customWidth="1"/>
    <col min="5383" max="5383" width="9" style="3180" customWidth="1"/>
    <col min="5384" max="5384" width="10.21875" style="3180" customWidth="1"/>
    <col min="5385" max="5386" width="12.109375" style="3180" customWidth="1"/>
    <col min="5387" max="5387" width="16.33203125" style="3180" customWidth="1"/>
    <col min="5388" max="5388" width="7.109375" style="3180" customWidth="1"/>
    <col min="5389" max="5389" width="36.6640625" style="3180" customWidth="1"/>
    <col min="5390" max="5390" width="9" style="3180" customWidth="1"/>
    <col min="5391" max="5632" width="8.88671875" style="3180"/>
    <col min="5633" max="5633" width="79.109375" style="3180" customWidth="1"/>
    <col min="5634" max="5634" width="7.109375" style="3180" customWidth="1"/>
    <col min="5635" max="5637" width="15.88671875" style="3180" customWidth="1"/>
    <col min="5638" max="5638" width="21.88671875" style="3180" customWidth="1"/>
    <col min="5639" max="5639" width="9" style="3180" customWidth="1"/>
    <col min="5640" max="5640" width="10.21875" style="3180" customWidth="1"/>
    <col min="5641" max="5642" width="12.109375" style="3180" customWidth="1"/>
    <col min="5643" max="5643" width="16.33203125" style="3180" customWidth="1"/>
    <col min="5644" max="5644" width="7.109375" style="3180" customWidth="1"/>
    <col min="5645" max="5645" width="36.6640625" style="3180" customWidth="1"/>
    <col min="5646" max="5646" width="9" style="3180" customWidth="1"/>
    <col min="5647" max="5888" width="8.88671875" style="3180"/>
    <col min="5889" max="5889" width="79.109375" style="3180" customWidth="1"/>
    <col min="5890" max="5890" width="7.109375" style="3180" customWidth="1"/>
    <col min="5891" max="5893" width="15.88671875" style="3180" customWidth="1"/>
    <col min="5894" max="5894" width="21.88671875" style="3180" customWidth="1"/>
    <col min="5895" max="5895" width="9" style="3180" customWidth="1"/>
    <col min="5896" max="5896" width="10.21875" style="3180" customWidth="1"/>
    <col min="5897" max="5898" width="12.109375" style="3180" customWidth="1"/>
    <col min="5899" max="5899" width="16.33203125" style="3180" customWidth="1"/>
    <col min="5900" max="5900" width="7.109375" style="3180" customWidth="1"/>
    <col min="5901" max="5901" width="36.6640625" style="3180" customWidth="1"/>
    <col min="5902" max="5902" width="9" style="3180" customWidth="1"/>
    <col min="5903" max="6144" width="8.88671875" style="3180"/>
    <col min="6145" max="6145" width="79.109375" style="3180" customWidth="1"/>
    <col min="6146" max="6146" width="7.109375" style="3180" customWidth="1"/>
    <col min="6147" max="6149" width="15.88671875" style="3180" customWidth="1"/>
    <col min="6150" max="6150" width="21.88671875" style="3180" customWidth="1"/>
    <col min="6151" max="6151" width="9" style="3180" customWidth="1"/>
    <col min="6152" max="6152" width="10.21875" style="3180" customWidth="1"/>
    <col min="6153" max="6154" width="12.109375" style="3180" customWidth="1"/>
    <col min="6155" max="6155" width="16.33203125" style="3180" customWidth="1"/>
    <col min="6156" max="6156" width="7.109375" style="3180" customWidth="1"/>
    <col min="6157" max="6157" width="36.6640625" style="3180" customWidth="1"/>
    <col min="6158" max="6158" width="9" style="3180" customWidth="1"/>
    <col min="6159" max="6400" width="8.88671875" style="3180"/>
    <col min="6401" max="6401" width="79.109375" style="3180" customWidth="1"/>
    <col min="6402" max="6402" width="7.109375" style="3180" customWidth="1"/>
    <col min="6403" max="6405" width="15.88671875" style="3180" customWidth="1"/>
    <col min="6406" max="6406" width="21.88671875" style="3180" customWidth="1"/>
    <col min="6407" max="6407" width="9" style="3180" customWidth="1"/>
    <col min="6408" max="6408" width="10.21875" style="3180" customWidth="1"/>
    <col min="6409" max="6410" width="12.109375" style="3180" customWidth="1"/>
    <col min="6411" max="6411" width="16.33203125" style="3180" customWidth="1"/>
    <col min="6412" max="6412" width="7.109375" style="3180" customWidth="1"/>
    <col min="6413" max="6413" width="36.6640625" style="3180" customWidth="1"/>
    <col min="6414" max="6414" width="9" style="3180" customWidth="1"/>
    <col min="6415" max="6656" width="8.88671875" style="3180"/>
    <col min="6657" max="6657" width="79.109375" style="3180" customWidth="1"/>
    <col min="6658" max="6658" width="7.109375" style="3180" customWidth="1"/>
    <col min="6659" max="6661" width="15.88671875" style="3180" customWidth="1"/>
    <col min="6662" max="6662" width="21.88671875" style="3180" customWidth="1"/>
    <col min="6663" max="6663" width="9" style="3180" customWidth="1"/>
    <col min="6664" max="6664" width="10.21875" style="3180" customWidth="1"/>
    <col min="6665" max="6666" width="12.109375" style="3180" customWidth="1"/>
    <col min="6667" max="6667" width="16.33203125" style="3180" customWidth="1"/>
    <col min="6668" max="6668" width="7.109375" style="3180" customWidth="1"/>
    <col min="6669" max="6669" width="36.6640625" style="3180" customWidth="1"/>
    <col min="6670" max="6670" width="9" style="3180" customWidth="1"/>
    <col min="6671" max="6912" width="8.88671875" style="3180"/>
    <col min="6913" max="6913" width="79.109375" style="3180" customWidth="1"/>
    <col min="6914" max="6914" width="7.109375" style="3180" customWidth="1"/>
    <col min="6915" max="6917" width="15.88671875" style="3180" customWidth="1"/>
    <col min="6918" max="6918" width="21.88671875" style="3180" customWidth="1"/>
    <col min="6919" max="6919" width="9" style="3180" customWidth="1"/>
    <col min="6920" max="6920" width="10.21875" style="3180" customWidth="1"/>
    <col min="6921" max="6922" width="12.109375" style="3180" customWidth="1"/>
    <col min="6923" max="6923" width="16.33203125" style="3180" customWidth="1"/>
    <col min="6924" max="6924" width="7.109375" style="3180" customWidth="1"/>
    <col min="6925" max="6925" width="36.6640625" style="3180" customWidth="1"/>
    <col min="6926" max="6926" width="9" style="3180" customWidth="1"/>
    <col min="6927" max="7168" width="8.88671875" style="3180"/>
    <col min="7169" max="7169" width="79.109375" style="3180" customWidth="1"/>
    <col min="7170" max="7170" width="7.109375" style="3180" customWidth="1"/>
    <col min="7171" max="7173" width="15.88671875" style="3180" customWidth="1"/>
    <col min="7174" max="7174" width="21.88671875" style="3180" customWidth="1"/>
    <col min="7175" max="7175" width="9" style="3180" customWidth="1"/>
    <col min="7176" max="7176" width="10.21875" style="3180" customWidth="1"/>
    <col min="7177" max="7178" width="12.109375" style="3180" customWidth="1"/>
    <col min="7179" max="7179" width="16.33203125" style="3180" customWidth="1"/>
    <col min="7180" max="7180" width="7.109375" style="3180" customWidth="1"/>
    <col min="7181" max="7181" width="36.6640625" style="3180" customWidth="1"/>
    <col min="7182" max="7182" width="9" style="3180" customWidth="1"/>
    <col min="7183" max="7424" width="8.88671875" style="3180"/>
    <col min="7425" max="7425" width="79.109375" style="3180" customWidth="1"/>
    <col min="7426" max="7426" width="7.109375" style="3180" customWidth="1"/>
    <col min="7427" max="7429" width="15.88671875" style="3180" customWidth="1"/>
    <col min="7430" max="7430" width="21.88671875" style="3180" customWidth="1"/>
    <col min="7431" max="7431" width="9" style="3180" customWidth="1"/>
    <col min="7432" max="7432" width="10.21875" style="3180" customWidth="1"/>
    <col min="7433" max="7434" width="12.109375" style="3180" customWidth="1"/>
    <col min="7435" max="7435" width="16.33203125" style="3180" customWidth="1"/>
    <col min="7436" max="7436" width="7.109375" style="3180" customWidth="1"/>
    <col min="7437" max="7437" width="36.6640625" style="3180" customWidth="1"/>
    <col min="7438" max="7438" width="9" style="3180" customWidth="1"/>
    <col min="7439" max="7680" width="8.88671875" style="3180"/>
    <col min="7681" max="7681" width="79.109375" style="3180" customWidth="1"/>
    <col min="7682" max="7682" width="7.109375" style="3180" customWidth="1"/>
    <col min="7683" max="7685" width="15.88671875" style="3180" customWidth="1"/>
    <col min="7686" max="7686" width="21.88671875" style="3180" customWidth="1"/>
    <col min="7687" max="7687" width="9" style="3180" customWidth="1"/>
    <col min="7688" max="7688" width="10.21875" style="3180" customWidth="1"/>
    <col min="7689" max="7690" width="12.109375" style="3180" customWidth="1"/>
    <col min="7691" max="7691" width="16.33203125" style="3180" customWidth="1"/>
    <col min="7692" max="7692" width="7.109375" style="3180" customWidth="1"/>
    <col min="7693" max="7693" width="36.6640625" style="3180" customWidth="1"/>
    <col min="7694" max="7694" width="9" style="3180" customWidth="1"/>
    <col min="7695" max="7936" width="8.88671875" style="3180"/>
    <col min="7937" max="7937" width="79.109375" style="3180" customWidth="1"/>
    <col min="7938" max="7938" width="7.109375" style="3180" customWidth="1"/>
    <col min="7939" max="7941" width="15.88671875" style="3180" customWidth="1"/>
    <col min="7942" max="7942" width="21.88671875" style="3180" customWidth="1"/>
    <col min="7943" max="7943" width="9" style="3180" customWidth="1"/>
    <col min="7944" max="7944" width="10.21875" style="3180" customWidth="1"/>
    <col min="7945" max="7946" width="12.109375" style="3180" customWidth="1"/>
    <col min="7947" max="7947" width="16.33203125" style="3180" customWidth="1"/>
    <col min="7948" max="7948" width="7.109375" style="3180" customWidth="1"/>
    <col min="7949" max="7949" width="36.6640625" style="3180" customWidth="1"/>
    <col min="7950" max="7950" width="9" style="3180" customWidth="1"/>
    <col min="7951" max="8192" width="8.88671875" style="3180"/>
    <col min="8193" max="8193" width="79.109375" style="3180" customWidth="1"/>
    <col min="8194" max="8194" width="7.109375" style="3180" customWidth="1"/>
    <col min="8195" max="8197" width="15.88671875" style="3180" customWidth="1"/>
    <col min="8198" max="8198" width="21.88671875" style="3180" customWidth="1"/>
    <col min="8199" max="8199" width="9" style="3180" customWidth="1"/>
    <col min="8200" max="8200" width="10.21875" style="3180" customWidth="1"/>
    <col min="8201" max="8202" width="12.109375" style="3180" customWidth="1"/>
    <col min="8203" max="8203" width="16.33203125" style="3180" customWidth="1"/>
    <col min="8204" max="8204" width="7.109375" style="3180" customWidth="1"/>
    <col min="8205" max="8205" width="36.6640625" style="3180" customWidth="1"/>
    <col min="8206" max="8206" width="9" style="3180" customWidth="1"/>
    <col min="8207" max="8448" width="8.88671875" style="3180"/>
    <col min="8449" max="8449" width="79.109375" style="3180" customWidth="1"/>
    <col min="8450" max="8450" width="7.109375" style="3180" customWidth="1"/>
    <col min="8451" max="8453" width="15.88671875" style="3180" customWidth="1"/>
    <col min="8454" max="8454" width="21.88671875" style="3180" customWidth="1"/>
    <col min="8455" max="8455" width="9" style="3180" customWidth="1"/>
    <col min="8456" max="8456" width="10.21875" style="3180" customWidth="1"/>
    <col min="8457" max="8458" width="12.109375" style="3180" customWidth="1"/>
    <col min="8459" max="8459" width="16.33203125" style="3180" customWidth="1"/>
    <col min="8460" max="8460" width="7.109375" style="3180" customWidth="1"/>
    <col min="8461" max="8461" width="36.6640625" style="3180" customWidth="1"/>
    <col min="8462" max="8462" width="9" style="3180" customWidth="1"/>
    <col min="8463" max="8704" width="8.88671875" style="3180"/>
    <col min="8705" max="8705" width="79.109375" style="3180" customWidth="1"/>
    <col min="8706" max="8706" width="7.109375" style="3180" customWidth="1"/>
    <col min="8707" max="8709" width="15.88671875" style="3180" customWidth="1"/>
    <col min="8710" max="8710" width="21.88671875" style="3180" customWidth="1"/>
    <col min="8711" max="8711" width="9" style="3180" customWidth="1"/>
    <col min="8712" max="8712" width="10.21875" style="3180" customWidth="1"/>
    <col min="8713" max="8714" width="12.109375" style="3180" customWidth="1"/>
    <col min="8715" max="8715" width="16.33203125" style="3180" customWidth="1"/>
    <col min="8716" max="8716" width="7.109375" style="3180" customWidth="1"/>
    <col min="8717" max="8717" width="36.6640625" style="3180" customWidth="1"/>
    <col min="8718" max="8718" width="9" style="3180" customWidth="1"/>
    <col min="8719" max="8960" width="8.88671875" style="3180"/>
    <col min="8961" max="8961" width="79.109375" style="3180" customWidth="1"/>
    <col min="8962" max="8962" width="7.109375" style="3180" customWidth="1"/>
    <col min="8963" max="8965" width="15.88671875" style="3180" customWidth="1"/>
    <col min="8966" max="8966" width="21.88671875" style="3180" customWidth="1"/>
    <col min="8967" max="8967" width="9" style="3180" customWidth="1"/>
    <col min="8968" max="8968" width="10.21875" style="3180" customWidth="1"/>
    <col min="8969" max="8970" width="12.109375" style="3180" customWidth="1"/>
    <col min="8971" max="8971" width="16.33203125" style="3180" customWidth="1"/>
    <col min="8972" max="8972" width="7.109375" style="3180" customWidth="1"/>
    <col min="8973" max="8973" width="36.6640625" style="3180" customWidth="1"/>
    <col min="8974" max="8974" width="9" style="3180" customWidth="1"/>
    <col min="8975" max="9216" width="8.88671875" style="3180"/>
    <col min="9217" max="9217" width="79.109375" style="3180" customWidth="1"/>
    <col min="9218" max="9218" width="7.109375" style="3180" customWidth="1"/>
    <col min="9219" max="9221" width="15.88671875" style="3180" customWidth="1"/>
    <col min="9222" max="9222" width="21.88671875" style="3180" customWidth="1"/>
    <col min="9223" max="9223" width="9" style="3180" customWidth="1"/>
    <col min="9224" max="9224" width="10.21875" style="3180" customWidth="1"/>
    <col min="9225" max="9226" width="12.109375" style="3180" customWidth="1"/>
    <col min="9227" max="9227" width="16.33203125" style="3180" customWidth="1"/>
    <col min="9228" max="9228" width="7.109375" style="3180" customWidth="1"/>
    <col min="9229" max="9229" width="36.6640625" style="3180" customWidth="1"/>
    <col min="9230" max="9230" width="9" style="3180" customWidth="1"/>
    <col min="9231" max="9472" width="8.88671875" style="3180"/>
    <col min="9473" max="9473" width="79.109375" style="3180" customWidth="1"/>
    <col min="9474" max="9474" width="7.109375" style="3180" customWidth="1"/>
    <col min="9475" max="9477" width="15.88671875" style="3180" customWidth="1"/>
    <col min="9478" max="9478" width="21.88671875" style="3180" customWidth="1"/>
    <col min="9479" max="9479" width="9" style="3180" customWidth="1"/>
    <col min="9480" max="9480" width="10.21875" style="3180" customWidth="1"/>
    <col min="9481" max="9482" width="12.109375" style="3180" customWidth="1"/>
    <col min="9483" max="9483" width="16.33203125" style="3180" customWidth="1"/>
    <col min="9484" max="9484" width="7.109375" style="3180" customWidth="1"/>
    <col min="9485" max="9485" width="36.6640625" style="3180" customWidth="1"/>
    <col min="9486" max="9486" width="9" style="3180" customWidth="1"/>
    <col min="9487" max="9728" width="8.88671875" style="3180"/>
    <col min="9729" max="9729" width="79.109375" style="3180" customWidth="1"/>
    <col min="9730" max="9730" width="7.109375" style="3180" customWidth="1"/>
    <col min="9731" max="9733" width="15.88671875" style="3180" customWidth="1"/>
    <col min="9734" max="9734" width="21.88671875" style="3180" customWidth="1"/>
    <col min="9735" max="9735" width="9" style="3180" customWidth="1"/>
    <col min="9736" max="9736" width="10.21875" style="3180" customWidth="1"/>
    <col min="9737" max="9738" width="12.109375" style="3180" customWidth="1"/>
    <col min="9739" max="9739" width="16.33203125" style="3180" customWidth="1"/>
    <col min="9740" max="9740" width="7.109375" style="3180" customWidth="1"/>
    <col min="9741" max="9741" width="36.6640625" style="3180" customWidth="1"/>
    <col min="9742" max="9742" width="9" style="3180" customWidth="1"/>
    <col min="9743" max="9984" width="8.88671875" style="3180"/>
    <col min="9985" max="9985" width="79.109375" style="3180" customWidth="1"/>
    <col min="9986" max="9986" width="7.109375" style="3180" customWidth="1"/>
    <col min="9987" max="9989" width="15.88671875" style="3180" customWidth="1"/>
    <col min="9990" max="9990" width="21.88671875" style="3180" customWidth="1"/>
    <col min="9991" max="9991" width="9" style="3180" customWidth="1"/>
    <col min="9992" max="9992" width="10.21875" style="3180" customWidth="1"/>
    <col min="9993" max="9994" width="12.109375" style="3180" customWidth="1"/>
    <col min="9995" max="9995" width="16.33203125" style="3180" customWidth="1"/>
    <col min="9996" max="9996" width="7.109375" style="3180" customWidth="1"/>
    <col min="9997" max="9997" width="36.6640625" style="3180" customWidth="1"/>
    <col min="9998" max="9998" width="9" style="3180" customWidth="1"/>
    <col min="9999" max="10240" width="8.88671875" style="3180"/>
    <col min="10241" max="10241" width="79.109375" style="3180" customWidth="1"/>
    <col min="10242" max="10242" width="7.109375" style="3180" customWidth="1"/>
    <col min="10243" max="10245" width="15.88671875" style="3180" customWidth="1"/>
    <col min="10246" max="10246" width="21.88671875" style="3180" customWidth="1"/>
    <col min="10247" max="10247" width="9" style="3180" customWidth="1"/>
    <col min="10248" max="10248" width="10.21875" style="3180" customWidth="1"/>
    <col min="10249" max="10250" width="12.109375" style="3180" customWidth="1"/>
    <col min="10251" max="10251" width="16.33203125" style="3180" customWidth="1"/>
    <col min="10252" max="10252" width="7.109375" style="3180" customWidth="1"/>
    <col min="10253" max="10253" width="36.6640625" style="3180" customWidth="1"/>
    <col min="10254" max="10254" width="9" style="3180" customWidth="1"/>
    <col min="10255" max="10496" width="8.88671875" style="3180"/>
    <col min="10497" max="10497" width="79.109375" style="3180" customWidth="1"/>
    <col min="10498" max="10498" width="7.109375" style="3180" customWidth="1"/>
    <col min="10499" max="10501" width="15.88671875" style="3180" customWidth="1"/>
    <col min="10502" max="10502" width="21.88671875" style="3180" customWidth="1"/>
    <col min="10503" max="10503" width="9" style="3180" customWidth="1"/>
    <col min="10504" max="10504" width="10.21875" style="3180" customWidth="1"/>
    <col min="10505" max="10506" width="12.109375" style="3180" customWidth="1"/>
    <col min="10507" max="10507" width="16.33203125" style="3180" customWidth="1"/>
    <col min="10508" max="10508" width="7.109375" style="3180" customWidth="1"/>
    <col min="10509" max="10509" width="36.6640625" style="3180" customWidth="1"/>
    <col min="10510" max="10510" width="9" style="3180" customWidth="1"/>
    <col min="10511" max="10752" width="8.88671875" style="3180"/>
    <col min="10753" max="10753" width="79.109375" style="3180" customWidth="1"/>
    <col min="10754" max="10754" width="7.109375" style="3180" customWidth="1"/>
    <col min="10755" max="10757" width="15.88671875" style="3180" customWidth="1"/>
    <col min="10758" max="10758" width="21.88671875" style="3180" customWidth="1"/>
    <col min="10759" max="10759" width="9" style="3180" customWidth="1"/>
    <col min="10760" max="10760" width="10.21875" style="3180" customWidth="1"/>
    <col min="10761" max="10762" width="12.109375" style="3180" customWidth="1"/>
    <col min="10763" max="10763" width="16.33203125" style="3180" customWidth="1"/>
    <col min="10764" max="10764" width="7.109375" style="3180" customWidth="1"/>
    <col min="10765" max="10765" width="36.6640625" style="3180" customWidth="1"/>
    <col min="10766" max="10766" width="9" style="3180" customWidth="1"/>
    <col min="10767" max="11008" width="8.88671875" style="3180"/>
    <col min="11009" max="11009" width="79.109375" style="3180" customWidth="1"/>
    <col min="11010" max="11010" width="7.109375" style="3180" customWidth="1"/>
    <col min="11011" max="11013" width="15.88671875" style="3180" customWidth="1"/>
    <col min="11014" max="11014" width="21.88671875" style="3180" customWidth="1"/>
    <col min="11015" max="11015" width="9" style="3180" customWidth="1"/>
    <col min="11016" max="11016" width="10.21875" style="3180" customWidth="1"/>
    <col min="11017" max="11018" width="12.109375" style="3180" customWidth="1"/>
    <col min="11019" max="11019" width="16.33203125" style="3180" customWidth="1"/>
    <col min="11020" max="11020" width="7.109375" style="3180" customWidth="1"/>
    <col min="11021" max="11021" width="36.6640625" style="3180" customWidth="1"/>
    <col min="11022" max="11022" width="9" style="3180" customWidth="1"/>
    <col min="11023" max="11264" width="8.88671875" style="3180"/>
    <col min="11265" max="11265" width="79.109375" style="3180" customWidth="1"/>
    <col min="11266" max="11266" width="7.109375" style="3180" customWidth="1"/>
    <col min="11267" max="11269" width="15.88671875" style="3180" customWidth="1"/>
    <col min="11270" max="11270" width="21.88671875" style="3180" customWidth="1"/>
    <col min="11271" max="11271" width="9" style="3180" customWidth="1"/>
    <col min="11272" max="11272" width="10.21875" style="3180" customWidth="1"/>
    <col min="11273" max="11274" width="12.109375" style="3180" customWidth="1"/>
    <col min="11275" max="11275" width="16.33203125" style="3180" customWidth="1"/>
    <col min="11276" max="11276" width="7.109375" style="3180" customWidth="1"/>
    <col min="11277" max="11277" width="36.6640625" style="3180" customWidth="1"/>
    <col min="11278" max="11278" width="9" style="3180" customWidth="1"/>
    <col min="11279" max="11520" width="8.88671875" style="3180"/>
    <col min="11521" max="11521" width="79.109375" style="3180" customWidth="1"/>
    <col min="11522" max="11522" width="7.109375" style="3180" customWidth="1"/>
    <col min="11523" max="11525" width="15.88671875" style="3180" customWidth="1"/>
    <col min="11526" max="11526" width="21.88671875" style="3180" customWidth="1"/>
    <col min="11527" max="11527" width="9" style="3180" customWidth="1"/>
    <col min="11528" max="11528" width="10.21875" style="3180" customWidth="1"/>
    <col min="11529" max="11530" width="12.109375" style="3180" customWidth="1"/>
    <col min="11531" max="11531" width="16.33203125" style="3180" customWidth="1"/>
    <col min="11532" max="11532" width="7.109375" style="3180" customWidth="1"/>
    <col min="11533" max="11533" width="36.6640625" style="3180" customWidth="1"/>
    <col min="11534" max="11534" width="9" style="3180" customWidth="1"/>
    <col min="11535" max="11776" width="8.88671875" style="3180"/>
    <col min="11777" max="11777" width="79.109375" style="3180" customWidth="1"/>
    <col min="11778" max="11778" width="7.109375" style="3180" customWidth="1"/>
    <col min="11779" max="11781" width="15.88671875" style="3180" customWidth="1"/>
    <col min="11782" max="11782" width="21.88671875" style="3180" customWidth="1"/>
    <col min="11783" max="11783" width="9" style="3180" customWidth="1"/>
    <col min="11784" max="11784" width="10.21875" style="3180" customWidth="1"/>
    <col min="11785" max="11786" width="12.109375" style="3180" customWidth="1"/>
    <col min="11787" max="11787" width="16.33203125" style="3180" customWidth="1"/>
    <col min="11788" max="11788" width="7.109375" style="3180" customWidth="1"/>
    <col min="11789" max="11789" width="36.6640625" style="3180" customWidth="1"/>
    <col min="11790" max="11790" width="9" style="3180" customWidth="1"/>
    <col min="11791" max="12032" width="8.88671875" style="3180"/>
    <col min="12033" max="12033" width="79.109375" style="3180" customWidth="1"/>
    <col min="12034" max="12034" width="7.109375" style="3180" customWidth="1"/>
    <col min="12035" max="12037" width="15.88671875" style="3180" customWidth="1"/>
    <col min="12038" max="12038" width="21.88671875" style="3180" customWidth="1"/>
    <col min="12039" max="12039" width="9" style="3180" customWidth="1"/>
    <col min="12040" max="12040" width="10.21875" style="3180" customWidth="1"/>
    <col min="12041" max="12042" width="12.109375" style="3180" customWidth="1"/>
    <col min="12043" max="12043" width="16.33203125" style="3180" customWidth="1"/>
    <col min="12044" max="12044" width="7.109375" style="3180" customWidth="1"/>
    <col min="12045" max="12045" width="36.6640625" style="3180" customWidth="1"/>
    <col min="12046" max="12046" width="9" style="3180" customWidth="1"/>
    <col min="12047" max="12288" width="8.88671875" style="3180"/>
    <col min="12289" max="12289" width="79.109375" style="3180" customWidth="1"/>
    <col min="12290" max="12290" width="7.109375" style="3180" customWidth="1"/>
    <col min="12291" max="12293" width="15.88671875" style="3180" customWidth="1"/>
    <col min="12294" max="12294" width="21.88671875" style="3180" customWidth="1"/>
    <col min="12295" max="12295" width="9" style="3180" customWidth="1"/>
    <col min="12296" max="12296" width="10.21875" style="3180" customWidth="1"/>
    <col min="12297" max="12298" width="12.109375" style="3180" customWidth="1"/>
    <col min="12299" max="12299" width="16.33203125" style="3180" customWidth="1"/>
    <col min="12300" max="12300" width="7.109375" style="3180" customWidth="1"/>
    <col min="12301" max="12301" width="36.6640625" style="3180" customWidth="1"/>
    <col min="12302" max="12302" width="9" style="3180" customWidth="1"/>
    <col min="12303" max="12544" width="8.88671875" style="3180"/>
    <col min="12545" max="12545" width="79.109375" style="3180" customWidth="1"/>
    <col min="12546" max="12546" width="7.109375" style="3180" customWidth="1"/>
    <col min="12547" max="12549" width="15.88671875" style="3180" customWidth="1"/>
    <col min="12550" max="12550" width="21.88671875" style="3180" customWidth="1"/>
    <col min="12551" max="12551" width="9" style="3180" customWidth="1"/>
    <col min="12552" max="12552" width="10.21875" style="3180" customWidth="1"/>
    <col min="12553" max="12554" width="12.109375" style="3180" customWidth="1"/>
    <col min="12555" max="12555" width="16.33203125" style="3180" customWidth="1"/>
    <col min="12556" max="12556" width="7.109375" style="3180" customWidth="1"/>
    <col min="12557" max="12557" width="36.6640625" style="3180" customWidth="1"/>
    <col min="12558" max="12558" width="9" style="3180" customWidth="1"/>
    <col min="12559" max="12800" width="8.88671875" style="3180"/>
    <col min="12801" max="12801" width="79.109375" style="3180" customWidth="1"/>
    <col min="12802" max="12802" width="7.109375" style="3180" customWidth="1"/>
    <col min="12803" max="12805" width="15.88671875" style="3180" customWidth="1"/>
    <col min="12806" max="12806" width="21.88671875" style="3180" customWidth="1"/>
    <col min="12807" max="12807" width="9" style="3180" customWidth="1"/>
    <col min="12808" max="12808" width="10.21875" style="3180" customWidth="1"/>
    <col min="12809" max="12810" width="12.109375" style="3180" customWidth="1"/>
    <col min="12811" max="12811" width="16.33203125" style="3180" customWidth="1"/>
    <col min="12812" max="12812" width="7.109375" style="3180" customWidth="1"/>
    <col min="12813" max="12813" width="36.6640625" style="3180" customWidth="1"/>
    <col min="12814" max="12814" width="9" style="3180" customWidth="1"/>
    <col min="12815" max="13056" width="8.88671875" style="3180"/>
    <col min="13057" max="13057" width="79.109375" style="3180" customWidth="1"/>
    <col min="13058" max="13058" width="7.109375" style="3180" customWidth="1"/>
    <col min="13059" max="13061" width="15.88671875" style="3180" customWidth="1"/>
    <col min="13062" max="13062" width="21.88671875" style="3180" customWidth="1"/>
    <col min="13063" max="13063" width="9" style="3180" customWidth="1"/>
    <col min="13064" max="13064" width="10.21875" style="3180" customWidth="1"/>
    <col min="13065" max="13066" width="12.109375" style="3180" customWidth="1"/>
    <col min="13067" max="13067" width="16.33203125" style="3180" customWidth="1"/>
    <col min="13068" max="13068" width="7.109375" style="3180" customWidth="1"/>
    <col min="13069" max="13069" width="36.6640625" style="3180" customWidth="1"/>
    <col min="13070" max="13070" width="9" style="3180" customWidth="1"/>
    <col min="13071" max="13312" width="8.88671875" style="3180"/>
    <col min="13313" max="13313" width="79.109375" style="3180" customWidth="1"/>
    <col min="13314" max="13314" width="7.109375" style="3180" customWidth="1"/>
    <col min="13315" max="13317" width="15.88671875" style="3180" customWidth="1"/>
    <col min="13318" max="13318" width="21.88671875" style="3180" customWidth="1"/>
    <col min="13319" max="13319" width="9" style="3180" customWidth="1"/>
    <col min="13320" max="13320" width="10.21875" style="3180" customWidth="1"/>
    <col min="13321" max="13322" width="12.109375" style="3180" customWidth="1"/>
    <col min="13323" max="13323" width="16.33203125" style="3180" customWidth="1"/>
    <col min="13324" max="13324" width="7.109375" style="3180" customWidth="1"/>
    <col min="13325" max="13325" width="36.6640625" style="3180" customWidth="1"/>
    <col min="13326" max="13326" width="9" style="3180" customWidth="1"/>
    <col min="13327" max="13568" width="8.88671875" style="3180"/>
    <col min="13569" max="13569" width="79.109375" style="3180" customWidth="1"/>
    <col min="13570" max="13570" width="7.109375" style="3180" customWidth="1"/>
    <col min="13571" max="13573" width="15.88671875" style="3180" customWidth="1"/>
    <col min="13574" max="13574" width="21.88671875" style="3180" customWidth="1"/>
    <col min="13575" max="13575" width="9" style="3180" customWidth="1"/>
    <col min="13576" max="13576" width="10.21875" style="3180" customWidth="1"/>
    <col min="13577" max="13578" width="12.109375" style="3180" customWidth="1"/>
    <col min="13579" max="13579" width="16.33203125" style="3180" customWidth="1"/>
    <col min="13580" max="13580" width="7.109375" style="3180" customWidth="1"/>
    <col min="13581" max="13581" width="36.6640625" style="3180" customWidth="1"/>
    <col min="13582" max="13582" width="9" style="3180" customWidth="1"/>
    <col min="13583" max="13824" width="8.88671875" style="3180"/>
    <col min="13825" max="13825" width="79.109375" style="3180" customWidth="1"/>
    <col min="13826" max="13826" width="7.109375" style="3180" customWidth="1"/>
    <col min="13827" max="13829" width="15.88671875" style="3180" customWidth="1"/>
    <col min="13830" max="13830" width="21.88671875" style="3180" customWidth="1"/>
    <col min="13831" max="13831" width="9" style="3180" customWidth="1"/>
    <col min="13832" max="13832" width="10.21875" style="3180" customWidth="1"/>
    <col min="13833" max="13834" width="12.109375" style="3180" customWidth="1"/>
    <col min="13835" max="13835" width="16.33203125" style="3180" customWidth="1"/>
    <col min="13836" max="13836" width="7.109375" style="3180" customWidth="1"/>
    <col min="13837" max="13837" width="36.6640625" style="3180" customWidth="1"/>
    <col min="13838" max="13838" width="9" style="3180" customWidth="1"/>
    <col min="13839" max="14080" width="8.88671875" style="3180"/>
    <col min="14081" max="14081" width="79.109375" style="3180" customWidth="1"/>
    <col min="14082" max="14082" width="7.109375" style="3180" customWidth="1"/>
    <col min="14083" max="14085" width="15.88671875" style="3180" customWidth="1"/>
    <col min="14086" max="14086" width="21.88671875" style="3180" customWidth="1"/>
    <col min="14087" max="14087" width="9" style="3180" customWidth="1"/>
    <col min="14088" max="14088" width="10.21875" style="3180" customWidth="1"/>
    <col min="14089" max="14090" width="12.109375" style="3180" customWidth="1"/>
    <col min="14091" max="14091" width="16.33203125" style="3180" customWidth="1"/>
    <col min="14092" max="14092" width="7.109375" style="3180" customWidth="1"/>
    <col min="14093" max="14093" width="36.6640625" style="3180" customWidth="1"/>
    <col min="14094" max="14094" width="9" style="3180" customWidth="1"/>
    <col min="14095" max="14336" width="8.88671875" style="3180"/>
    <col min="14337" max="14337" width="79.109375" style="3180" customWidth="1"/>
    <col min="14338" max="14338" width="7.109375" style="3180" customWidth="1"/>
    <col min="14339" max="14341" width="15.88671875" style="3180" customWidth="1"/>
    <col min="14342" max="14342" width="21.88671875" style="3180" customWidth="1"/>
    <col min="14343" max="14343" width="9" style="3180" customWidth="1"/>
    <col min="14344" max="14344" width="10.21875" style="3180" customWidth="1"/>
    <col min="14345" max="14346" width="12.109375" style="3180" customWidth="1"/>
    <col min="14347" max="14347" width="16.33203125" style="3180" customWidth="1"/>
    <col min="14348" max="14348" width="7.109375" style="3180" customWidth="1"/>
    <col min="14349" max="14349" width="36.6640625" style="3180" customWidth="1"/>
    <col min="14350" max="14350" width="9" style="3180" customWidth="1"/>
    <col min="14351" max="14592" width="8.88671875" style="3180"/>
    <col min="14593" max="14593" width="79.109375" style="3180" customWidth="1"/>
    <col min="14594" max="14594" width="7.109375" style="3180" customWidth="1"/>
    <col min="14595" max="14597" width="15.88671875" style="3180" customWidth="1"/>
    <col min="14598" max="14598" width="21.88671875" style="3180" customWidth="1"/>
    <col min="14599" max="14599" width="9" style="3180" customWidth="1"/>
    <col min="14600" max="14600" width="10.21875" style="3180" customWidth="1"/>
    <col min="14601" max="14602" width="12.109375" style="3180" customWidth="1"/>
    <col min="14603" max="14603" width="16.33203125" style="3180" customWidth="1"/>
    <col min="14604" max="14604" width="7.109375" style="3180" customWidth="1"/>
    <col min="14605" max="14605" width="36.6640625" style="3180" customWidth="1"/>
    <col min="14606" max="14606" width="9" style="3180" customWidth="1"/>
    <col min="14607" max="14848" width="8.88671875" style="3180"/>
    <col min="14849" max="14849" width="79.109375" style="3180" customWidth="1"/>
    <col min="14850" max="14850" width="7.109375" style="3180" customWidth="1"/>
    <col min="14851" max="14853" width="15.88671875" style="3180" customWidth="1"/>
    <col min="14854" max="14854" width="21.88671875" style="3180" customWidth="1"/>
    <col min="14855" max="14855" width="9" style="3180" customWidth="1"/>
    <col min="14856" max="14856" width="10.21875" style="3180" customWidth="1"/>
    <col min="14857" max="14858" width="12.109375" style="3180" customWidth="1"/>
    <col min="14859" max="14859" width="16.33203125" style="3180" customWidth="1"/>
    <col min="14860" max="14860" width="7.109375" style="3180" customWidth="1"/>
    <col min="14861" max="14861" width="36.6640625" style="3180" customWidth="1"/>
    <col min="14862" max="14862" width="9" style="3180" customWidth="1"/>
    <col min="14863" max="15104" width="8.88671875" style="3180"/>
    <col min="15105" max="15105" width="79.109375" style="3180" customWidth="1"/>
    <col min="15106" max="15106" width="7.109375" style="3180" customWidth="1"/>
    <col min="15107" max="15109" width="15.88671875" style="3180" customWidth="1"/>
    <col min="15110" max="15110" width="21.88671875" style="3180" customWidth="1"/>
    <col min="15111" max="15111" width="9" style="3180" customWidth="1"/>
    <col min="15112" max="15112" width="10.21875" style="3180" customWidth="1"/>
    <col min="15113" max="15114" width="12.109375" style="3180" customWidth="1"/>
    <col min="15115" max="15115" width="16.33203125" style="3180" customWidth="1"/>
    <col min="15116" max="15116" width="7.109375" style="3180" customWidth="1"/>
    <col min="15117" max="15117" width="36.6640625" style="3180" customWidth="1"/>
    <col min="15118" max="15118" width="9" style="3180" customWidth="1"/>
    <col min="15119" max="15360" width="8.88671875" style="3180"/>
    <col min="15361" max="15361" width="79.109375" style="3180" customWidth="1"/>
    <col min="15362" max="15362" width="7.109375" style="3180" customWidth="1"/>
    <col min="15363" max="15365" width="15.88671875" style="3180" customWidth="1"/>
    <col min="15366" max="15366" width="21.88671875" style="3180" customWidth="1"/>
    <col min="15367" max="15367" width="9" style="3180" customWidth="1"/>
    <col min="15368" max="15368" width="10.21875" style="3180" customWidth="1"/>
    <col min="15369" max="15370" width="12.109375" style="3180" customWidth="1"/>
    <col min="15371" max="15371" width="16.33203125" style="3180" customWidth="1"/>
    <col min="15372" max="15372" width="7.109375" style="3180" customWidth="1"/>
    <col min="15373" max="15373" width="36.6640625" style="3180" customWidth="1"/>
    <col min="15374" max="15374" width="9" style="3180" customWidth="1"/>
    <col min="15375" max="15616" width="8.88671875" style="3180"/>
    <col min="15617" max="15617" width="79.109375" style="3180" customWidth="1"/>
    <col min="15618" max="15618" width="7.109375" style="3180" customWidth="1"/>
    <col min="15619" max="15621" width="15.88671875" style="3180" customWidth="1"/>
    <col min="15622" max="15622" width="21.88671875" style="3180" customWidth="1"/>
    <col min="15623" max="15623" width="9" style="3180" customWidth="1"/>
    <col min="15624" max="15624" width="10.21875" style="3180" customWidth="1"/>
    <col min="15625" max="15626" width="12.109375" style="3180" customWidth="1"/>
    <col min="15627" max="15627" width="16.33203125" style="3180" customWidth="1"/>
    <col min="15628" max="15628" width="7.109375" style="3180" customWidth="1"/>
    <col min="15629" max="15629" width="36.6640625" style="3180" customWidth="1"/>
    <col min="15630" max="15630" width="9" style="3180" customWidth="1"/>
    <col min="15631" max="15872" width="8.88671875" style="3180"/>
    <col min="15873" max="15873" width="79.109375" style="3180" customWidth="1"/>
    <col min="15874" max="15874" width="7.109375" style="3180" customWidth="1"/>
    <col min="15875" max="15877" width="15.88671875" style="3180" customWidth="1"/>
    <col min="15878" max="15878" width="21.88671875" style="3180" customWidth="1"/>
    <col min="15879" max="15879" width="9" style="3180" customWidth="1"/>
    <col min="15880" max="15880" width="10.21875" style="3180" customWidth="1"/>
    <col min="15881" max="15882" width="12.109375" style="3180" customWidth="1"/>
    <col min="15883" max="15883" width="16.33203125" style="3180" customWidth="1"/>
    <col min="15884" max="15884" width="7.109375" style="3180" customWidth="1"/>
    <col min="15885" max="15885" width="36.6640625" style="3180" customWidth="1"/>
    <col min="15886" max="15886" width="9" style="3180" customWidth="1"/>
    <col min="15887" max="16128" width="8.88671875" style="3180"/>
    <col min="16129" max="16129" width="79.109375" style="3180" customWidth="1"/>
    <col min="16130" max="16130" width="7.109375" style="3180" customWidth="1"/>
    <col min="16131" max="16133" width="15.88671875" style="3180" customWidth="1"/>
    <col min="16134" max="16134" width="21.88671875" style="3180" customWidth="1"/>
    <col min="16135" max="16135" width="9" style="3180" customWidth="1"/>
    <col min="16136" max="16136" width="10.21875" style="3180" customWidth="1"/>
    <col min="16137" max="16138" width="12.109375" style="3180" customWidth="1"/>
    <col min="16139" max="16139" width="16.33203125" style="3180" customWidth="1"/>
    <col min="16140" max="16140" width="7.109375" style="3180" customWidth="1"/>
    <col min="16141" max="16141" width="36.6640625" style="3180" customWidth="1"/>
    <col min="16142" max="16142" width="9" style="3180" customWidth="1"/>
    <col min="16143" max="16384" width="8.88671875" style="3180"/>
  </cols>
  <sheetData>
    <row r="1" spans="1:14">
      <c r="A1" s="3180" t="s">
        <v>3014</v>
      </c>
      <c r="B1" s="3180" t="s">
        <v>3015</v>
      </c>
      <c r="C1" s="3180" t="s">
        <v>3016</v>
      </c>
      <c r="D1" s="3180" t="s">
        <v>3017</v>
      </c>
      <c r="E1" s="3180" t="s">
        <v>3018</v>
      </c>
      <c r="F1" s="3180" t="s">
        <v>2029</v>
      </c>
      <c r="G1" s="3180" t="s">
        <v>3019</v>
      </c>
      <c r="H1" s="3180" t="s">
        <v>3020</v>
      </c>
      <c r="I1" s="3180" t="s">
        <v>3021</v>
      </c>
      <c r="J1" s="3180" t="s">
        <v>3022</v>
      </c>
      <c r="K1" s="3180" t="s">
        <v>3023</v>
      </c>
      <c r="L1" s="3180" t="s">
        <v>3024</v>
      </c>
      <c r="M1" s="3180" t="s">
        <v>3025</v>
      </c>
      <c r="N1" s="3180" t="s">
        <v>3026</v>
      </c>
    </row>
    <row r="2" spans="1:14" s="3194" customFormat="1">
      <c r="A2" s="3194" t="s">
        <v>3027</v>
      </c>
      <c r="B2" s="3194" t="s">
        <v>3028</v>
      </c>
      <c r="C2" s="3194" t="s">
        <v>3029</v>
      </c>
      <c r="D2" s="3194">
        <v>43193.2</v>
      </c>
      <c r="E2" s="3194">
        <v>77747.759999999995</v>
      </c>
      <c r="F2" s="3194" t="s">
        <v>3030</v>
      </c>
      <c r="G2" s="3194" t="s">
        <v>3031</v>
      </c>
      <c r="H2" s="3194" t="s">
        <v>3032</v>
      </c>
      <c r="I2" s="3194">
        <v>7774.77</v>
      </c>
      <c r="J2" s="3194">
        <v>7774.77</v>
      </c>
      <c r="K2" s="3194">
        <v>1000</v>
      </c>
      <c r="L2" s="3194">
        <v>0</v>
      </c>
      <c r="M2" s="3194" t="s">
        <v>3033</v>
      </c>
      <c r="N2" s="3194" t="s">
        <v>3034</v>
      </c>
    </row>
    <row r="3" spans="1:14" s="3181" customFormat="1" ht="15">
      <c r="A3" s="3195" t="s">
        <v>3152</v>
      </c>
      <c r="B3" s="3181" t="s">
        <v>3028</v>
      </c>
      <c r="C3" s="3181" t="s">
        <v>3029</v>
      </c>
      <c r="D3" s="3181">
        <v>56226.32</v>
      </c>
      <c r="E3" s="3181">
        <v>101207.38</v>
      </c>
      <c r="F3" s="3181" t="s">
        <v>3030</v>
      </c>
      <c r="G3" s="3181" t="s">
        <v>3031</v>
      </c>
      <c r="H3" s="3181" t="s">
        <v>3035</v>
      </c>
      <c r="I3" s="3181">
        <v>17019.7</v>
      </c>
      <c r="J3" s="3181">
        <v>17289.7</v>
      </c>
      <c r="K3" s="3181">
        <v>1708.33</v>
      </c>
      <c r="L3" s="3181">
        <v>1.59</v>
      </c>
      <c r="M3" s="3181" t="s">
        <v>3036</v>
      </c>
      <c r="N3" s="3181" t="s">
        <v>3037</v>
      </c>
    </row>
    <row r="4" spans="1:14">
      <c r="A4" s="3180" t="s">
        <v>3038</v>
      </c>
      <c r="B4" s="3180" t="s">
        <v>3028</v>
      </c>
      <c r="C4" s="3180" t="s">
        <v>3029</v>
      </c>
      <c r="D4" s="3180">
        <v>53551.06</v>
      </c>
      <c r="E4" s="3180">
        <v>96391.91</v>
      </c>
      <c r="F4" s="3180" t="s">
        <v>3030</v>
      </c>
      <c r="G4" s="3180" t="s">
        <v>3031</v>
      </c>
      <c r="H4" s="3180" t="s">
        <v>3035</v>
      </c>
      <c r="I4" s="3180">
        <v>16209.9</v>
      </c>
      <c r="J4" s="3180">
        <v>16467.650000000001</v>
      </c>
      <c r="K4" s="3180">
        <v>1708.41</v>
      </c>
      <c r="L4" s="3180">
        <v>1.59</v>
      </c>
      <c r="M4" s="3180" t="s">
        <v>3036</v>
      </c>
      <c r="N4" s="3180" t="s">
        <v>3037</v>
      </c>
    </row>
    <row r="5" spans="1:14">
      <c r="A5" s="3180" t="s">
        <v>3039</v>
      </c>
      <c r="B5" s="3180" t="s">
        <v>3028</v>
      </c>
      <c r="C5" s="3180" t="s">
        <v>3029</v>
      </c>
      <c r="D5" s="3180">
        <v>28008.05</v>
      </c>
      <c r="E5" s="3180">
        <v>50414.49</v>
      </c>
      <c r="F5" s="3180" t="s">
        <v>3030</v>
      </c>
      <c r="G5" s="3180" t="s">
        <v>3031</v>
      </c>
      <c r="H5" s="3180" t="s">
        <v>3035</v>
      </c>
      <c r="I5" s="3180">
        <v>8478.0400000000009</v>
      </c>
      <c r="J5" s="3180">
        <v>8612.0400000000009</v>
      </c>
      <c r="K5" s="3180">
        <v>1708.25</v>
      </c>
      <c r="L5" s="3180">
        <v>1.58</v>
      </c>
      <c r="M5" s="3180" t="s">
        <v>3036</v>
      </c>
      <c r="N5" s="3180" t="s">
        <v>3037</v>
      </c>
    </row>
    <row r="6" spans="1:14">
      <c r="A6" s="3180" t="s">
        <v>3040</v>
      </c>
      <c r="B6" s="3180" t="s">
        <v>3028</v>
      </c>
      <c r="C6" s="3180" t="s">
        <v>3029</v>
      </c>
      <c r="D6" s="3180">
        <v>58271.79</v>
      </c>
      <c r="E6" s="3180">
        <v>104889.22</v>
      </c>
      <c r="F6" s="3180" t="s">
        <v>3030</v>
      </c>
      <c r="G6" s="3180" t="s">
        <v>3031</v>
      </c>
      <c r="H6" s="3180" t="s">
        <v>3035</v>
      </c>
      <c r="I6" s="3180">
        <v>17638.86</v>
      </c>
      <c r="J6" s="3180">
        <v>17919.04</v>
      </c>
      <c r="K6" s="3180">
        <v>1708.38</v>
      </c>
      <c r="L6" s="3180">
        <v>1.59</v>
      </c>
      <c r="M6" s="3180" t="s">
        <v>3036</v>
      </c>
      <c r="N6" s="3180" t="s">
        <v>3037</v>
      </c>
    </row>
    <row r="7" spans="1:14">
      <c r="A7" s="3180" t="s">
        <v>3041</v>
      </c>
      <c r="B7" s="3180" t="s">
        <v>3028</v>
      </c>
      <c r="C7" s="3180" t="s">
        <v>3029</v>
      </c>
      <c r="D7" s="3180">
        <v>61060.54</v>
      </c>
      <c r="E7" s="3180">
        <v>91590.81</v>
      </c>
      <c r="F7" s="3180" t="s">
        <v>3042</v>
      </c>
      <c r="G7" s="3180" t="s">
        <v>3031</v>
      </c>
      <c r="H7" s="3180" t="s">
        <v>3035</v>
      </c>
      <c r="I7" s="3180">
        <v>16971.77</v>
      </c>
      <c r="J7" s="3180">
        <v>17402.09</v>
      </c>
      <c r="K7" s="3180">
        <v>1899.98</v>
      </c>
      <c r="L7" s="3180">
        <v>2.54</v>
      </c>
      <c r="M7" s="3180" t="s">
        <v>3036</v>
      </c>
      <c r="N7" s="3180" t="s">
        <v>3037</v>
      </c>
    </row>
    <row r="8" spans="1:14" s="3181" customFormat="1">
      <c r="A8" s="3181" t="s">
        <v>3043</v>
      </c>
      <c r="B8" s="3181" t="s">
        <v>3028</v>
      </c>
      <c r="C8" s="3181" t="s">
        <v>3029</v>
      </c>
      <c r="D8" s="3181">
        <v>3795.12</v>
      </c>
      <c r="E8" s="3181">
        <v>7590.24</v>
      </c>
      <c r="F8" s="3181" t="s">
        <v>3044</v>
      </c>
      <c r="G8" s="3181" t="s">
        <v>3031</v>
      </c>
      <c r="H8" s="3181" t="s">
        <v>3045</v>
      </c>
      <c r="I8" s="3181">
        <v>1024.68</v>
      </c>
      <c r="J8" s="3181">
        <v>1026</v>
      </c>
      <c r="K8" s="3181">
        <v>1351.74</v>
      </c>
      <c r="L8" s="3181">
        <v>0.13</v>
      </c>
      <c r="M8" s="3181" t="s">
        <v>3046</v>
      </c>
      <c r="N8" s="3181" t="s">
        <v>3037</v>
      </c>
    </row>
    <row r="9" spans="1:14">
      <c r="A9" s="3180" t="s">
        <v>3047</v>
      </c>
      <c r="B9" s="3180" t="s">
        <v>3028</v>
      </c>
      <c r="C9" s="3180" t="s">
        <v>3029</v>
      </c>
      <c r="D9" s="3180">
        <v>39588.43</v>
      </c>
      <c r="E9" s="3180">
        <v>47506.12</v>
      </c>
      <c r="F9" s="3180" t="s">
        <v>3048</v>
      </c>
      <c r="G9" s="3180" t="s">
        <v>3031</v>
      </c>
      <c r="H9" s="3180" t="s">
        <v>3045</v>
      </c>
      <c r="I9" s="3180">
        <v>8313.2000000000007</v>
      </c>
      <c r="J9" s="3180">
        <v>8313.2000000000007</v>
      </c>
      <c r="K9" s="3180">
        <v>1749.92</v>
      </c>
      <c r="L9" s="3180">
        <v>0</v>
      </c>
      <c r="M9" s="3180" t="s">
        <v>3049</v>
      </c>
      <c r="N9" s="3180" t="s">
        <v>3037</v>
      </c>
    </row>
    <row r="10" spans="1:14">
      <c r="A10" s="3180" t="s">
        <v>3050</v>
      </c>
      <c r="B10" s="3180" t="s">
        <v>3028</v>
      </c>
      <c r="C10" s="3180" t="s">
        <v>3051</v>
      </c>
      <c r="D10" s="3180">
        <v>27033.99</v>
      </c>
      <c r="E10" s="3180">
        <v>55419.7</v>
      </c>
      <c r="F10" s="3180" t="s">
        <v>3052</v>
      </c>
      <c r="G10" s="3180" t="s">
        <v>3053</v>
      </c>
      <c r="H10" s="3180" t="s">
        <v>3054</v>
      </c>
      <c r="I10" s="3180">
        <v>1905.84</v>
      </c>
      <c r="J10" s="3180">
        <v>1905.84</v>
      </c>
      <c r="K10" s="3180">
        <v>343.88</v>
      </c>
      <c r="L10" s="3180">
        <v>0</v>
      </c>
      <c r="M10" s="3180" t="s">
        <v>3055</v>
      </c>
      <c r="N10" s="3180" t="s">
        <v>3056</v>
      </c>
    </row>
    <row r="11" spans="1:14">
      <c r="A11" s="3180" t="s">
        <v>3057</v>
      </c>
      <c r="B11" s="3180" t="s">
        <v>3028</v>
      </c>
      <c r="C11" s="3180" t="s">
        <v>3029</v>
      </c>
      <c r="D11" s="3180">
        <v>71412.66</v>
      </c>
      <c r="E11" s="3180">
        <v>164249.12</v>
      </c>
      <c r="F11" s="3180" t="s">
        <v>3058</v>
      </c>
      <c r="G11" s="3180" t="s">
        <v>3031</v>
      </c>
      <c r="H11" s="3180" t="s">
        <v>3059</v>
      </c>
      <c r="I11" s="3180">
        <v>26993.84</v>
      </c>
      <c r="J11" s="3180">
        <v>26993.99</v>
      </c>
      <c r="K11" s="3180">
        <v>1643.48</v>
      </c>
      <c r="L11" s="3180">
        <v>0</v>
      </c>
      <c r="M11" s="3180" t="s">
        <v>3060</v>
      </c>
      <c r="N11" s="3180" t="s">
        <v>3037</v>
      </c>
    </row>
    <row r="12" spans="1:14">
      <c r="A12" s="3180" t="s">
        <v>3061</v>
      </c>
      <c r="B12" s="3180" t="s">
        <v>3028</v>
      </c>
      <c r="C12" s="3180" t="s">
        <v>3029</v>
      </c>
      <c r="D12" s="3180">
        <v>26714.6</v>
      </c>
      <c r="E12" s="3180">
        <v>48086.28</v>
      </c>
      <c r="F12" s="3180" t="s">
        <v>3030</v>
      </c>
      <c r="G12" s="3180" t="s">
        <v>3031</v>
      </c>
      <c r="H12" s="3180" t="s">
        <v>3062</v>
      </c>
      <c r="I12" s="3180">
        <v>9216.48</v>
      </c>
      <c r="J12" s="3180">
        <v>9216.5400000000009</v>
      </c>
      <c r="K12" s="3180">
        <v>1916.67</v>
      </c>
      <c r="L12" s="3180">
        <v>0</v>
      </c>
      <c r="M12" s="3180" t="s">
        <v>3063</v>
      </c>
      <c r="N12" s="3180" t="s">
        <v>3037</v>
      </c>
    </row>
    <row r="13" spans="1:14">
      <c r="A13" s="3180" t="s">
        <v>3064</v>
      </c>
      <c r="B13" s="3180" t="s">
        <v>3028</v>
      </c>
      <c r="C13" s="3180" t="s">
        <v>3029</v>
      </c>
      <c r="D13" s="3180">
        <v>68772.479999999996</v>
      </c>
      <c r="E13" s="3180">
        <v>123790.46</v>
      </c>
      <c r="F13" s="3180" t="s">
        <v>3030</v>
      </c>
      <c r="G13" s="3180" t="s">
        <v>3031</v>
      </c>
      <c r="H13" s="3180" t="s">
        <v>3062</v>
      </c>
      <c r="I13" s="3180">
        <v>23726.38</v>
      </c>
      <c r="J13" s="3180">
        <v>23726.5</v>
      </c>
      <c r="K13" s="3180">
        <v>1916.67</v>
      </c>
      <c r="L13" s="3180">
        <v>0</v>
      </c>
      <c r="M13" s="3180" t="s">
        <v>3063</v>
      </c>
      <c r="N13" s="3180" t="s">
        <v>3037</v>
      </c>
    </row>
    <row r="14" spans="1:14" s="3181" customFormat="1">
      <c r="A14" s="3181" t="s">
        <v>3065</v>
      </c>
      <c r="B14" s="3181" t="s">
        <v>3028</v>
      </c>
      <c r="C14" s="3181" t="s">
        <v>3029</v>
      </c>
      <c r="D14" s="3181">
        <v>26682.38</v>
      </c>
      <c r="E14" s="3181">
        <v>40023.57</v>
      </c>
      <c r="F14" s="3181" t="s">
        <v>3066</v>
      </c>
      <c r="G14" s="3181" t="s">
        <v>3031</v>
      </c>
      <c r="H14" s="3181" t="s">
        <v>3067</v>
      </c>
      <c r="I14" s="3181" t="s">
        <v>2814</v>
      </c>
      <c r="J14" s="3181">
        <v>5842.92</v>
      </c>
      <c r="K14" s="3181">
        <v>1459.86</v>
      </c>
      <c r="L14" s="3181" t="s">
        <v>2814</v>
      </c>
      <c r="M14" s="3181" t="s">
        <v>3068</v>
      </c>
      <c r="N14" s="3181" t="s">
        <v>3034</v>
      </c>
    </row>
    <row r="15" spans="1:14">
      <c r="A15" s="3180" t="s">
        <v>3069</v>
      </c>
      <c r="B15" s="3180" t="s">
        <v>3028</v>
      </c>
      <c r="C15" s="3180" t="s">
        <v>3029</v>
      </c>
      <c r="D15" s="3180">
        <v>22239.25</v>
      </c>
      <c r="E15" s="3180">
        <v>33358.879999999997</v>
      </c>
      <c r="F15" s="3180" t="s">
        <v>3042</v>
      </c>
      <c r="G15" s="3180" t="s">
        <v>3031</v>
      </c>
      <c r="H15" s="3180" t="s">
        <v>3067</v>
      </c>
      <c r="I15" s="3180" t="s">
        <v>2814</v>
      </c>
      <c r="J15" s="3180">
        <v>4870.5600000000004</v>
      </c>
      <c r="K15" s="3180">
        <v>1460.04</v>
      </c>
      <c r="L15" s="3180" t="s">
        <v>2814</v>
      </c>
      <c r="M15" s="3180" t="s">
        <v>3068</v>
      </c>
      <c r="N15" s="3180" t="s">
        <v>3037</v>
      </c>
    </row>
    <row r="16" spans="1:14">
      <c r="A16" s="3180" t="s">
        <v>3070</v>
      </c>
      <c r="B16" s="3180" t="s">
        <v>3028</v>
      </c>
      <c r="C16" s="3180" t="s">
        <v>3051</v>
      </c>
      <c r="D16" s="3180">
        <v>42944.5</v>
      </c>
      <c r="E16" s="3180">
        <v>64416.75</v>
      </c>
      <c r="F16" s="3180" t="s">
        <v>3066</v>
      </c>
      <c r="G16" s="3180" t="s">
        <v>3031</v>
      </c>
      <c r="H16" s="3180" t="s">
        <v>3067</v>
      </c>
      <c r="I16" s="3180" t="s">
        <v>2814</v>
      </c>
      <c r="J16" s="3180">
        <v>9791.84</v>
      </c>
      <c r="K16" s="3180">
        <v>1520.07</v>
      </c>
      <c r="L16" s="3180" t="s">
        <v>2814</v>
      </c>
      <c r="M16" s="3180" t="s">
        <v>3068</v>
      </c>
      <c r="N16" s="3180" t="s">
        <v>3034</v>
      </c>
    </row>
    <row r="17" spans="1:14">
      <c r="A17" s="3180" t="s">
        <v>3071</v>
      </c>
      <c r="B17" s="3180" t="s">
        <v>3028</v>
      </c>
      <c r="C17" s="3180" t="s">
        <v>3051</v>
      </c>
      <c r="D17" s="3180">
        <v>12614.93</v>
      </c>
      <c r="E17" s="3180">
        <v>37844.79</v>
      </c>
      <c r="F17" s="3180" t="s">
        <v>3072</v>
      </c>
      <c r="G17" s="3180" t="s">
        <v>3053</v>
      </c>
      <c r="H17" s="3180" t="s">
        <v>3067</v>
      </c>
      <c r="I17" s="3180">
        <v>3803.38</v>
      </c>
      <c r="J17" s="3180">
        <v>5013.8</v>
      </c>
      <c r="K17" s="3180">
        <v>1324.82</v>
      </c>
      <c r="L17" s="3180">
        <v>31.82</v>
      </c>
      <c r="M17" s="3180" t="s">
        <v>3073</v>
      </c>
      <c r="N17" s="3180" t="s">
        <v>3034</v>
      </c>
    </row>
    <row r="18" spans="1:14">
      <c r="A18" s="3180" t="s">
        <v>3074</v>
      </c>
      <c r="B18" s="3180" t="s">
        <v>3028</v>
      </c>
      <c r="C18" s="3180" t="s">
        <v>3029</v>
      </c>
      <c r="D18" s="3180">
        <v>4477.2700000000004</v>
      </c>
      <c r="E18" s="3180">
        <v>6715.91</v>
      </c>
      <c r="F18" s="3180" t="s">
        <v>3042</v>
      </c>
      <c r="G18" s="3180" t="s">
        <v>3031</v>
      </c>
      <c r="H18" s="3180" t="s">
        <v>3067</v>
      </c>
      <c r="I18" s="3180" t="s">
        <v>2814</v>
      </c>
      <c r="J18" s="3180">
        <v>981.12</v>
      </c>
      <c r="K18" s="3180">
        <v>1460.89</v>
      </c>
      <c r="L18" s="3180" t="s">
        <v>2814</v>
      </c>
      <c r="M18" s="3180" t="s">
        <v>3068</v>
      </c>
      <c r="N18" s="3180" t="s">
        <v>3037</v>
      </c>
    </row>
    <row r="19" spans="1:14">
      <c r="A19" s="3180" t="s">
        <v>3075</v>
      </c>
      <c r="B19" s="3180" t="s">
        <v>3028</v>
      </c>
      <c r="C19" s="3180" t="s">
        <v>3029</v>
      </c>
      <c r="D19" s="3180">
        <v>89357.33</v>
      </c>
      <c r="E19" s="3180">
        <v>178714.7</v>
      </c>
      <c r="F19" s="3180" t="s">
        <v>3076</v>
      </c>
      <c r="G19" s="3180" t="s">
        <v>3031</v>
      </c>
      <c r="H19" s="3180" t="s">
        <v>3077</v>
      </c>
      <c r="I19" s="3180">
        <v>23188.11</v>
      </c>
      <c r="J19" s="3180">
        <v>23190</v>
      </c>
      <c r="K19" s="3180">
        <v>1297.5899999999999</v>
      </c>
      <c r="L19" s="3180">
        <v>0.01</v>
      </c>
      <c r="M19" s="3180" t="s">
        <v>3078</v>
      </c>
      <c r="N19" s="3180" t="s">
        <v>3037</v>
      </c>
    </row>
    <row r="20" spans="1:14">
      <c r="A20" s="3180" t="s">
        <v>3079</v>
      </c>
      <c r="B20" s="3180" t="s">
        <v>3028</v>
      </c>
      <c r="C20" s="3180" t="s">
        <v>3029</v>
      </c>
      <c r="D20" s="3180">
        <v>32866.69</v>
      </c>
      <c r="E20" s="3180">
        <v>82166.73</v>
      </c>
      <c r="F20" s="3180" t="s">
        <v>3080</v>
      </c>
      <c r="G20" s="3180" t="s">
        <v>3031</v>
      </c>
      <c r="H20" s="3180" t="s">
        <v>3077</v>
      </c>
      <c r="I20" s="3180">
        <v>10648.75</v>
      </c>
      <c r="J20" s="3180">
        <v>10650</v>
      </c>
      <c r="K20" s="3180">
        <v>1296.1500000000001</v>
      </c>
      <c r="L20" s="3180">
        <v>0.01</v>
      </c>
      <c r="M20" s="3180" t="s">
        <v>3078</v>
      </c>
      <c r="N20" s="3180" t="s">
        <v>3037</v>
      </c>
    </row>
    <row r="21" spans="1:14">
      <c r="A21" s="3180" t="s">
        <v>3081</v>
      </c>
      <c r="B21" s="3180" t="s">
        <v>3028</v>
      </c>
      <c r="C21" s="3180" t="s">
        <v>3029</v>
      </c>
      <c r="D21" s="3180">
        <v>20245.22</v>
      </c>
      <c r="E21" s="3180">
        <v>40490.44</v>
      </c>
      <c r="F21" s="3180" t="s">
        <v>3076</v>
      </c>
      <c r="G21" s="3180" t="s">
        <v>3031</v>
      </c>
      <c r="H21" s="3180" t="s">
        <v>3077</v>
      </c>
      <c r="I21" s="3180">
        <v>5253.6</v>
      </c>
      <c r="J21" s="3180">
        <v>5255</v>
      </c>
      <c r="K21" s="3180">
        <v>1297.83</v>
      </c>
      <c r="L21" s="3180">
        <v>0.03</v>
      </c>
      <c r="M21" s="3180" t="s">
        <v>3078</v>
      </c>
      <c r="N21" s="3180" t="s">
        <v>3037</v>
      </c>
    </row>
    <row r="22" spans="1:14">
      <c r="A22" s="3180" t="s">
        <v>3082</v>
      </c>
      <c r="B22" s="3180" t="s">
        <v>3028</v>
      </c>
      <c r="C22" s="3180" t="s">
        <v>3029</v>
      </c>
      <c r="D22" s="3180">
        <v>39277.699999999997</v>
      </c>
      <c r="E22" s="3180">
        <v>78555.399999999994</v>
      </c>
      <c r="F22" s="3180" t="s">
        <v>3076</v>
      </c>
      <c r="G22" s="3180" t="s">
        <v>3031</v>
      </c>
      <c r="H22" s="3180" t="s">
        <v>3083</v>
      </c>
      <c r="I22" s="3180" t="s">
        <v>2814</v>
      </c>
      <c r="J22" s="3180">
        <v>11665.47</v>
      </c>
      <c r="K22" s="3180">
        <v>1485</v>
      </c>
      <c r="L22" s="3180" t="s">
        <v>2814</v>
      </c>
      <c r="M22" s="3180" t="s">
        <v>3084</v>
      </c>
      <c r="N22" s="3180" t="s">
        <v>3037</v>
      </c>
    </row>
    <row r="23" spans="1:14">
      <c r="A23" s="3180" t="s">
        <v>3085</v>
      </c>
      <c r="B23" s="3180" t="s">
        <v>3028</v>
      </c>
      <c r="C23" s="3180" t="s">
        <v>3051</v>
      </c>
      <c r="D23" s="3180">
        <v>83247.759999999995</v>
      </c>
      <c r="E23" s="3180">
        <v>166495.5</v>
      </c>
      <c r="F23" s="3180" t="s">
        <v>3076</v>
      </c>
      <c r="G23" s="3180" t="s">
        <v>3053</v>
      </c>
      <c r="H23" s="3180" t="s">
        <v>3083</v>
      </c>
      <c r="I23" s="3180" t="s">
        <v>2814</v>
      </c>
      <c r="J23" s="3180">
        <v>24724.58</v>
      </c>
      <c r="K23" s="3180">
        <v>1485</v>
      </c>
      <c r="L23" s="3180" t="s">
        <v>2814</v>
      </c>
      <c r="M23" s="3180" t="s">
        <v>3084</v>
      </c>
      <c r="N23" s="3180" t="s">
        <v>3037</v>
      </c>
    </row>
    <row r="24" spans="1:14">
      <c r="A24" s="3180" t="s">
        <v>3086</v>
      </c>
      <c r="B24" s="3180" t="s">
        <v>3028</v>
      </c>
      <c r="C24" s="3180" t="s">
        <v>3029</v>
      </c>
      <c r="D24" s="3180">
        <v>23919.13</v>
      </c>
      <c r="E24" s="3180">
        <v>47838.26</v>
      </c>
      <c r="F24" s="3180" t="s">
        <v>3076</v>
      </c>
      <c r="G24" s="3180" t="s">
        <v>3053</v>
      </c>
      <c r="H24" s="3180" t="s">
        <v>3083</v>
      </c>
      <c r="I24" s="3180" t="s">
        <v>2814</v>
      </c>
      <c r="J24" s="3180">
        <v>7893.6</v>
      </c>
      <c r="K24" s="3180">
        <v>1650.05</v>
      </c>
      <c r="L24" s="3180" t="s">
        <v>2814</v>
      </c>
      <c r="M24" s="3180" t="s">
        <v>3087</v>
      </c>
      <c r="N24" s="3180" t="s">
        <v>3037</v>
      </c>
    </row>
    <row r="25" spans="1:14">
      <c r="A25" s="3180" t="s">
        <v>3088</v>
      </c>
      <c r="B25" s="3180" t="s">
        <v>3028</v>
      </c>
      <c r="C25" s="3180" t="s">
        <v>3029</v>
      </c>
      <c r="D25" s="3180">
        <v>19528.439999999999</v>
      </c>
      <c r="E25" s="3180">
        <v>39056.879999999997</v>
      </c>
      <c r="F25" s="3180" t="s">
        <v>3076</v>
      </c>
      <c r="G25" s="3180" t="s">
        <v>3031</v>
      </c>
      <c r="H25" s="3180" t="s">
        <v>3083</v>
      </c>
      <c r="I25" s="3180" t="s">
        <v>2814</v>
      </c>
      <c r="J25" s="3180">
        <v>5799.94</v>
      </c>
      <c r="K25" s="3180">
        <v>1485</v>
      </c>
      <c r="L25" s="3180" t="s">
        <v>2814</v>
      </c>
      <c r="M25" s="3180" t="s">
        <v>3084</v>
      </c>
      <c r="N25" s="3180" t="s">
        <v>3037</v>
      </c>
    </row>
    <row r="26" spans="1:14">
      <c r="A26" s="3180" t="s">
        <v>3089</v>
      </c>
      <c r="B26" s="3180" t="s">
        <v>3028</v>
      </c>
      <c r="C26" s="3180" t="s">
        <v>3051</v>
      </c>
      <c r="D26" s="3180">
        <v>3524</v>
      </c>
      <c r="E26" s="3180">
        <v>15505.6</v>
      </c>
      <c r="F26" s="3180" t="s">
        <v>3090</v>
      </c>
      <c r="G26" s="3180" t="s">
        <v>3031</v>
      </c>
      <c r="H26" s="3180" t="s">
        <v>3083</v>
      </c>
      <c r="I26" s="3180" t="s">
        <v>2814</v>
      </c>
      <c r="J26" s="3180">
        <v>740.03</v>
      </c>
      <c r="K26" s="3180">
        <v>477.26</v>
      </c>
      <c r="L26" s="3180" t="s">
        <v>2814</v>
      </c>
      <c r="M26" s="3180" t="s">
        <v>3091</v>
      </c>
      <c r="N26" s="3180" t="s">
        <v>3037</v>
      </c>
    </row>
    <row r="27" spans="1:14">
      <c r="A27" s="3180" t="s">
        <v>3092</v>
      </c>
      <c r="B27" s="3180" t="s">
        <v>3028</v>
      </c>
      <c r="C27" s="3180" t="s">
        <v>3029</v>
      </c>
      <c r="D27" s="3180">
        <v>67123.490000000005</v>
      </c>
      <c r="E27" s="3180">
        <v>167808.7</v>
      </c>
      <c r="F27" s="3180" t="s">
        <v>3080</v>
      </c>
      <c r="G27" s="3180" t="s">
        <v>3031</v>
      </c>
      <c r="H27" s="3180" t="s">
        <v>3083</v>
      </c>
      <c r="I27" s="3180" t="s">
        <v>2814</v>
      </c>
      <c r="J27" s="3180">
        <v>19935.68</v>
      </c>
      <c r="K27" s="3180">
        <v>1188</v>
      </c>
      <c r="L27" s="3180" t="s">
        <v>2814</v>
      </c>
      <c r="M27" s="3180" t="s">
        <v>3084</v>
      </c>
      <c r="N27" s="3180" t="s">
        <v>3037</v>
      </c>
    </row>
    <row r="28" spans="1:14">
      <c r="A28" s="3180" t="s">
        <v>3093</v>
      </c>
      <c r="B28" s="3180" t="s">
        <v>3028</v>
      </c>
      <c r="C28" s="3180" t="s">
        <v>3029</v>
      </c>
      <c r="D28" s="3180">
        <v>35913.18</v>
      </c>
      <c r="E28" s="3180">
        <v>71826.36</v>
      </c>
      <c r="F28" s="3180" t="s">
        <v>3076</v>
      </c>
      <c r="G28" s="3180" t="s">
        <v>3053</v>
      </c>
      <c r="H28" s="3180" t="s">
        <v>3083</v>
      </c>
      <c r="I28" s="3180" t="s">
        <v>2814</v>
      </c>
      <c r="J28" s="3180">
        <v>10666.2</v>
      </c>
      <c r="K28" s="3180">
        <v>1485</v>
      </c>
      <c r="L28" s="3180" t="s">
        <v>2814</v>
      </c>
      <c r="M28" s="3180" t="s">
        <v>3084</v>
      </c>
      <c r="N28" s="3180" t="s">
        <v>3037</v>
      </c>
    </row>
    <row r="29" spans="1:14">
      <c r="A29" s="3180" t="s">
        <v>3094</v>
      </c>
      <c r="B29" s="3180" t="s">
        <v>3028</v>
      </c>
      <c r="C29" s="3180" t="s">
        <v>3029</v>
      </c>
      <c r="D29" s="3180">
        <v>22072.560000000001</v>
      </c>
      <c r="E29" s="3180">
        <v>44145.120000000003</v>
      </c>
      <c r="F29" s="3180" t="s">
        <v>3076</v>
      </c>
      <c r="G29" s="3180" t="s">
        <v>3031</v>
      </c>
      <c r="H29" s="3180" t="s">
        <v>3083</v>
      </c>
      <c r="I29" s="3180" t="s">
        <v>2814</v>
      </c>
      <c r="J29" s="3180">
        <v>6555.55</v>
      </c>
      <c r="K29" s="3180">
        <v>1485</v>
      </c>
      <c r="L29" s="3180" t="s">
        <v>2814</v>
      </c>
      <c r="M29" s="3180" t="s">
        <v>3084</v>
      </c>
      <c r="N29" s="3180" t="s">
        <v>3037</v>
      </c>
    </row>
    <row r="30" spans="1:14">
      <c r="A30" s="3180" t="s">
        <v>3095</v>
      </c>
      <c r="B30" s="3180" t="s">
        <v>3028</v>
      </c>
      <c r="C30" s="3180" t="s">
        <v>3029</v>
      </c>
      <c r="D30" s="3180">
        <v>25480</v>
      </c>
      <c r="E30" s="3180">
        <v>50960</v>
      </c>
      <c r="F30" s="3180" t="s">
        <v>3076</v>
      </c>
      <c r="G30" s="3180" t="s">
        <v>3031</v>
      </c>
      <c r="H30" s="3180" t="s">
        <v>3083</v>
      </c>
      <c r="I30" s="3180" t="s">
        <v>2814</v>
      </c>
      <c r="J30" s="3180">
        <v>7567.56</v>
      </c>
      <c r="K30" s="3180">
        <v>1485</v>
      </c>
      <c r="L30" s="3180" t="s">
        <v>2814</v>
      </c>
      <c r="M30" s="3180" t="s">
        <v>3084</v>
      </c>
      <c r="N30" s="3180" t="s">
        <v>3037</v>
      </c>
    </row>
    <row r="31" spans="1:14">
      <c r="A31" s="3180" t="s">
        <v>3096</v>
      </c>
      <c r="B31" s="3180" t="s">
        <v>3028</v>
      </c>
      <c r="C31" s="3180" t="s">
        <v>3029</v>
      </c>
      <c r="D31" s="3180">
        <v>38411.5</v>
      </c>
      <c r="E31" s="3180">
        <v>99869.9</v>
      </c>
      <c r="F31" s="3180" t="s">
        <v>3097</v>
      </c>
      <c r="G31" s="3180" t="s">
        <v>3031</v>
      </c>
      <c r="H31" s="3180" t="s">
        <v>3098</v>
      </c>
      <c r="I31" s="3180">
        <v>6683.92</v>
      </c>
      <c r="J31" s="3180">
        <v>6683.92</v>
      </c>
      <c r="K31" s="3180">
        <v>669.25</v>
      </c>
      <c r="L31" s="3180">
        <v>0</v>
      </c>
      <c r="M31" s="3180" t="s">
        <v>3099</v>
      </c>
      <c r="N31" s="3180" t="s">
        <v>3037</v>
      </c>
    </row>
    <row r="32" spans="1:14">
      <c r="A32" s="3180" t="s">
        <v>3100</v>
      </c>
      <c r="B32" s="3180" t="s">
        <v>3028</v>
      </c>
      <c r="C32" s="3180" t="s">
        <v>3051</v>
      </c>
      <c r="D32" s="3180">
        <v>2077.66</v>
      </c>
      <c r="E32" s="3180">
        <v>3843.67</v>
      </c>
      <c r="F32" s="3180" t="s">
        <v>3101</v>
      </c>
      <c r="G32" s="3180" t="s">
        <v>3031</v>
      </c>
      <c r="H32" s="3180" t="s">
        <v>3102</v>
      </c>
      <c r="I32" s="3180" t="s">
        <v>2814</v>
      </c>
      <c r="J32" s="3180">
        <v>312.95</v>
      </c>
      <c r="K32" s="3180">
        <v>814.22</v>
      </c>
      <c r="L32" s="3180" t="s">
        <v>2814</v>
      </c>
      <c r="M32" s="3180" t="s">
        <v>3103</v>
      </c>
      <c r="N32" s="3180" t="s">
        <v>3037</v>
      </c>
    </row>
    <row r="33" spans="1:14">
      <c r="A33" s="3180" t="s">
        <v>3104</v>
      </c>
      <c r="B33" s="3180" t="s">
        <v>3028</v>
      </c>
      <c r="C33" s="3180" t="s">
        <v>3029</v>
      </c>
      <c r="D33" s="3180">
        <v>44558</v>
      </c>
      <c r="E33" s="3180">
        <v>89116</v>
      </c>
      <c r="F33" s="3180" t="s">
        <v>3105</v>
      </c>
      <c r="G33" s="3180" t="s">
        <v>3031</v>
      </c>
      <c r="H33" s="3180" t="s">
        <v>3106</v>
      </c>
      <c r="I33" s="3180" t="s">
        <v>2814</v>
      </c>
      <c r="J33" s="3180">
        <v>6684</v>
      </c>
      <c r="K33" s="3180">
        <v>750.02</v>
      </c>
      <c r="L33" s="3180" t="s">
        <v>2814</v>
      </c>
      <c r="M33" s="3180" t="s">
        <v>3107</v>
      </c>
      <c r="N33" s="3180" t="s">
        <v>3037</v>
      </c>
    </row>
    <row r="34" spans="1:14">
      <c r="A34" s="3180" t="s">
        <v>3108</v>
      </c>
      <c r="B34" s="3180" t="s">
        <v>3028</v>
      </c>
      <c r="C34" s="3180" t="s">
        <v>3029</v>
      </c>
      <c r="D34" s="3180">
        <v>26335</v>
      </c>
      <c r="E34" s="3180">
        <v>52670</v>
      </c>
      <c r="F34" s="3180" t="s">
        <v>3105</v>
      </c>
      <c r="G34" s="3180" t="s">
        <v>3031</v>
      </c>
      <c r="H34" s="3180" t="s">
        <v>3106</v>
      </c>
      <c r="I34" s="3180" t="s">
        <v>2814</v>
      </c>
      <c r="J34" s="3180">
        <v>3950</v>
      </c>
      <c r="K34" s="3180">
        <v>749.95</v>
      </c>
      <c r="L34" s="3180" t="s">
        <v>2814</v>
      </c>
      <c r="M34" s="3180" t="s">
        <v>3107</v>
      </c>
      <c r="N34" s="3180" t="s">
        <v>3037</v>
      </c>
    </row>
    <row r="35" spans="1:14">
      <c r="A35" s="3180" t="s">
        <v>3109</v>
      </c>
      <c r="B35" s="3180" t="s">
        <v>3028</v>
      </c>
      <c r="C35" s="3180" t="s">
        <v>3029</v>
      </c>
      <c r="D35" s="3180">
        <v>6375</v>
      </c>
      <c r="E35" s="3180">
        <v>27795</v>
      </c>
      <c r="F35" s="3180" t="s">
        <v>3110</v>
      </c>
      <c r="G35" s="3180" t="s">
        <v>3031</v>
      </c>
      <c r="H35" s="3180" t="s">
        <v>3111</v>
      </c>
      <c r="I35" s="3180">
        <v>1185.74</v>
      </c>
      <c r="J35" s="3180">
        <v>1185.75</v>
      </c>
      <c r="K35" s="3180">
        <v>426.61</v>
      </c>
      <c r="L35" s="3180">
        <v>0</v>
      </c>
      <c r="M35" s="3180" t="s">
        <v>3112</v>
      </c>
      <c r="N35" s="3180" t="s">
        <v>3037</v>
      </c>
    </row>
  </sheetData>
  <phoneticPr fontId="229" type="noConversion"/>
  <pageMargins left="0.75" right="0.75" top="1" bottom="1" header="0.5" footer="0.5"/>
  <pageSetup orientation="portrait" horizontalDpi="300" verticalDpi="30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1903</v>
      </c>
    </row>
    <row r="2" spans="1:4">
      <c r="A2" s="1762"/>
    </row>
    <row r="3" spans="1:4" ht="17.399999999999999">
      <c r="A3" s="1780" t="str">
        <f>项目基本情况!B5&amp;"："</f>
        <v>：</v>
      </c>
    </row>
    <row r="4" spans="1:4" ht="34.799999999999997">
      <c r="A4" s="1774" t="str">
        <f>"受贵公司委托，我公司对"&amp;项目基本情况!K2&amp;项目基本情况!B9&amp;"进行了预评估。"</f>
        <v>受贵公司委托，我公司对重庆市潼南区梓潼街道办凉风垭C2-3-04（1）号地块出让国有建设用地使用权抵押价格进行了预评估。</v>
      </c>
    </row>
    <row r="5" spans="1:4" ht="17.399999999999999">
      <c r="A5" s="1777" t="s">
        <v>1904</v>
      </c>
    </row>
    <row r="6" spans="1:4" ht="87">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盛皇房地产开发有限公司使用的、位于重庆市潼南区梓潼街道办凉风垭C2-3-04（1）号地块出让国有建设用地使用权。根据《国有土地使用证》[]，估价对象（分摊）出让国有建设用地使用权面积为22322.4平方米。根据《建设工程规划许可证》[]、《出让合同》[]，估价对象规划建筑面积为114120平方米。</v>
      </c>
    </row>
    <row r="7" spans="1:4" ht="52.2">
      <c r="A7" s="1778" t="s">
        <v>2743</v>
      </c>
    </row>
    <row r="8" spans="1:4" ht="17.399999999999999">
      <c r="A8" s="1777" t="s">
        <v>1905</v>
      </c>
    </row>
    <row r="9" spans="1:4" ht="69.599999999999994">
      <c r="A9" s="1779"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0" t="s">
        <v>2023</v>
      </c>
    </row>
    <row r="11" spans="1:4" ht="17.399999999999999">
      <c r="A11" s="1763" t="str">
        <f>TEXT(项目基本情况!D3,"yyyy年m月d日;;")&amp;IF(项目基本情况!B3=项目基本情况!D3,"（评估专业人员勘察现场之日）","")</f>
        <v>2020年2月28日（评估专业人员勘察现场之日）</v>
      </c>
    </row>
    <row r="12" spans="1:4" ht="17.399999999999999">
      <c r="A12" s="1780" t="s">
        <v>2022</v>
      </c>
    </row>
    <row r="13" spans="1:4" ht="17.399999999999999">
      <c r="A13" s="1774" t="s">
        <v>2935</v>
      </c>
    </row>
    <row r="14" spans="1:4" ht="34.799999999999997">
      <c r="A14" s="1774" t="str">
        <f>"根据"&amp;项目基本情况!F12&amp;"，本次评估估价对象证载（地类）用途为"&amp;项目基本情况!B12&amp;"。"</f>
        <v>根据《国有土地使用证》[]，本次评估估价对象证载（地类）用途为住宅。</v>
      </c>
      <c r="C14" s="1764"/>
      <c r="D14" s="1765"/>
    </row>
    <row r="15" spans="1:4" ht="17.399999999999999">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4"/>
      <c r="D15" s="1765"/>
    </row>
    <row r="16" spans="1:4" ht="17.399999999999999">
      <c r="A16" s="1774" t="s">
        <v>2069</v>
      </c>
    </row>
    <row r="17" spans="1:1" ht="52.2">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4" t="s">
        <v>2070</v>
      </c>
    </row>
    <row r="20" spans="1:1" ht="52.2">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根据《国有土地使用证》[]，估价对象（分摊）出让国有建设用地使用权面积为22322.4平方米。根据《建设工程规划许可证》[]、《出让合同》[]，估价对象规划建筑面积为114120平方米。</v>
      </c>
    </row>
    <row r="21" spans="1:1" ht="17.399999999999999">
      <c r="A21" s="1774" t="s">
        <v>2071</v>
      </c>
    </row>
    <row r="22" spans="1:1" ht="52.2">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本次估价对象为出让国有建设用地使用权，《国有土地使用证》[]证载土地终止日期为住宅2063年12月3日、商业2053年12月3日。截至估价期日，出让国有建设用地使用权剩余土地使用年限为。</v>
      </c>
    </row>
    <row r="23" spans="1:1" ht="17.399999999999999">
      <c r="A23" s="1774" t="str">
        <f>IF(项目基本情况!B16="出让","本次评估设定估价对象剩余土地使用年限为"&amp;项目基本情况!D20&amp;"。","")</f>
        <v>本次评估设定估价对象剩余土地使用年限为。</v>
      </c>
    </row>
    <row r="24" spans="1:1" ht="17.399999999999999">
      <c r="A24" s="1774" t="s">
        <v>2072</v>
      </c>
    </row>
    <row r="25" spans="1:1" ht="87">
      <c r="A25" s="1774" t="str">
        <f>定义!C53</f>
        <v>本次估价的“出让国有建设用地使用权价格”是指在估价对象土地所有权为国家所有，使用权性质为出让，在公开市场条件下、于估价期日2020年2月28日，在规划利用条件下、设定土地开发程度为红线外“七通”、宗地内场地，设定用途为住宅，剩余土地使用年限为的出让国有建设用地使用权价格。</v>
      </c>
    </row>
    <row r="26" spans="1:1" ht="52.2">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0" t="s">
        <v>2024</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2025</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topLeftCell="A28" zoomScale="70" zoomScaleNormal="70" workbookViewId="0">
      <selection activeCell="J50" sqref="J50"/>
    </sheetView>
  </sheetViews>
  <sheetFormatPr defaultColWidth="9" defaultRowHeight="15"/>
  <cols>
    <col min="1" max="1" width="9" style="2081"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8.33203125" style="2042" customWidth="1"/>
    <col min="16" max="16" width="30.21875" style="2042" customWidth="1"/>
    <col min="17" max="17" width="13.77734375" style="2042" customWidth="1"/>
    <col min="18" max="18" width="22.21875" style="2042" customWidth="1"/>
    <col min="19" max="19" width="1.44140625" style="2042" customWidth="1"/>
    <col min="20" max="25" width="9" style="2042"/>
    <col min="26" max="16384" width="9" style="2043"/>
  </cols>
  <sheetData>
    <row r="1" spans="1:25" s="2037" customFormat="1" ht="21.6">
      <c r="A1" s="772" t="s">
        <v>628</v>
      </c>
      <c r="B1" s="738"/>
      <c r="C1" s="773" t="s">
        <v>3132</v>
      </c>
      <c r="D1" s="2033"/>
      <c r="E1" s="2349" t="s">
        <v>2371</v>
      </c>
      <c r="F1" s="2350">
        <f ca="1">J54</f>
        <v>0</v>
      </c>
      <c r="G1" s="774">
        <f>MATCH(C1,'数据-取费表'!A6:A16,0)+5</f>
        <v>9</v>
      </c>
      <c r="H1" s="1346"/>
      <c r="I1" s="2034"/>
      <c r="J1" s="2034"/>
      <c r="K1" s="2035"/>
      <c r="L1" s="2034"/>
      <c r="M1" s="2034"/>
      <c r="N1" s="2036"/>
      <c r="O1" s="2036"/>
      <c r="P1" s="2036"/>
      <c r="Q1" s="2036"/>
      <c r="R1" s="2036"/>
      <c r="S1" s="2036"/>
      <c r="T1" s="2036"/>
      <c r="U1" s="2036"/>
      <c r="V1" s="2036"/>
      <c r="W1" s="2036"/>
      <c r="X1" s="2036"/>
      <c r="Y1" s="2036"/>
    </row>
    <row r="2" spans="1:25" ht="18" customHeight="1">
      <c r="A2" s="1629" t="s">
        <v>629</v>
      </c>
      <c r="B2" s="775">
        <f ca="1">IF(ISERROR(C45+J31),0,C45+J31)</f>
        <v>3892</v>
      </c>
      <c r="C2" s="1347"/>
      <c r="D2" s="2038"/>
      <c r="E2" s="2039"/>
      <c r="F2" s="2039"/>
      <c r="G2" s="1576"/>
      <c r="H2" s="1359"/>
      <c r="I2" s="2040"/>
      <c r="J2" s="2040"/>
      <c r="K2" s="2041"/>
      <c r="L2" s="2040"/>
      <c r="M2" s="2040"/>
    </row>
    <row r="3" spans="1:25" ht="18" customHeight="1">
      <c r="A3" s="1630" t="s">
        <v>1685</v>
      </c>
      <c r="B3" s="1387">
        <f ca="1">ROUND(B2*10000/'数据-汇总表'!E3,0)</f>
        <v>341</v>
      </c>
      <c r="C3" s="1347"/>
      <c r="D3" s="2038"/>
      <c r="E3" s="2039"/>
      <c r="F3" s="2039"/>
      <c r="G3" s="1576"/>
      <c r="H3" s="776" t="s">
        <v>695</v>
      </c>
      <c r="I3" s="2040"/>
      <c r="J3" s="2040"/>
      <c r="K3" s="2041"/>
      <c r="L3" s="2040"/>
      <c r="M3" s="2040"/>
    </row>
    <row r="4" spans="1:25" ht="18" customHeight="1">
      <c r="A4" s="1631" t="s">
        <v>696</v>
      </c>
      <c r="B4" s="1348">
        <f ca="1">ROUND(B2*10000/'数据-汇总表'!D3,0)</f>
        <v>1744</v>
      </c>
      <c r="C4" s="428"/>
      <c r="D4" s="2038"/>
      <c r="E4" s="2039"/>
      <c r="F4" s="2039"/>
      <c r="G4" s="1576"/>
      <c r="H4" s="776"/>
      <c r="I4" s="2040"/>
      <c r="J4" s="2040"/>
      <c r="K4" s="2041"/>
      <c r="L4" s="2040"/>
      <c r="M4" s="2040"/>
    </row>
    <row r="5" spans="1:25" ht="18" customHeight="1" thickBot="1">
      <c r="A5" s="1632"/>
      <c r="B5" s="430">
        <f ca="1">ROUND(B2/('数据-汇总表'!D3/666.67),0)</f>
        <v>116</v>
      </c>
      <c r="C5" s="431" t="s">
        <v>697</v>
      </c>
      <c r="D5" s="2038"/>
      <c r="E5" s="2039"/>
      <c r="F5" s="2039"/>
      <c r="G5" s="1576"/>
      <c r="H5" s="776"/>
      <c r="I5" s="2040"/>
      <c r="J5" s="2040"/>
      <c r="K5" s="2041"/>
      <c r="L5" s="2040"/>
      <c r="M5" s="2040"/>
    </row>
    <row r="6" spans="1:25" ht="18" customHeight="1">
      <c r="A6" s="1811" t="s">
        <v>698</v>
      </c>
      <c r="B6" s="1803" t="s">
        <v>699</v>
      </c>
      <c r="C6" s="1803" t="s">
        <v>632</v>
      </c>
      <c r="D6" s="1803" t="s">
        <v>633</v>
      </c>
      <c r="E6" s="779" t="s">
        <v>634</v>
      </c>
      <c r="F6" s="780"/>
      <c r="G6" s="1578"/>
      <c r="H6" s="1811" t="s">
        <v>630</v>
      </c>
      <c r="I6" s="1803" t="s">
        <v>631</v>
      </c>
      <c r="J6" s="1803" t="s">
        <v>632</v>
      </c>
      <c r="K6" s="1803" t="s">
        <v>633</v>
      </c>
      <c r="L6" s="779" t="s">
        <v>634</v>
      </c>
      <c r="M6" s="780"/>
    </row>
    <row r="7" spans="1:25" ht="18" customHeight="1">
      <c r="A7" s="781">
        <v>1</v>
      </c>
      <c r="B7" s="782" t="s">
        <v>2455</v>
      </c>
      <c r="C7" s="53">
        <f ca="1">C8+C12+C14</f>
        <v>834</v>
      </c>
      <c r="D7" s="2458" t="s">
        <v>2458</v>
      </c>
      <c r="E7" s="2452"/>
      <c r="F7" s="2453"/>
      <c r="G7" s="1578"/>
      <c r="H7" s="781">
        <v>1</v>
      </c>
      <c r="I7" s="782" t="s">
        <v>2455</v>
      </c>
      <c r="J7" s="53">
        <f ca="1">J8+J12+J14</f>
        <v>0</v>
      </c>
      <c r="K7" s="2458" t="s">
        <v>2458</v>
      </c>
      <c r="L7" s="2452"/>
      <c r="M7" s="2453"/>
    </row>
    <row r="8" spans="1:25" ht="18" customHeight="1">
      <c r="A8" s="1813" t="s">
        <v>1823</v>
      </c>
      <c r="B8" s="3462" t="s">
        <v>2460</v>
      </c>
      <c r="C8" s="1808">
        <f ca="1">ROUND(F8*F10*F9*(1-F11)/10000,0)</f>
        <v>833</v>
      </c>
      <c r="D8" s="1805" t="s">
        <v>2531</v>
      </c>
      <c r="E8" s="61" t="s">
        <v>637</v>
      </c>
      <c r="F8" s="785">
        <f ca="1">INDIRECT("'数据-取费表'!u"&amp;$G$1)</f>
        <v>1.92</v>
      </c>
      <c r="G8" s="1578"/>
      <c r="H8" s="2466" t="s">
        <v>1823</v>
      </c>
      <c r="I8" s="3462" t="s">
        <v>2460</v>
      </c>
      <c r="J8" s="783">
        <f ca="1">ROUND(M8*M10*M9*(1-M11)/10000,0)</f>
        <v>0</v>
      </c>
      <c r="K8" s="341" t="s">
        <v>2531</v>
      </c>
      <c r="L8" s="784" t="s">
        <v>1737</v>
      </c>
      <c r="M8" s="785">
        <f ca="1">INDIRECT("'数据-取费表'!z"&amp;$G$1)</f>
        <v>0</v>
      </c>
    </row>
    <row r="9" spans="1:25" ht="18" customHeight="1">
      <c r="A9" s="2462"/>
      <c r="B9" s="3463"/>
      <c r="C9" s="1809"/>
      <c r="D9" s="1806"/>
      <c r="E9" s="61" t="s">
        <v>638</v>
      </c>
      <c r="F9" s="785">
        <f ca="1">IF(INDIRECT("'数据-取费表'!ah"&amp;$G$1)="",INDIRECT("'数据-取费表'!k"&amp;$G$1),INDIRECT("'数据-取费表'!ah"&amp;$G$1))</f>
        <v>13200</v>
      </c>
      <c r="G9" s="1578"/>
      <c r="H9" s="2451"/>
      <c r="I9" s="3463"/>
      <c r="J9" s="788"/>
      <c r="K9" s="789"/>
      <c r="L9" s="784" t="s">
        <v>1738</v>
      </c>
      <c r="M9" s="785">
        <f ca="1">F9</f>
        <v>13200</v>
      </c>
    </row>
    <row r="10" spans="1:25" ht="18" customHeight="1">
      <c r="A10" s="2455"/>
      <c r="B10" s="3464"/>
      <c r="C10" s="1809"/>
      <c r="D10" s="1806"/>
      <c r="E10" s="61" t="s">
        <v>639</v>
      </c>
      <c r="F10" s="785">
        <f ca="1">INDIRECT("'数据-取费表'!ai"&amp;$G$1)</f>
        <v>365</v>
      </c>
      <c r="G10" s="1578"/>
      <c r="H10" s="2451"/>
      <c r="I10" s="3464"/>
      <c r="J10" s="788"/>
      <c r="K10" s="789"/>
      <c r="L10" s="784" t="s">
        <v>1739</v>
      </c>
      <c r="M10" s="785">
        <f ca="1">INDIRECT("'数据-取费表'!ai"&amp;$G$1)</f>
        <v>365</v>
      </c>
    </row>
    <row r="11" spans="1:25" ht="18" customHeight="1">
      <c r="A11" s="786"/>
      <c r="B11" s="3465"/>
      <c r="C11" s="1809"/>
      <c r="D11" s="1806"/>
      <c r="E11" s="61" t="s">
        <v>640</v>
      </c>
      <c r="F11" s="794">
        <f ca="1">INDIRECT("'数据-取费表'!w"&amp;$G$1)</f>
        <v>0.1</v>
      </c>
      <c r="G11" s="1578"/>
      <c r="H11" s="2467"/>
      <c r="I11" s="3464"/>
      <c r="J11" s="788"/>
      <c r="K11" s="789"/>
      <c r="L11" s="795" t="s">
        <v>1740</v>
      </c>
      <c r="M11" s="796">
        <f ca="1">INDIRECT("'数据-取费表'!ab"&amp;$G$1)</f>
        <v>0</v>
      </c>
    </row>
    <row r="12" spans="1:25" ht="18" customHeight="1">
      <c r="A12" s="1813" t="s">
        <v>1824</v>
      </c>
      <c r="B12" s="2456" t="s">
        <v>2456</v>
      </c>
      <c r="C12" s="799">
        <f ca="1">ROUND(IF(F12="押一",C8/12*F13,IF(F12="押二",C8/12*2*F13,IF(F12="押三",C8/12*3*F13,C13*F13))),0)</f>
        <v>1</v>
      </c>
      <c r="D12" s="2463" t="s">
        <v>2967</v>
      </c>
      <c r="E12" s="2460" t="s">
        <v>2461</v>
      </c>
      <c r="F12" s="2583" t="s">
        <v>3190</v>
      </c>
      <c r="G12" s="1578"/>
      <c r="H12" s="2523" t="s">
        <v>1824</v>
      </c>
      <c r="I12" s="2528" t="s">
        <v>2456</v>
      </c>
      <c r="J12" s="783">
        <f ca="1">ROUND(IF(M12="押一",J8/12*M13,IF(M12="押二",J8/12*2*M13,IF(M12="押三",J8/12*3*M13,J13*M13))),0)</f>
        <v>0</v>
      </c>
      <c r="K12" s="2463" t="s">
        <v>2967</v>
      </c>
      <c r="L12" s="2460" t="s">
        <v>2461</v>
      </c>
      <c r="M12" s="2583"/>
    </row>
    <row r="13" spans="1:25" ht="18" customHeight="1">
      <c r="A13" s="790"/>
      <c r="B13" s="2457" t="s">
        <v>2570</v>
      </c>
      <c r="C13" s="2461"/>
      <c r="D13" s="789"/>
      <c r="E13" s="2460" t="s">
        <v>2453</v>
      </c>
      <c r="F13" s="796">
        <f ca="1">'数据-取费表'!B39</f>
        <v>1.4999999999999999E-2</v>
      </c>
      <c r="G13" s="1578"/>
      <c r="H13" s="2524"/>
      <c r="I13" s="2457" t="s">
        <v>2570</v>
      </c>
      <c r="J13" s="2461"/>
      <c r="K13" s="2525"/>
      <c r="L13" s="2460" t="s">
        <v>2453</v>
      </c>
      <c r="M13" s="2454">
        <f ca="1">'数据-取费表'!B39</f>
        <v>1.4999999999999999E-2</v>
      </c>
    </row>
    <row r="14" spans="1:25" ht="18" customHeight="1" thickBot="1">
      <c r="A14" s="2499" t="s">
        <v>2464</v>
      </c>
      <c r="B14" s="2500" t="s">
        <v>2457</v>
      </c>
      <c r="C14" s="2501"/>
      <c r="D14" s="2502"/>
      <c r="E14" s="2503"/>
      <c r="F14" s="2504"/>
      <c r="G14" s="1578"/>
      <c r="H14" s="2513" t="s">
        <v>2464</v>
      </c>
      <c r="I14" s="2526" t="s">
        <v>2457</v>
      </c>
      <c r="J14" s="2527"/>
      <c r="K14" s="2502"/>
      <c r="L14" s="2503"/>
      <c r="M14" s="2516"/>
    </row>
    <row r="15" spans="1:25" ht="18" customHeight="1" thickTop="1">
      <c r="A15" s="1812" t="s">
        <v>1873</v>
      </c>
      <c r="B15" s="1810" t="s">
        <v>641</v>
      </c>
      <c r="C15" s="792">
        <f ca="1">ROUND(C31*F15,0)</f>
        <v>4550</v>
      </c>
      <c r="D15" s="1817" t="s">
        <v>642</v>
      </c>
      <c r="E15" s="795" t="s">
        <v>643</v>
      </c>
      <c r="F15" s="800">
        <f ca="1">INDIRECT("'数据-取费表'!y"&amp;$G$1)</f>
        <v>1</v>
      </c>
      <c r="G15" s="1578"/>
      <c r="H15" s="1812" t="s">
        <v>1825</v>
      </c>
      <c r="I15" s="1810" t="s">
        <v>644</v>
      </c>
      <c r="J15" s="1802">
        <f ca="1">ROUND(J16*J17,0)</f>
        <v>0</v>
      </c>
      <c r="K15" s="1804" t="s">
        <v>642</v>
      </c>
      <c r="L15" s="801"/>
      <c r="M15" s="802"/>
    </row>
    <row r="16" spans="1:25" ht="18" customHeight="1">
      <c r="A16" s="803" t="s">
        <v>1874</v>
      </c>
      <c r="B16" s="784" t="s">
        <v>645</v>
      </c>
      <c r="C16" s="804">
        <f ca="1">INDIRECT("'数据-取费表'!m"&amp;$G$1)+INDIRECT("'数据-取费表'!t"&amp;$G$1)</f>
        <v>2904</v>
      </c>
      <c r="D16" s="1962" t="s">
        <v>646</v>
      </c>
      <c r="E16" s="1963"/>
      <c r="F16" s="805"/>
      <c r="G16" s="1578"/>
      <c r="H16" s="803" t="s">
        <v>2066</v>
      </c>
      <c r="I16" s="2214" t="s">
        <v>2821</v>
      </c>
      <c r="J16" s="53">
        <f ca="1">C31</f>
        <v>4550</v>
      </c>
      <c r="K16" s="26"/>
      <c r="L16" s="801"/>
      <c r="M16" s="802"/>
    </row>
    <row r="17" spans="1:25" s="2047" customFormat="1" ht="18" customHeight="1">
      <c r="A17" s="803" t="s">
        <v>1848</v>
      </c>
      <c r="B17" s="784" t="s">
        <v>647</v>
      </c>
      <c r="C17" s="53">
        <f ca="1">ROUND(C16*F17,0)</f>
        <v>87</v>
      </c>
      <c r="D17" s="806" t="s">
        <v>648</v>
      </c>
      <c r="E17" s="806" t="s">
        <v>649</v>
      </c>
      <c r="F17" s="807">
        <f>'数据-取费表'!B33</f>
        <v>0.03</v>
      </c>
      <c r="G17" s="1579"/>
      <c r="H17" s="803" t="s">
        <v>2067</v>
      </c>
      <c r="I17" s="784" t="s">
        <v>643</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8"/>
      <c r="H18" s="797" t="s">
        <v>1826</v>
      </c>
      <c r="I18" s="798" t="s">
        <v>651</v>
      </c>
      <c r="J18" s="799">
        <f ca="1">ROUND(J19+J24+J25+J26,0)</f>
        <v>451</v>
      </c>
      <c r="K18" s="26" t="s">
        <v>652</v>
      </c>
      <c r="L18" s="1965"/>
      <c r="M18" s="56"/>
    </row>
    <row r="19" spans="1:25" s="2047" customFormat="1" ht="18" customHeight="1">
      <c r="A19" s="803" t="s">
        <v>1850</v>
      </c>
      <c r="B19" s="784" t="s">
        <v>653</v>
      </c>
      <c r="C19" s="53">
        <f ca="1">ROUND(F19*(INDIRECT("'数据-取费表'!k"&amp;$G$1)+INDIRECT("'数据-取费表'!S"&amp;$G$1))/10000,0)</f>
        <v>264</v>
      </c>
      <c r="D19" s="784" t="s">
        <v>654</v>
      </c>
      <c r="E19" s="784" t="s">
        <v>655</v>
      </c>
      <c r="F19" s="56">
        <f>'数据-取费表'!B35</f>
        <v>200</v>
      </c>
      <c r="G19" s="1579"/>
      <c r="H19" s="803" t="s">
        <v>2066</v>
      </c>
      <c r="I19" s="784" t="s">
        <v>656</v>
      </c>
      <c r="J19" s="53">
        <f ca="1">ROUND(IF(项目基本情况!B11="自然人",J8*M19/(1+'数据-取费表'!C42),J20+J21+J22),0)</f>
        <v>383</v>
      </c>
      <c r="K19" s="1962" t="s">
        <v>657</v>
      </c>
      <c r="L19" s="1960" t="s">
        <v>658</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1851</v>
      </c>
      <c r="B20" s="784" t="s">
        <v>659</v>
      </c>
      <c r="C20" s="53">
        <f ca="1">ROUND(C16*F20,0)</f>
        <v>44</v>
      </c>
      <c r="D20" s="784" t="s">
        <v>648</v>
      </c>
      <c r="E20" s="784" t="s">
        <v>649</v>
      </c>
      <c r="F20" s="809">
        <f>'数据-取费表'!B36</f>
        <v>1.4999999999999999E-2</v>
      </c>
      <c r="G20" s="1579"/>
      <c r="H20" s="803" t="s">
        <v>1830</v>
      </c>
      <c r="I20" s="784" t="s">
        <v>660</v>
      </c>
      <c r="J20" s="53">
        <f ca="1">ROUND(J8*M20/(1+'数据-取费表'!C42),1)</f>
        <v>0</v>
      </c>
      <c r="K20" s="1960" t="s">
        <v>661</v>
      </c>
      <c r="L20" s="784" t="s">
        <v>649</v>
      </c>
      <c r="M20" s="809">
        <f>'数据-取费表'!B41</f>
        <v>5.5000000000000007E-2</v>
      </c>
      <c r="N20" s="2046"/>
      <c r="O20" s="2046"/>
      <c r="P20" s="2046"/>
      <c r="Q20" s="2046"/>
      <c r="R20" s="2046"/>
      <c r="S20" s="2046"/>
      <c r="T20" s="2046"/>
      <c r="U20" s="2046"/>
      <c r="V20" s="2046"/>
      <c r="W20" s="2046"/>
      <c r="X20" s="2046"/>
      <c r="Y20" s="2046"/>
    </row>
    <row r="21" spans="1:25" ht="18" customHeight="1">
      <c r="A21" s="803" t="s">
        <v>1875</v>
      </c>
      <c r="B21" s="784" t="s">
        <v>662</v>
      </c>
      <c r="C21" s="53">
        <f ca="1">SUM(C16:C20)</f>
        <v>3299</v>
      </c>
      <c r="D21" s="261" t="s">
        <v>663</v>
      </c>
      <c r="E21" s="1965"/>
      <c r="F21" s="56"/>
      <c r="G21" s="1578"/>
      <c r="H21" s="1813" t="s">
        <v>1848</v>
      </c>
      <c r="I21" s="784" t="s">
        <v>664</v>
      </c>
      <c r="J21" s="53">
        <f ca="1">IF(K21="按租金收入计税",ROUND(J8*M21/(1+'数据-取费表'!C42),1),ROUND(C31*F35*0.7,1))</f>
        <v>382.2</v>
      </c>
      <c r="K21" s="811" t="s">
        <v>665</v>
      </c>
      <c r="L21" s="784" t="s">
        <v>649</v>
      </c>
      <c r="M21" s="809">
        <f>IF(K21="按租金收入计税",'数据-取费表'!B51,'数据-取费表'!B50)</f>
        <v>1.2E-2</v>
      </c>
    </row>
    <row r="22" spans="1:25" s="2047" customFormat="1" ht="18" customHeight="1">
      <c r="A22" s="803" t="s">
        <v>1876</v>
      </c>
      <c r="B22" s="784" t="s">
        <v>666</v>
      </c>
      <c r="C22" s="53">
        <f ca="1">ROUND(C21*F22,0)</f>
        <v>66</v>
      </c>
      <c r="D22" s="812" t="s">
        <v>667</v>
      </c>
      <c r="E22" s="784" t="s">
        <v>649</v>
      </c>
      <c r="F22" s="809">
        <f>'数据-取费表'!B37</f>
        <v>0.02</v>
      </c>
      <c r="G22" s="1579"/>
      <c r="H22" s="1815" t="s">
        <v>1849</v>
      </c>
      <c r="I22" s="1805" t="s">
        <v>668</v>
      </c>
      <c r="J22" s="54">
        <f ca="1">ROUND(M22*M23/10000,0)</f>
        <v>1</v>
      </c>
      <c r="K22" s="814" t="s">
        <v>669</v>
      </c>
      <c r="L22" s="784" t="s">
        <v>670</v>
      </c>
      <c r="M22" s="640">
        <f>'数据-取费表'!B52</f>
        <v>3</v>
      </c>
      <c r="N22" s="2046"/>
      <c r="O22" s="2046"/>
      <c r="P22" s="2046"/>
      <c r="Q22" s="2046"/>
      <c r="R22" s="2046"/>
      <c r="S22" s="2046"/>
      <c r="T22" s="2046"/>
      <c r="U22" s="2046"/>
      <c r="V22" s="2046"/>
      <c r="W22" s="2046"/>
      <c r="X22" s="2046"/>
      <c r="Y22" s="2046"/>
    </row>
    <row r="23" spans="1:25" s="2047" customFormat="1" ht="18" customHeight="1">
      <c r="A23" s="803" t="s">
        <v>1877</v>
      </c>
      <c r="B23" s="784" t="s">
        <v>671</v>
      </c>
      <c r="C23" s="53" t="s">
        <v>1</v>
      </c>
      <c r="D23" s="812" t="s">
        <v>672</v>
      </c>
      <c r="E23" s="784" t="s">
        <v>673</v>
      </c>
      <c r="F23" s="809">
        <f>'数据-取费表'!B38</f>
        <v>0.02</v>
      </c>
      <c r="G23" s="1579"/>
      <c r="H23" s="1816"/>
      <c r="I23" s="1807"/>
      <c r="J23" s="69"/>
      <c r="K23" s="816"/>
      <c r="L23" s="784" t="s">
        <v>674</v>
      </c>
      <c r="M23" s="785">
        <f ca="1">INDIRECT("'数据-取费表'!r"&amp;$G$1)</f>
        <v>2581.98</v>
      </c>
      <c r="N23" s="2046"/>
      <c r="O23" s="2046"/>
      <c r="P23" s="2046"/>
      <c r="Q23" s="2046"/>
      <c r="R23" s="2046"/>
      <c r="S23" s="2046"/>
      <c r="T23" s="2046"/>
      <c r="U23" s="2046"/>
      <c r="V23" s="2046"/>
      <c r="W23" s="2046"/>
      <c r="X23" s="2046"/>
      <c r="Y23" s="2046"/>
    </row>
    <row r="24" spans="1:25" ht="18" customHeight="1">
      <c r="A24" s="803" t="s">
        <v>1878</v>
      </c>
      <c r="B24" s="784" t="s">
        <v>675</v>
      </c>
      <c r="C24" s="53"/>
      <c r="D24" s="2534" t="str">
        <f>IF(F25&lt;=1,"单利计息。","复利计息。")&amp;"建造成本、管理费用、销售费用产生的利息。"</f>
        <v>复利计息。建造成本、管理费用、销售费用产生的利息。</v>
      </c>
      <c r="E24" s="1965"/>
      <c r="F24" s="56"/>
      <c r="G24" s="1578"/>
      <c r="H24" s="1814" t="s">
        <v>2067</v>
      </c>
      <c r="I24" s="784" t="s">
        <v>676</v>
      </c>
      <c r="J24" s="53">
        <f ca="1">ROUND(J16*M24,0)</f>
        <v>68</v>
      </c>
      <c r="K24" s="1960" t="s">
        <v>677</v>
      </c>
      <c r="L24" s="784" t="s">
        <v>649</v>
      </c>
      <c r="M24" s="817">
        <f ca="1">INDIRECT("'数据-取费表'!Ak"&amp;$G$1)</f>
        <v>1.4999999999999999E-2</v>
      </c>
    </row>
    <row r="25" spans="1:25" s="2047" customFormat="1" ht="18" customHeight="1">
      <c r="A25" s="803" t="s">
        <v>1874</v>
      </c>
      <c r="B25" s="784" t="s">
        <v>2434</v>
      </c>
      <c r="C25" s="53">
        <f ca="1">ROUND(IF('数据-取费表'!B22&lt;=1,(C21+C22)*F26*F25/2,(C21+C22)*(POWER((1+F26),F25/2)-1)),0)</f>
        <v>160</v>
      </c>
      <c r="D25" s="2533" t="str">
        <f>IF(F25&lt;=1,"(建造成本+管理费用)×利率×(建设周期÷2)","(建造成本+管理费用)×((1+利率)^(建设周期÷2)-1)")</f>
        <v>(建造成本+管理费用)×((1+利率)^(建设周期÷2)-1)</v>
      </c>
      <c r="E25" s="784" t="s">
        <v>678</v>
      </c>
      <c r="F25" s="640">
        <f>'数据-取费表'!B20</f>
        <v>2</v>
      </c>
      <c r="G25" s="1579"/>
      <c r="H25" s="803" t="s">
        <v>1877</v>
      </c>
      <c r="I25" s="784" t="s">
        <v>679</v>
      </c>
      <c r="J25" s="53">
        <f ca="1">ROUND(J15*M25,0)</f>
        <v>0</v>
      </c>
      <c r="K25" s="1960" t="s">
        <v>680</v>
      </c>
      <c r="L25" s="784" t="s">
        <v>649</v>
      </c>
      <c r="M25" s="818">
        <f ca="1">INDIRECT("'数据-取费表'!Al"&amp;$G$1)</f>
        <v>1.5E-3</v>
      </c>
      <c r="N25" s="2046"/>
      <c r="O25" s="2046"/>
      <c r="P25" s="2046"/>
      <c r="Q25" s="2046"/>
      <c r="R25" s="2046"/>
      <c r="S25" s="2046"/>
      <c r="T25" s="2046"/>
      <c r="U25" s="2046"/>
      <c r="V25" s="2046"/>
      <c r="W25" s="2046"/>
      <c r="X25" s="2046"/>
      <c r="Y25" s="2046"/>
    </row>
    <row r="26" spans="1:25" s="2047" customFormat="1" ht="18" customHeight="1">
      <c r="A26" s="803" t="s">
        <v>1848</v>
      </c>
      <c r="B26" s="784" t="s">
        <v>681</v>
      </c>
      <c r="C26" s="53">
        <f ca="1">ROUND(IF('数据-取费表'!B22&lt;=1,F23*F26*F25/2,F23*(POWER((1+F26),F25/2)-1)),4)</f>
        <v>1E-3</v>
      </c>
      <c r="D26" s="2533" t="str">
        <f>IF(F25&lt;=1,"销售费用×利率×(建设周期÷2)","销售费用×((1+利率)^(建设周期÷2)-1)")</f>
        <v>销售费用×((1+利率)^(建设周期÷2)-1)</v>
      </c>
      <c r="E26" s="784" t="s">
        <v>682</v>
      </c>
      <c r="F26" s="819">
        <f ca="1">'数据-取费表'!B40</f>
        <v>4.7500000000000001E-2</v>
      </c>
      <c r="G26" s="1579"/>
      <c r="H26" s="803" t="s">
        <v>1878</v>
      </c>
      <c r="I26" s="784" t="s">
        <v>666</v>
      </c>
      <c r="J26" s="53">
        <f ca="1">ROUND(J7*M26,0)</f>
        <v>0</v>
      </c>
      <c r="K26" s="1960" t="s">
        <v>683</v>
      </c>
      <c r="L26" s="784" t="s">
        <v>649</v>
      </c>
      <c r="M26" s="794">
        <f ca="1">INDIRECT("'数据-取费表'!Am"&amp;$G$1)</f>
        <v>0.01</v>
      </c>
      <c r="N26" s="2046"/>
      <c r="O26" s="2046"/>
      <c r="P26" s="2046"/>
      <c r="Q26" s="2046"/>
      <c r="R26" s="2046"/>
      <c r="S26" s="2046"/>
      <c r="T26" s="2046"/>
      <c r="U26" s="2046"/>
      <c r="V26" s="2046"/>
      <c r="W26" s="2046"/>
      <c r="X26" s="2046"/>
      <c r="Y26" s="2046"/>
    </row>
    <row r="27" spans="1:25" ht="18" customHeight="1">
      <c r="A27" s="803" t="s">
        <v>1880</v>
      </c>
      <c r="B27" s="784" t="s">
        <v>684</v>
      </c>
      <c r="C27" s="53"/>
      <c r="D27" s="261" t="s">
        <v>685</v>
      </c>
      <c r="E27" s="1965"/>
      <c r="F27" s="56"/>
      <c r="G27" s="1578"/>
      <c r="H27" s="797" t="s">
        <v>1827</v>
      </c>
      <c r="I27" s="2961" t="s">
        <v>2818</v>
      </c>
      <c r="J27" s="799">
        <f ca="1">J7-J18</f>
        <v>-451</v>
      </c>
      <c r="K27" s="1962" t="s">
        <v>700</v>
      </c>
      <c r="L27" s="1964"/>
      <c r="M27" s="820"/>
    </row>
    <row r="28" spans="1:25" ht="18" customHeight="1">
      <c r="A28" s="803" t="s">
        <v>1874</v>
      </c>
      <c r="B28" s="784" t="s">
        <v>2435</v>
      </c>
      <c r="C28" s="53">
        <f ca="1">ROUND((C21+C22)*F28,0)</f>
        <v>673</v>
      </c>
      <c r="D28" s="812" t="s">
        <v>701</v>
      </c>
      <c r="E28" s="795" t="s">
        <v>702</v>
      </c>
      <c r="F28" s="794">
        <f ca="1">INDIRECT("'数据-取费表'!q"&amp;$G$1)</f>
        <v>0.2</v>
      </c>
      <c r="G28" s="1578"/>
      <c r="H28" s="781" t="s">
        <v>1836</v>
      </c>
      <c r="I28" s="782" t="s">
        <v>703</v>
      </c>
      <c r="J28" s="783">
        <f ca="1">IF(J7&lt;&gt;0,ROUND(J27*(1-((1+M30)/(1+M28))^M29)/(M28-M30),0),0)</f>
        <v>0</v>
      </c>
      <c r="K28" s="814" t="s">
        <v>704</v>
      </c>
      <c r="L28" s="784" t="s">
        <v>705</v>
      </c>
      <c r="M28" s="794">
        <f ca="1">INDIRECT("'数据-取费表'!I"&amp;$G$1)</f>
        <v>5.5E-2</v>
      </c>
    </row>
    <row r="29" spans="1:25" ht="18" customHeight="1">
      <c r="A29" s="803" t="s">
        <v>1848</v>
      </c>
      <c r="B29" s="784" t="s">
        <v>686</v>
      </c>
      <c r="C29" s="53">
        <f ca="1">ROUND(F23*F28,4)</f>
        <v>4.0000000000000001E-3</v>
      </c>
      <c r="D29" s="812" t="s">
        <v>706</v>
      </c>
      <c r="E29" s="806"/>
      <c r="F29" s="807"/>
      <c r="G29" s="1578"/>
      <c r="H29" s="786"/>
      <c r="I29" s="787"/>
      <c r="J29" s="788"/>
      <c r="K29" s="821" t="s">
        <v>707</v>
      </c>
      <c r="L29" s="784" t="s">
        <v>708</v>
      </c>
      <c r="M29" s="822">
        <f ca="1">INDIRECT("'数据-取费表'!ag"&amp;$G$1)</f>
        <v>0</v>
      </c>
    </row>
    <row r="30" spans="1:25" s="2047" customFormat="1" ht="18" customHeight="1">
      <c r="A30" s="803" t="s">
        <v>1881</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1882</v>
      </c>
      <c r="B31" s="2503" t="s">
        <v>2819</v>
      </c>
      <c r="C31" s="2506">
        <f ca="1">ROUND((C21+C22+C25+C28)/(1-F23-C26-C29-C30),0)</f>
        <v>4550</v>
      </c>
      <c r="D31" s="2507"/>
      <c r="E31" s="2508"/>
      <c r="F31" s="2509"/>
      <c r="G31" s="1579"/>
      <c r="H31" s="823" t="s">
        <v>1871</v>
      </c>
      <c r="I31" s="2962" t="s">
        <v>2820</v>
      </c>
      <c r="J31" s="825">
        <f ca="1">ROUND(J28/(1+F45)^F46,0)</f>
        <v>0</v>
      </c>
      <c r="K31" s="826" t="s">
        <v>688</v>
      </c>
      <c r="L31" s="827"/>
      <c r="M31" s="828">
        <f ca="1">INDIRECT("'数据-取费表'!k"&amp;$G$1)</f>
        <v>13200</v>
      </c>
      <c r="N31" s="2046"/>
      <c r="O31" s="2046"/>
      <c r="P31" s="2046"/>
      <c r="Q31" s="2046"/>
      <c r="R31" s="2046"/>
      <c r="S31" s="2046"/>
      <c r="T31" s="2046"/>
      <c r="U31" s="2046"/>
      <c r="V31" s="2046"/>
      <c r="W31" s="2046"/>
      <c r="X31" s="2046"/>
      <c r="Y31" s="2046"/>
    </row>
    <row r="32" spans="1:25" ht="18" customHeight="1" thickTop="1">
      <c r="A32" s="1812" t="s">
        <v>7</v>
      </c>
      <c r="B32" s="1810" t="s">
        <v>689</v>
      </c>
      <c r="C32" s="792">
        <f ca="1">ROUND(C33+C38+C39+C40,0)</f>
        <v>223</v>
      </c>
      <c r="D32" s="1804" t="s">
        <v>652</v>
      </c>
      <c r="E32" s="2449"/>
      <c r="F32" s="2453"/>
      <c r="G32" s="2045"/>
      <c r="H32" s="2048"/>
      <c r="I32" s="2049"/>
      <c r="J32" s="2050"/>
      <c r="K32" s="2051"/>
      <c r="L32" s="2052"/>
      <c r="M32" s="2053"/>
    </row>
    <row r="33" spans="1:18" ht="18" customHeight="1">
      <c r="A33" s="803" t="s">
        <v>1875</v>
      </c>
      <c r="B33" s="784" t="s">
        <v>656</v>
      </c>
      <c r="C33" s="53">
        <f ca="1">ROUND(IF(项目基本情况!B11="自然人",C8*F33/(1+'数据-取费表'!C42),C34+C35+C36),1)</f>
        <v>139.6</v>
      </c>
      <c r="D33" s="1962" t="s">
        <v>657</v>
      </c>
      <c r="E33" s="1960" t="s">
        <v>690</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1874</v>
      </c>
      <c r="B34" s="784" t="s">
        <v>660</v>
      </c>
      <c r="C34" s="53">
        <f ca="1">ROUND(C8*F34/(1+'数据-取费表'!C42),1)</f>
        <v>43.6</v>
      </c>
      <c r="D34" s="1960" t="s">
        <v>661</v>
      </c>
      <c r="E34" s="784" t="s">
        <v>649</v>
      </c>
      <c r="F34" s="809">
        <f>'数据-取费表'!B41</f>
        <v>5.5000000000000007E-2</v>
      </c>
      <c r="G34" s="2045"/>
      <c r="H34" s="2054"/>
      <c r="I34" s="2055"/>
      <c r="J34" s="2056"/>
      <c r="K34" s="2057"/>
      <c r="L34" s="2058"/>
      <c r="M34" s="2059"/>
    </row>
    <row r="35" spans="1:18" ht="18" customHeight="1">
      <c r="A35" s="803" t="s">
        <v>1848</v>
      </c>
      <c r="B35" s="784" t="s">
        <v>664</v>
      </c>
      <c r="C35" s="53">
        <f ca="1">IF(D35="按租金收入计税",ROUND(C8*F35/(1+'数据-取费表'!C42),1),IF(D35="按房产原值计税",ROUND(C31*F35*0.7,1),INDIRECT("'数据-取费表'!Aj"&amp;$G$1)))</f>
        <v>95.2</v>
      </c>
      <c r="D35" s="811" t="s">
        <v>3191</v>
      </c>
      <c r="E35" s="784" t="s">
        <v>649</v>
      </c>
      <c r="F35" s="809">
        <f>IF(D35="按租金收入计税",'数据-取费表'!B51,'数据-取费表'!B50)</f>
        <v>0.12</v>
      </c>
      <c r="G35" s="2045"/>
      <c r="H35" s="2060"/>
      <c r="I35" s="2060"/>
      <c r="J35" s="2060"/>
      <c r="K35" s="2061"/>
      <c r="L35" s="2060"/>
      <c r="M35" s="2060"/>
    </row>
    <row r="36" spans="1:18" ht="18" customHeight="1">
      <c r="A36" s="813" t="s">
        <v>1879</v>
      </c>
      <c r="B36" s="341" t="s">
        <v>668</v>
      </c>
      <c r="C36" s="54">
        <f ca="1">ROUND(F36*F37/10000,1)</f>
        <v>0.8</v>
      </c>
      <c r="D36" s="814" t="s">
        <v>669</v>
      </c>
      <c r="E36" s="784" t="s">
        <v>670</v>
      </c>
      <c r="F36" s="640">
        <f>'数据-取费表'!B52</f>
        <v>3</v>
      </c>
      <c r="G36" s="2045"/>
      <c r="H36" s="2048"/>
      <c r="I36" s="3461"/>
      <c r="J36" s="2062"/>
      <c r="K36" s="2063"/>
      <c r="L36" s="2062"/>
      <c r="M36" s="2062"/>
    </row>
    <row r="37" spans="1:18" ht="18" customHeight="1">
      <c r="A37" s="815"/>
      <c r="B37" s="793"/>
      <c r="C37" s="69"/>
      <c r="D37" s="816"/>
      <c r="E37" s="784" t="s">
        <v>674</v>
      </c>
      <c r="F37" s="785">
        <f ca="1">INDIRECT("'数据-取费表'!r"&amp;$G$1)</f>
        <v>2581.98</v>
      </c>
      <c r="G37" s="2045"/>
      <c r="H37" s="2048"/>
      <c r="I37" s="3461"/>
      <c r="J37" s="2060"/>
      <c r="K37" s="2061"/>
      <c r="L37" s="2060"/>
      <c r="M37" s="2060"/>
    </row>
    <row r="38" spans="1:18" ht="18" customHeight="1">
      <c r="A38" s="803" t="s">
        <v>1876</v>
      </c>
      <c r="B38" s="784" t="s">
        <v>676</v>
      </c>
      <c r="C38" s="53">
        <f ca="1">ROUND(C31*F38,1)</f>
        <v>68.3</v>
      </c>
      <c r="D38" s="1960" t="s">
        <v>691</v>
      </c>
      <c r="E38" s="784" t="s">
        <v>649</v>
      </c>
      <c r="F38" s="817">
        <f ca="1">INDIRECT("'数据-取费表'!Ak"&amp;$G$1)</f>
        <v>1.4999999999999999E-2</v>
      </c>
      <c r="G38" s="2045"/>
      <c r="H38" s="2060"/>
      <c r="I38" s="2064"/>
      <c r="J38" s="1971"/>
      <c r="K38" s="2065"/>
      <c r="L38" s="2060"/>
      <c r="M38" s="2060"/>
    </row>
    <row r="39" spans="1:18" ht="18" customHeight="1">
      <c r="A39" s="803" t="s">
        <v>1877</v>
      </c>
      <c r="B39" s="784" t="s">
        <v>679</v>
      </c>
      <c r="C39" s="53">
        <f ca="1">ROUND(C15*F39,1)</f>
        <v>6.8</v>
      </c>
      <c r="D39" s="1960" t="s">
        <v>680</v>
      </c>
      <c r="E39" s="784" t="s">
        <v>649</v>
      </c>
      <c r="F39" s="818">
        <f ca="1">INDIRECT("'数据-取费表'!Al"&amp;$G$1)</f>
        <v>1.5E-3</v>
      </c>
      <c r="G39" s="2045"/>
      <c r="H39" s="2060"/>
      <c r="I39" s="2064"/>
      <c r="J39" s="1971"/>
      <c r="K39" s="2065"/>
      <c r="L39" s="2060"/>
      <c r="M39" s="2060"/>
    </row>
    <row r="40" spans="1:18" ht="18" customHeight="1" thickBot="1">
      <c r="A40" s="2522" t="s">
        <v>1878</v>
      </c>
      <c r="B40" s="2508" t="s">
        <v>666</v>
      </c>
      <c r="C40" s="2506">
        <f ca="1">ROUND(C7*F40,1)</f>
        <v>8.3000000000000007</v>
      </c>
      <c r="D40" s="2507" t="s">
        <v>683</v>
      </c>
      <c r="E40" s="2508" t="s">
        <v>649</v>
      </c>
      <c r="F40" s="2504">
        <f ca="1">INDIRECT("'数据-取费表'!Am"&amp;$G$1)</f>
        <v>0.01</v>
      </c>
      <c r="G40" s="2045"/>
      <c r="H40" s="2060"/>
      <c r="I40" s="2064"/>
      <c r="J40" s="1971"/>
      <c r="K40" s="2066"/>
      <c r="L40" s="2060"/>
      <c r="M40" s="2060"/>
    </row>
    <row r="41" spans="1:18" ht="18" customHeight="1" thickTop="1">
      <c r="A41" s="1812">
        <v>4</v>
      </c>
      <c r="B41" s="1810" t="s">
        <v>692</v>
      </c>
      <c r="C41" s="1349"/>
      <c r="D41" s="1350"/>
      <c r="E41" s="1350"/>
      <c r="F41" s="1351"/>
      <c r="G41" s="2045"/>
      <c r="H41" s="2045"/>
      <c r="I41" s="2045"/>
      <c r="J41" s="2045"/>
      <c r="K41" s="2066"/>
      <c r="L41" s="2045"/>
      <c r="M41" s="2045"/>
    </row>
    <row r="42" spans="1:18" ht="18" customHeight="1">
      <c r="A42" s="803" t="s">
        <v>1875</v>
      </c>
      <c r="B42" s="835" t="s">
        <v>693</v>
      </c>
      <c r="C42" s="829">
        <f ca="1">C7-C32</f>
        <v>611</v>
      </c>
      <c r="D42" s="1962" t="s">
        <v>694</v>
      </c>
      <c r="E42" s="1964"/>
      <c r="F42" s="820"/>
      <c r="G42" s="2045"/>
      <c r="H42" s="2045"/>
      <c r="I42" s="2045"/>
      <c r="J42" s="2045"/>
      <c r="K42" s="2066"/>
      <c r="L42" s="2045"/>
      <c r="M42" s="2045"/>
    </row>
    <row r="43" spans="1:18" ht="18" customHeight="1">
      <c r="A43" s="803" t="s">
        <v>1876</v>
      </c>
      <c r="B43" s="835" t="s">
        <v>711</v>
      </c>
      <c r="C43" s="836">
        <f ca="1">ROUND(C15*F43,0)</f>
        <v>364</v>
      </c>
      <c r="D43" s="1352" t="s">
        <v>712</v>
      </c>
      <c r="E43" s="3070" t="s">
        <v>2955</v>
      </c>
      <c r="F43" s="3071">
        <f ca="1">INDIRECT("'数据-取费表'!j"&amp;$G$1)</f>
        <v>0.08</v>
      </c>
      <c r="G43" s="2045"/>
      <c r="H43" s="2045"/>
      <c r="I43" s="2045"/>
      <c r="J43" s="2045"/>
      <c r="K43" s="2066"/>
      <c r="L43" s="2045"/>
      <c r="M43" s="2045"/>
    </row>
    <row r="44" spans="1:18" ht="18" customHeight="1">
      <c r="A44" s="803" t="s">
        <v>1877</v>
      </c>
      <c r="B44" s="835" t="s">
        <v>713</v>
      </c>
      <c r="C44" s="1353">
        <f ca="1">C42-C43</f>
        <v>247</v>
      </c>
      <c r="D44" s="463" t="s">
        <v>714</v>
      </c>
      <c r="E44" s="464"/>
      <c r="F44" s="465"/>
      <c r="G44" s="2045"/>
      <c r="H44" s="2045"/>
      <c r="I44" s="2045"/>
      <c r="J44" s="2045"/>
      <c r="K44" s="2066"/>
      <c r="L44" s="2045"/>
      <c r="M44" s="2045"/>
    </row>
    <row r="45" spans="1:18" ht="18" customHeight="1">
      <c r="A45" s="803" t="s">
        <v>1878</v>
      </c>
      <c r="B45" s="1352" t="s">
        <v>715</v>
      </c>
      <c r="C45" s="2988">
        <f ca="1">ROUND(-PV(F45,F46,C44,0),0)</f>
        <v>3892</v>
      </c>
      <c r="D45" s="1354" t="s">
        <v>716</v>
      </c>
      <c r="E45" s="806" t="s">
        <v>717</v>
      </c>
      <c r="F45" s="830">
        <f ca="1">INDIRECT("'数据-取费表'!h"&amp;$G$1)</f>
        <v>0.05</v>
      </c>
      <c r="G45" s="2045"/>
      <c r="H45" s="2045"/>
      <c r="I45" s="2045"/>
      <c r="J45" s="2045"/>
      <c r="K45" s="2066"/>
      <c r="L45" s="2045"/>
      <c r="M45" s="2045"/>
    </row>
    <row r="46" spans="1:18" ht="18" customHeight="1" thickBot="1">
      <c r="A46" s="831"/>
      <c r="B46" s="1355"/>
      <c r="C46" s="1356"/>
      <c r="D46" s="1357"/>
      <c r="E46" s="3072" t="s">
        <v>2958</v>
      </c>
      <c r="F46" s="828">
        <f ca="1">IF(INDIRECT("'数据-取费表'!af"&amp;$G$1)=0,INDIRECT("'数据-取费表'!ae"&amp;$G$1),INDIRECT("'数据-取费表'!af"&amp;$G$1))</f>
        <v>31.78</v>
      </c>
      <c r="G46" s="2045"/>
      <c r="H46" s="2045"/>
      <c r="I46" s="2045"/>
      <c r="J46" s="2045"/>
      <c r="K46" s="2066"/>
      <c r="L46" s="2045"/>
      <c r="M46" s="2045"/>
    </row>
    <row r="47" spans="1:18" s="2042" customFormat="1" ht="18" customHeight="1" thickBot="1">
      <c r="A47" s="2067"/>
      <c r="D47" s="2068"/>
      <c r="E47" s="2068"/>
      <c r="F47" s="2068"/>
      <c r="I47" s="2340" t="s">
        <v>2340</v>
      </c>
      <c r="J47" s="2341"/>
      <c r="K47" s="2342"/>
      <c r="L47" s="3104" t="e">
        <f ca="1">IF(M48="住宅",0,IF(L49&gt;J52,L61,J61))</f>
        <v>#DIV/0!</v>
      </c>
      <c r="O47" s="2356" t="s">
        <v>2407</v>
      </c>
      <c r="P47" s="1578"/>
      <c r="Q47" s="1589"/>
      <c r="R47" s="1578"/>
    </row>
    <row r="48" spans="1:18" s="2042" customFormat="1" ht="18" customHeight="1" thickBot="1">
      <c r="A48" s="2067"/>
      <c r="C48" s="2070"/>
      <c r="D48" s="2071"/>
      <c r="E48" s="2071"/>
      <c r="F48" s="2072"/>
      <c r="G48" s="2073"/>
      <c r="I48" s="3095" t="s">
        <v>2341</v>
      </c>
      <c r="J48" s="2343"/>
      <c r="K48" s="3101" t="s">
        <v>2346</v>
      </c>
      <c r="L48" s="3105">
        <f ca="1">INDIRECT("'数据-取费表'!d"&amp;$G$1)</f>
        <v>40</v>
      </c>
      <c r="M48" s="3069" t="str">
        <f>IF(ISNUMBER(FIND("住宅",C1)),"住宅","非住宅")</f>
        <v>非住宅</v>
      </c>
      <c r="O48" s="2357" t="s">
        <v>2372</v>
      </c>
      <c r="P48" s="2358" t="s">
        <v>2373</v>
      </c>
      <c r="Q48" s="2359" t="s">
        <v>2374</v>
      </c>
      <c r="R48" s="2358" t="s">
        <v>2375</v>
      </c>
    </row>
    <row r="49" spans="1:18" s="2042" customFormat="1" ht="18" customHeight="1" thickBot="1">
      <c r="A49" s="2067"/>
      <c r="D49" s="2074"/>
      <c r="E49" s="2075"/>
      <c r="F49" s="2072"/>
      <c r="G49" s="2073"/>
      <c r="H49" s="2076"/>
      <c r="I49" s="3074" t="s">
        <v>2342</v>
      </c>
      <c r="J49" s="2344"/>
      <c r="K49" s="3102" t="s">
        <v>2348</v>
      </c>
      <c r="L49" s="1891">
        <f ca="1">INDIRECT("'数据-取费表'!f"&amp;$G$1)</f>
        <v>33.78</v>
      </c>
      <c r="O49" s="2360" t="s">
        <v>2376</v>
      </c>
      <c r="P49" s="2361" t="s">
        <v>2402</v>
      </c>
      <c r="Q49" s="2362">
        <f ca="1">C41+J31</f>
        <v>0</v>
      </c>
      <c r="R49" s="2361" t="s">
        <v>2377</v>
      </c>
    </row>
    <row r="50" spans="1:18" s="2042" customFormat="1" ht="18" customHeight="1" thickBot="1">
      <c r="A50" s="2067"/>
      <c r="D50" s="2077"/>
      <c r="E50" s="2077"/>
      <c r="F50" s="2071"/>
      <c r="G50" s="2078"/>
      <c r="H50" s="2076"/>
      <c r="I50" s="3074" t="s">
        <v>2343</v>
      </c>
      <c r="J50" s="2345"/>
      <c r="K50" s="3103" t="s">
        <v>2349</v>
      </c>
      <c r="L50" s="2346"/>
      <c r="O50" s="2360" t="s">
        <v>2378</v>
      </c>
      <c r="P50" s="2361" t="s">
        <v>2403</v>
      </c>
      <c r="Q50" s="2362" t="str">
        <f ca="1">J61</f>
        <v>0</v>
      </c>
      <c r="R50" s="2361" t="s">
        <v>2379</v>
      </c>
    </row>
    <row r="51" spans="1:18" s="2042" customFormat="1" ht="18" customHeight="1" thickBot="1">
      <c r="A51" s="2079"/>
      <c r="D51" s="2077"/>
      <c r="E51" s="2077"/>
      <c r="F51" s="2068"/>
      <c r="H51" s="2076"/>
      <c r="I51" s="3074" t="s">
        <v>2344</v>
      </c>
      <c r="J51" s="3099">
        <f>SUMPRODUCT((I64:I66=J48)*(J63:L63=J49)*(J64:L66))</f>
        <v>0</v>
      </c>
      <c r="K51" s="3103" t="s">
        <v>2350</v>
      </c>
      <c r="L51" s="2346"/>
      <c r="O51" s="2363" t="s">
        <v>2380</v>
      </c>
      <c r="P51" s="2361" t="s">
        <v>2404</v>
      </c>
      <c r="Q51" s="2362">
        <f ca="1">C31</f>
        <v>4550</v>
      </c>
      <c r="R51" s="2361" t="s">
        <v>2377</v>
      </c>
    </row>
    <row r="52" spans="1:18" s="2042" customFormat="1" ht="18" customHeight="1" thickBot="1">
      <c r="A52" s="2079"/>
      <c r="F52" s="2068"/>
      <c r="I52" s="3096" t="s">
        <v>2345</v>
      </c>
      <c r="J52" s="3100">
        <f>IF(J50="",J51,J50+J51-YEAR('数据-取费表'!B3))</f>
        <v>0</v>
      </c>
      <c r="K52" s="3074" t="s">
        <v>2351</v>
      </c>
      <c r="L52" s="3106">
        <f ca="1">ROUND(-PV(INDIRECT("'数据-取费表'!h"&amp;$G$1),L49,(C40-C14*J36),0),0)</f>
        <v>134</v>
      </c>
      <c r="O52" s="2363" t="s">
        <v>2381</v>
      </c>
      <c r="P52" s="2361" t="s">
        <v>2382</v>
      </c>
      <c r="Q52" s="2364" t="e">
        <f ca="1">J59</f>
        <v>#VALUE!</v>
      </c>
      <c r="R52" s="2365"/>
    </row>
    <row r="53" spans="1:18" s="2042" customFormat="1" ht="18" customHeight="1" thickBot="1">
      <c r="A53" s="2079"/>
      <c r="F53" s="2068"/>
      <c r="I53" s="3097" t="s">
        <v>2418</v>
      </c>
      <c r="J53" s="2347"/>
      <c r="K53" s="3097" t="s">
        <v>2417</v>
      </c>
      <c r="L53" s="2347"/>
      <c r="O53" s="2363" t="s">
        <v>2383</v>
      </c>
      <c r="P53" s="2361" t="s">
        <v>2384</v>
      </c>
      <c r="Q53" s="2364">
        <f>J53</f>
        <v>0</v>
      </c>
      <c r="R53" s="2365"/>
    </row>
    <row r="54" spans="1:18" s="2042" customFormat="1" ht="31.8" thickBot="1">
      <c r="A54" s="2079"/>
      <c r="I54" s="3098" t="s">
        <v>2971</v>
      </c>
      <c r="J54" s="3177">
        <f ca="1">IF(M48="住宅",MAX(J52,L49-'数据-取费表'!B20),MIN(J52,L49-'数据-取费表'!B20))</f>
        <v>0</v>
      </c>
      <c r="K54" s="3466"/>
      <c r="L54" s="3467"/>
      <c r="O54" s="2363" t="s">
        <v>2385</v>
      </c>
      <c r="P54" s="2361" t="s">
        <v>2386</v>
      </c>
      <c r="Q54" s="2362">
        <f ca="1">J54</f>
        <v>0</v>
      </c>
      <c r="R54" s="2361" t="s">
        <v>2387</v>
      </c>
    </row>
    <row r="55" spans="1:18" s="2042" customFormat="1" ht="18" customHeight="1" thickBot="1">
      <c r="A55" s="2079"/>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60" t="s">
        <v>2388</v>
      </c>
      <c r="P55" s="2361" t="s">
        <v>2405</v>
      </c>
      <c r="Q55" s="2362">
        <f ca="1">Q49+Q50</f>
        <v>0</v>
      </c>
      <c r="R55" s="2365" t="s">
        <v>2389</v>
      </c>
    </row>
    <row r="56" spans="1:18" s="2042" customFormat="1" ht="16.2" thickBot="1">
      <c r="A56" s="2079"/>
      <c r="B56" s="2080"/>
      <c r="C56" s="2080"/>
      <c r="I56" s="3109" t="s">
        <v>2352</v>
      </c>
      <c r="J56" s="3049" t="e">
        <f ca="1">ROUND(IF(J48="钢混",J58/J51,1-(1-2%)*(J51-J58)/J51),3)</f>
        <v>#VALUE!</v>
      </c>
      <c r="K56" s="3110" t="s">
        <v>2353</v>
      </c>
      <c r="L56" s="2348"/>
      <c r="O56" s="2366" t="s">
        <v>2408</v>
      </c>
      <c r="P56" s="1578"/>
      <c r="Q56" s="1589"/>
      <c r="R56" s="1578"/>
    </row>
    <row r="57" spans="1:18" s="2042" customFormat="1" ht="47.4" thickBot="1">
      <c r="A57" s="2079"/>
      <c r="B57" s="2080"/>
      <c r="C57" s="2080"/>
      <c r="I57" s="3111" t="s">
        <v>2354</v>
      </c>
      <c r="J57" s="3121" t="s">
        <v>1678</v>
      </c>
      <c r="K57" s="3074" t="s">
        <v>2359</v>
      </c>
      <c r="L57" s="1891">
        <f ca="1">IF(L49&lt;J52,"——",L49-J52)</f>
        <v>33.78</v>
      </c>
      <c r="O57" s="2357" t="s">
        <v>2372</v>
      </c>
      <c r="P57" s="2358" t="s">
        <v>2373</v>
      </c>
      <c r="Q57" s="2359" t="s">
        <v>2374</v>
      </c>
      <c r="R57" s="2358" t="s">
        <v>2375</v>
      </c>
    </row>
    <row r="58" spans="1:18" s="2042" customFormat="1" ht="31.8" thickBot="1">
      <c r="A58" s="2079"/>
      <c r="B58" s="2080"/>
      <c r="C58" s="2080"/>
      <c r="I58" s="3112" t="s">
        <v>2355</v>
      </c>
      <c r="J58" s="3113" t="str">
        <f ca="1">IF(OR(M48="住宅",J52&lt;L49,J57="是"),"——",J52-L49)</f>
        <v>——</v>
      </c>
      <c r="K58" s="3074" t="s">
        <v>2360</v>
      </c>
      <c r="L58" s="1891">
        <f ca="1">IF(L49&lt;J52,"——",IF(L56="比较法",L50,IF(L56="基准地价",L51,L52)))</f>
        <v>134</v>
      </c>
      <c r="O58" s="2360" t="s">
        <v>2376</v>
      </c>
      <c r="P58" s="2361" t="s">
        <v>2402</v>
      </c>
      <c r="Q58" s="2362">
        <f ca="1">C41+J31</f>
        <v>0</v>
      </c>
      <c r="R58" s="2361" t="s">
        <v>2377</v>
      </c>
    </row>
    <row r="59" spans="1:18" s="2042" customFormat="1" ht="31.8" thickBot="1">
      <c r="A59" s="2079"/>
      <c r="B59" s="2080"/>
      <c r="C59" s="2080"/>
      <c r="I59" s="3112" t="s">
        <v>2356</v>
      </c>
      <c r="J59" s="3050" t="e">
        <f ca="1">IF(J56&lt;0.4,0.4,J56)</f>
        <v>#VALUE!</v>
      </c>
      <c r="K59" s="3074" t="s">
        <v>2361</v>
      </c>
      <c r="L59" s="1891">
        <f ca="1">IF(ISERROR(POWER(1+L53,L48-L49)*(POWER(1+L53,L49)-1)/(POWER(1+L53,L48)-1)),0,POWER(1+L53,L48-L49)*(POWER(1+L53,L49)-1)/(POWER(1+L53,L48)-1))</f>
        <v>0</v>
      </c>
      <c r="O59" s="2360" t="s">
        <v>2378</v>
      </c>
      <c r="P59" s="2361" t="s">
        <v>2409</v>
      </c>
      <c r="Q59" s="2362" t="e">
        <f ca="1">L61</f>
        <v>#DIV/0!</v>
      </c>
      <c r="R59" s="2365" t="s">
        <v>2411</v>
      </c>
    </row>
    <row r="60" spans="1:18" s="2042" customFormat="1" ht="31.8" thickBot="1">
      <c r="A60" s="2079"/>
      <c r="B60" s="2080"/>
      <c r="C60" s="2080"/>
      <c r="I60" s="3112" t="s">
        <v>2357</v>
      </c>
      <c r="J60" s="3113" t="str">
        <f ca="1">IF(OR(M48="住宅",J52&lt;L49,J57="是"),"——",ROUND(C30*J59,0))</f>
        <v>——</v>
      </c>
      <c r="K60" s="3074" t="s">
        <v>2362</v>
      </c>
      <c r="L60" s="1891">
        <f ca="1">IF(ISERROR(POWER(1+L53,L48-J52)*(POWER(1+L53,J52)-1)/(POWER(1+L53,L48)-1)),0,POWER(1+L53,L48-J52)*(POWER(1+L53,J52)-1)/(POWER(1+L53,L48)-1))</f>
        <v>0</v>
      </c>
      <c r="O60" s="2363" t="s">
        <v>2380</v>
      </c>
      <c r="P60" s="2361" t="s">
        <v>2410</v>
      </c>
      <c r="Q60" s="2362">
        <f>IF(L56="比较法",L50,IF(L56="基准地价",L51,0))</f>
        <v>0</v>
      </c>
      <c r="R60" s="2361" t="s">
        <v>2377</v>
      </c>
    </row>
    <row r="61" spans="1:18" s="2042" customFormat="1" ht="16.2" thickBot="1">
      <c r="A61" s="2079"/>
      <c r="B61" s="2080"/>
      <c r="C61" s="2080"/>
      <c r="I61" s="3114" t="s">
        <v>2358</v>
      </c>
      <c r="J61" s="3115" t="str">
        <f ca="1">IF(OR(M48="住宅",J52&lt;L49,J57="是"),"0",ROUND(J60/(1+J53)^J54,0))</f>
        <v>0</v>
      </c>
      <c r="K61" s="3116" t="s">
        <v>2363</v>
      </c>
      <c r="L61" s="3115" t="e">
        <f ca="1">IF(OR(M48="住宅",L49&lt;J52),0,ROUND(L58*(L59/L60-1),0))</f>
        <v>#DIV/0!</v>
      </c>
      <c r="O61" s="2363" t="s">
        <v>2381</v>
      </c>
      <c r="P61" s="2361" t="s">
        <v>2390</v>
      </c>
      <c r="Q61" s="2364">
        <f>L53</f>
        <v>0</v>
      </c>
      <c r="R61" s="2365"/>
    </row>
    <row r="62" spans="1:18" s="2042" customFormat="1" ht="19.2" thickBot="1">
      <c r="A62" s="2079"/>
      <c r="B62" s="2080"/>
      <c r="C62" s="2080"/>
      <c r="K62" s="2069"/>
      <c r="O62" s="2363" t="s">
        <v>2383</v>
      </c>
      <c r="P62" s="2361" t="s">
        <v>2391</v>
      </c>
      <c r="Q62" s="2362">
        <f ca="1">L59</f>
        <v>0</v>
      </c>
      <c r="R62" s="2365" t="s">
        <v>2392</v>
      </c>
    </row>
    <row r="63" spans="1:18" s="2042" customFormat="1" ht="19.2" thickBot="1">
      <c r="A63" s="2079"/>
      <c r="B63" s="2080"/>
      <c r="C63" s="2080"/>
      <c r="I63" s="3117" t="s">
        <v>2364</v>
      </c>
      <c r="J63" s="3118" t="s">
        <v>2365</v>
      </c>
      <c r="K63" s="3118" t="s">
        <v>2366</v>
      </c>
      <c r="L63" s="3118" t="s">
        <v>2347</v>
      </c>
      <c r="M63" s="3119" t="s">
        <v>2936</v>
      </c>
      <c r="O63" s="2363" t="s">
        <v>2385</v>
      </c>
      <c r="P63" s="2361" t="s">
        <v>2393</v>
      </c>
      <c r="Q63" s="2362">
        <f ca="1">L60</f>
        <v>0</v>
      </c>
      <c r="R63" s="2365" t="s">
        <v>2394</v>
      </c>
    </row>
    <row r="64" spans="1:18" s="2042" customFormat="1" ht="16.2" thickBot="1">
      <c r="A64" s="2079"/>
      <c r="B64" s="2080"/>
      <c r="C64" s="2080"/>
      <c r="I64" s="3117" t="s">
        <v>2367</v>
      </c>
      <c r="J64" s="3118">
        <v>70</v>
      </c>
      <c r="K64" s="3118">
        <v>50</v>
      </c>
      <c r="L64" s="3118">
        <v>80</v>
      </c>
      <c r="M64" s="3120">
        <v>0.02</v>
      </c>
      <c r="O64" s="2360" t="s">
        <v>2388</v>
      </c>
      <c r="P64" s="2361" t="s">
        <v>2405</v>
      </c>
      <c r="Q64" s="2362" t="e">
        <f ca="1">Q58+Q59</f>
        <v>#DIV/0!</v>
      </c>
      <c r="R64" s="2365" t="s">
        <v>2389</v>
      </c>
    </row>
    <row r="65" spans="1:18" s="2042" customFormat="1" ht="16.2" thickBot="1">
      <c r="A65" s="2079"/>
      <c r="B65" s="2080"/>
      <c r="C65" s="2080"/>
      <c r="I65" s="3117" t="s">
        <v>2368</v>
      </c>
      <c r="J65" s="3118">
        <v>50</v>
      </c>
      <c r="K65" s="3118">
        <v>35</v>
      </c>
      <c r="L65" s="3118">
        <v>60</v>
      </c>
      <c r="M65" s="846">
        <v>0</v>
      </c>
      <c r="O65" s="2366" t="s">
        <v>2412</v>
      </c>
      <c r="P65" s="1578"/>
      <c r="Q65" s="1589"/>
      <c r="R65" s="1578"/>
    </row>
    <row r="66" spans="1:18" s="2042" customFormat="1" ht="16.2" thickBot="1">
      <c r="A66" s="2079"/>
      <c r="B66" s="2080"/>
      <c r="C66" s="2080"/>
      <c r="I66" s="3117" t="s">
        <v>2369</v>
      </c>
      <c r="J66" s="3118">
        <v>40</v>
      </c>
      <c r="K66" s="3118">
        <v>30</v>
      </c>
      <c r="L66" s="3118">
        <v>50</v>
      </c>
      <c r="M66" s="3120">
        <v>0.02</v>
      </c>
      <c r="O66" s="2357" t="s">
        <v>2372</v>
      </c>
      <c r="P66" s="2358" t="s">
        <v>2373</v>
      </c>
      <c r="Q66" s="2359" t="s">
        <v>2374</v>
      </c>
      <c r="R66" s="2358" t="s">
        <v>2375</v>
      </c>
    </row>
    <row r="67" spans="1:18" s="2042" customFormat="1" ht="16.2" thickBot="1">
      <c r="A67" s="2079"/>
      <c r="B67" s="2080"/>
      <c r="C67" s="2080"/>
      <c r="K67" s="2069"/>
      <c r="O67" s="2360" t="s">
        <v>2376</v>
      </c>
      <c r="P67" s="2361" t="s">
        <v>2402</v>
      </c>
      <c r="Q67" s="2362">
        <f ca="1">C41+J31</f>
        <v>0</v>
      </c>
      <c r="R67" s="2361" t="s">
        <v>2377</v>
      </c>
    </row>
    <row r="68" spans="1:18" s="2042" customFormat="1" ht="19.2" thickBot="1">
      <c r="A68" s="2079"/>
      <c r="B68" s="2080"/>
      <c r="C68" s="2080"/>
      <c r="K68" s="2069"/>
      <c r="O68" s="2360" t="s">
        <v>2378</v>
      </c>
      <c r="P68" s="2361" t="s">
        <v>2409</v>
      </c>
      <c r="Q68" s="2362" t="e">
        <f ca="1">L61</f>
        <v>#DIV/0!</v>
      </c>
      <c r="R68" s="2365" t="s">
        <v>2411</v>
      </c>
    </row>
    <row r="69" spans="1:18" s="2042" customFormat="1" ht="20.399999999999999" thickBot="1">
      <c r="A69" s="2079"/>
      <c r="B69" s="2080"/>
      <c r="C69" s="2080"/>
      <c r="K69" s="2069"/>
      <c r="O69" s="2363" t="s">
        <v>2380</v>
      </c>
      <c r="P69" s="2361" t="s">
        <v>2410</v>
      </c>
      <c r="Q69" s="2367">
        <f ca="1">L52</f>
        <v>134</v>
      </c>
      <c r="R69" s="2368" t="s">
        <v>2413</v>
      </c>
    </row>
    <row r="70" spans="1:18" s="2042" customFormat="1" ht="19.2" thickBot="1">
      <c r="A70" s="2079"/>
      <c r="B70" s="2080"/>
      <c r="C70" s="2080"/>
      <c r="K70" s="2069"/>
      <c r="O70" s="2363" t="s">
        <v>2381</v>
      </c>
      <c r="P70" s="2369" t="s">
        <v>2395</v>
      </c>
      <c r="Q70" s="2362">
        <f ca="1">ROUND(Q71-Q72*Q73,0)</f>
        <v>247</v>
      </c>
      <c r="R70" s="2365"/>
    </row>
    <row r="71" spans="1:18" s="2042" customFormat="1" ht="16.2" thickBot="1">
      <c r="A71" s="2079"/>
      <c r="B71" s="2080"/>
      <c r="C71" s="2080"/>
      <c r="K71" s="2069"/>
      <c r="O71" s="2363" t="s">
        <v>2396</v>
      </c>
      <c r="P71" s="2369" t="s">
        <v>2397</v>
      </c>
      <c r="Q71" s="2362">
        <f ca="1">C42</f>
        <v>611</v>
      </c>
      <c r="R71" s="2361" t="s">
        <v>2377</v>
      </c>
    </row>
    <row r="72" spans="1:18" s="2042" customFormat="1" ht="16.2" thickBot="1">
      <c r="A72" s="2079"/>
      <c r="B72" s="2080"/>
      <c r="C72" s="2080"/>
      <c r="K72" s="2069"/>
      <c r="O72" s="2363" t="s">
        <v>2398</v>
      </c>
      <c r="P72" s="2369" t="s">
        <v>2399</v>
      </c>
      <c r="Q72" s="2362">
        <f ca="1">C15</f>
        <v>4550</v>
      </c>
      <c r="R72" s="2361" t="s">
        <v>2377</v>
      </c>
    </row>
    <row r="73" spans="1:18" s="2042" customFormat="1" ht="16.2" thickBot="1">
      <c r="A73" s="2079"/>
      <c r="B73" s="2080"/>
      <c r="C73" s="2080"/>
      <c r="K73" s="2069"/>
      <c r="O73" s="2363" t="s">
        <v>2400</v>
      </c>
      <c r="P73" s="2369" t="s">
        <v>2401</v>
      </c>
      <c r="Q73" s="2364">
        <f ca="1">F43</f>
        <v>0.08</v>
      </c>
      <c r="R73" s="2365"/>
    </row>
    <row r="74" spans="1:18" s="2042" customFormat="1" ht="16.2" thickBot="1">
      <c r="A74" s="2079"/>
      <c r="B74" s="2080"/>
      <c r="C74" s="2080"/>
      <c r="K74" s="2069"/>
      <c r="O74" s="2363" t="s">
        <v>2383</v>
      </c>
      <c r="P74" s="2361" t="s">
        <v>2390</v>
      </c>
      <c r="Q74" s="2364">
        <f>L53</f>
        <v>0</v>
      </c>
      <c r="R74" s="2365"/>
    </row>
    <row r="75" spans="1:18" s="2042" customFormat="1" ht="19.2" thickBot="1">
      <c r="A75" s="2079"/>
      <c r="B75" s="2080"/>
      <c r="C75" s="2080"/>
      <c r="K75" s="2069"/>
      <c r="O75" s="2363" t="s">
        <v>2385</v>
      </c>
      <c r="P75" s="2361" t="s">
        <v>2391</v>
      </c>
      <c r="Q75" s="2362">
        <f ca="1">L59</f>
        <v>0</v>
      </c>
      <c r="R75" s="2365" t="s">
        <v>2392</v>
      </c>
    </row>
    <row r="76" spans="1:18" s="2042" customFormat="1" ht="19.2" thickBot="1">
      <c r="A76" s="2079"/>
      <c r="B76" s="2080"/>
      <c r="C76" s="2080"/>
      <c r="K76" s="2069"/>
      <c r="O76" s="2363" t="s">
        <v>2414</v>
      </c>
      <c r="P76" s="2361" t="s">
        <v>2393</v>
      </c>
      <c r="Q76" s="2362">
        <f ca="1">L60</f>
        <v>0</v>
      </c>
      <c r="R76" s="2365" t="s">
        <v>2394</v>
      </c>
    </row>
    <row r="77" spans="1:18" s="2042" customFormat="1" ht="16.2" thickBot="1">
      <c r="A77" s="2079"/>
      <c r="B77" s="2080"/>
      <c r="C77" s="2080"/>
      <c r="K77" s="2069"/>
      <c r="O77" s="2360" t="s">
        <v>2388</v>
      </c>
      <c r="P77" s="2361" t="s">
        <v>2405</v>
      </c>
      <c r="Q77" s="2362" t="e">
        <f ca="1">Q67+Q68</f>
        <v>#DIV/0!</v>
      </c>
      <c r="R77" s="2365" t="s">
        <v>2389</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workbookViewId="0">
      <selection activeCell="N18" sqref="N18"/>
    </sheetView>
  </sheetViews>
  <sheetFormatPr defaultColWidth="6.6640625" defaultRowHeight="13.2"/>
  <cols>
    <col min="1" max="1" width="9.77734375" style="2107" customWidth="1"/>
    <col min="2" max="2" width="25.77734375" style="2097" customWidth="1"/>
    <col min="3" max="3" width="10.33203125" style="2108" customWidth="1"/>
    <col min="4" max="4" width="12" style="2097" customWidth="1"/>
    <col min="5" max="5" width="9.44140625" style="2107" customWidth="1"/>
    <col min="6" max="6" width="10.109375" style="2097" customWidth="1"/>
    <col min="7" max="7" width="11.66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31" s="2024" customFormat="1" ht="21">
      <c r="A1" s="2086" t="s">
        <v>466</v>
      </c>
      <c r="B1" s="2762"/>
      <c r="C1" s="2087"/>
      <c r="D1" s="2087"/>
      <c r="E1" s="2087"/>
      <c r="F1" s="2087"/>
      <c r="G1" s="2087"/>
      <c r="H1" s="2087"/>
      <c r="I1" s="2087"/>
      <c r="J1" s="2087"/>
      <c r="K1" s="422">
        <f>MATCH(B1,'数据-取费表'!A6:A16,0)+5</f>
        <v>10</v>
      </c>
    </row>
    <row r="2" spans="1:31" s="2024" customFormat="1" ht="18" customHeight="1">
      <c r="A2" s="2084" t="s">
        <v>467</v>
      </c>
      <c r="B2" s="2088">
        <f ca="1">C36</f>
        <v>17836</v>
      </c>
      <c r="C2" s="2087"/>
      <c r="D2" s="2087"/>
      <c r="E2" s="2087"/>
      <c r="F2" s="2087"/>
      <c r="G2" s="2087"/>
      <c r="H2" s="2087"/>
      <c r="I2" s="2087"/>
      <c r="J2" s="2087"/>
      <c r="K2" s="2087"/>
    </row>
    <row r="3" spans="1:31" s="2024" customFormat="1" ht="18" customHeight="1">
      <c r="A3" s="2089" t="s">
        <v>1683</v>
      </c>
      <c r="B3" s="2090">
        <f ca="1">ROUND(B2*10000/IF(B1="",'数据-汇总表'!E3,INDIRECT("'数据-取费表'!K"&amp;$K$1)),0)</f>
        <v>1563</v>
      </c>
      <c r="C3" s="2087"/>
      <c r="D3" s="2087"/>
      <c r="E3" s="2087"/>
      <c r="F3" s="2087"/>
      <c r="G3" s="2087"/>
      <c r="H3" s="2087"/>
      <c r="I3" s="2087"/>
      <c r="J3" s="2087"/>
      <c r="K3" s="2087"/>
    </row>
    <row r="4" spans="1:31" s="2024" customFormat="1" ht="18" customHeight="1">
      <c r="A4" s="426" t="s">
        <v>468</v>
      </c>
      <c r="B4" s="427">
        <f ca="1">ROUND(B2*10000/IF(B1="",'数据-汇总表'!D3,INDIRECT("'数据-取费表'!R"&amp;$K$1)),0)</f>
        <v>7990</v>
      </c>
      <c r="C4" s="428"/>
      <c r="D4" s="422"/>
      <c r="E4" s="422"/>
      <c r="F4" s="422"/>
      <c r="G4" s="422"/>
      <c r="H4" s="422"/>
      <c r="I4" s="422"/>
      <c r="J4" s="422"/>
      <c r="K4" s="422"/>
    </row>
    <row r="5" spans="1:31" s="2024" customFormat="1" ht="18" customHeight="1" thickBot="1">
      <c r="A5" s="429"/>
      <c r="B5" s="430">
        <f ca="1">ROUND(B2/(IF(B1="",'数据-汇总表'!D3,INDIRECT("'数据-取费表'!R"&amp;$K$1))/666.67),0)</f>
        <v>533</v>
      </c>
      <c r="C5" s="431" t="s">
        <v>469</v>
      </c>
      <c r="D5" s="422"/>
      <c r="E5" s="422"/>
      <c r="F5" s="422"/>
      <c r="G5" s="422"/>
      <c r="H5" s="422"/>
      <c r="I5" s="422"/>
      <c r="J5" s="422"/>
      <c r="K5" s="422"/>
    </row>
    <row r="6" spans="1:31" s="2094" customFormat="1" ht="16.5" customHeight="1">
      <c r="A6" s="2781" t="s">
        <v>1841</v>
      </c>
      <c r="B6" s="2782"/>
      <c r="C6" s="2783">
        <f ca="1">SUM(C10:K10)</f>
        <v>65862</v>
      </c>
      <c r="D6" s="2782"/>
      <c r="E6" s="2782"/>
      <c r="F6" s="2782"/>
      <c r="G6" s="2782"/>
      <c r="H6" s="2782"/>
      <c r="I6" s="2782"/>
      <c r="J6" s="2782"/>
      <c r="K6" s="2784"/>
    </row>
    <row r="7" spans="1:31" s="2096" customFormat="1" ht="14.4">
      <c r="A7" s="2785" t="s">
        <v>470</v>
      </c>
      <c r="B7" s="2786" t="s">
        <v>471</v>
      </c>
      <c r="C7" s="436" t="s">
        <v>3156</v>
      </c>
      <c r="D7" s="436" t="s">
        <v>3154</v>
      </c>
      <c r="E7" s="436" t="s">
        <v>3158</v>
      </c>
      <c r="F7" s="436" t="s">
        <v>3132</v>
      </c>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1844</v>
      </c>
      <c r="B8" s="261" t="s">
        <v>472</v>
      </c>
      <c r="C8" s="2787">
        <v>5000</v>
      </c>
      <c r="D8" s="2787">
        <v>6000</v>
      </c>
      <c r="E8" s="2787">
        <v>5000</v>
      </c>
      <c r="F8" s="2787">
        <f ca="1">不动产收益法!B3</f>
        <v>8698</v>
      </c>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1845</v>
      </c>
      <c r="B9" s="261" t="s">
        <v>473</v>
      </c>
      <c r="C9" s="441">
        <f>SUMIF('数据-汇总表'!$C19:$C33,'剩余法-待开发'!C7,'数据-汇总表'!$E19:$E33)</f>
        <v>47520</v>
      </c>
      <c r="D9" s="441">
        <f>SUMIF('数据-汇总表'!$C19:$C33,'剩余法-待开发'!D7,'数据-汇总表'!$E19:$E33)</f>
        <v>39200</v>
      </c>
      <c r="E9" s="441">
        <f>SUMIF('数据-汇总表'!$C19:$C33,'剩余法-待开发'!E7,'数据-汇总表'!$E19:$E33)</f>
        <v>14200</v>
      </c>
      <c r="F9" s="441">
        <f>SUMIF('数据-汇总表'!$C19:$C33,'剩余法-待开发'!F7,'数据-汇总表'!$E19:$E33)</f>
        <v>13200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1846</v>
      </c>
      <c r="B10" s="2775" t="s">
        <v>474</v>
      </c>
      <c r="C10" s="2979">
        <f>C8*C9/10000</f>
        <v>23760</v>
      </c>
      <c r="D10" s="2979">
        <f>D8*D9/10000</f>
        <v>23520</v>
      </c>
      <c r="E10" s="2979">
        <f>E8*E9/10000</f>
        <v>7100</v>
      </c>
      <c r="F10" s="2790">
        <f ca="1">不动产收益法!B2</f>
        <v>11482</v>
      </c>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1842</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1847</v>
      </c>
      <c r="B13" s="2796" t="s">
        <v>479</v>
      </c>
      <c r="C13" s="450">
        <f ca="1">IF(B1="",'数据-取费表'!P16,INDIRECT("'数据-取费表'!p"&amp;$K$1)+INDIRECT("'数据-取费表'!t"&amp;$K$1))</f>
        <v>23814</v>
      </c>
      <c r="D13" s="2797"/>
      <c r="E13" s="2798"/>
      <c r="F13" s="2799"/>
      <c r="G13" s="2765"/>
      <c r="H13" s="2766"/>
      <c r="I13" s="2766"/>
      <c r="J13" s="2766"/>
      <c r="K13" s="2767"/>
    </row>
    <row r="14" spans="1:31" s="2099" customFormat="1" ht="13.5" customHeight="1">
      <c r="A14" s="2795" t="s">
        <v>1848</v>
      </c>
      <c r="B14" s="2796" t="s">
        <v>480</v>
      </c>
      <c r="C14" s="53">
        <f ca="1">ROUND(C13*F14,0)</f>
        <v>714</v>
      </c>
      <c r="D14" s="2797"/>
      <c r="E14" s="2798"/>
      <c r="F14" s="2800">
        <f>'数据-取费表'!B33</f>
        <v>0.03</v>
      </c>
      <c r="G14" s="2765" t="s">
        <v>481</v>
      </c>
      <c r="H14" s="2766"/>
      <c r="I14" s="2766"/>
      <c r="J14" s="2766"/>
      <c r="K14" s="2767"/>
    </row>
    <row r="15" spans="1:31" s="2099" customFormat="1" ht="13.5" customHeight="1">
      <c r="A15" s="2795" t="s">
        <v>1849</v>
      </c>
      <c r="B15" s="2796" t="s">
        <v>482</v>
      </c>
      <c r="C15" s="53">
        <f ca="1">ROUND(IF(B1="",SUMIF('数据-取费表'!C:C,"住宅",'数据-取费表'!P:P)*F15,IF(INDIRECT("'数据-取费表'!c"&amp;$K$1)="住宅",INDIRECT("'数据-取费表'!P"&amp;$K$1)*F15,0)),0)</f>
        <v>627</v>
      </c>
      <c r="D15" s="2797"/>
      <c r="E15" s="2798"/>
      <c r="F15" s="2800">
        <f>'数据-取费表'!B34</f>
        <v>0.03</v>
      </c>
      <c r="G15" s="2765" t="s">
        <v>483</v>
      </c>
      <c r="H15" s="2766"/>
      <c r="I15" s="2766"/>
      <c r="J15" s="2766"/>
      <c r="K15" s="2767"/>
    </row>
    <row r="16" spans="1:31" s="2100" customFormat="1" ht="13.5" customHeight="1">
      <c r="A16" s="2795" t="s">
        <v>1850</v>
      </c>
      <c r="B16" s="2796" t="s">
        <v>484</v>
      </c>
      <c r="C16" s="53">
        <f ca="1">ROUND(D16*E16/10000,0)</f>
        <v>2282</v>
      </c>
      <c r="D16" s="2797">
        <f ca="1">IF(B1="",'数据-汇总表'!E3,INDIRECT("'数据-取费表'!K"&amp;$K$1)+INDIRECT("'数据-取费表'!S"&amp;$K$1))</f>
        <v>114120</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1851</v>
      </c>
      <c r="B17" s="2796" t="s">
        <v>485</v>
      </c>
      <c r="C17" s="2801">
        <f ca="1">ROUND(C13*F17,0)</f>
        <v>357</v>
      </c>
      <c r="D17" s="475"/>
      <c r="E17" s="2801"/>
      <c r="F17" s="2802">
        <f>'数据-取费表'!B36</f>
        <v>1.4999999999999999E-2</v>
      </c>
      <c r="G17" s="261" t="s">
        <v>486</v>
      </c>
      <c r="H17" s="2768"/>
      <c r="I17" s="2768"/>
      <c r="J17" s="2768"/>
      <c r="K17" s="279"/>
    </row>
    <row r="18" spans="1:14" s="2099" customFormat="1" ht="13.5" customHeight="1">
      <c r="A18" s="2803" t="s">
        <v>1852</v>
      </c>
      <c r="B18" s="2804" t="s">
        <v>487</v>
      </c>
      <c r="C18" s="2805">
        <f ca="1">SUM(C13:C17)</f>
        <v>27794</v>
      </c>
      <c r="D18" s="2806"/>
      <c r="E18" s="468"/>
      <c r="F18" s="468"/>
      <c r="G18" s="2769" t="s">
        <v>2427</v>
      </c>
      <c r="H18" s="2770"/>
      <c r="I18" s="2770"/>
      <c r="J18" s="2770"/>
      <c r="K18" s="2771"/>
    </row>
    <row r="19" spans="1:14" s="2099" customFormat="1" ht="13.5" customHeight="1">
      <c r="A19" s="2803" t="s">
        <v>1853</v>
      </c>
      <c r="B19" s="2804" t="s">
        <v>488</v>
      </c>
      <c r="C19" s="2761">
        <f ca="1">ROUND(D19*E19/10000,0)</f>
        <v>799</v>
      </c>
      <c r="D19" s="2807">
        <f ca="1">D16</f>
        <v>114120</v>
      </c>
      <c r="E19" s="2761">
        <f>'数据-取费表'!B32</f>
        <v>70</v>
      </c>
      <c r="F19" s="468"/>
      <c r="G19" s="2765" t="s">
        <v>489</v>
      </c>
      <c r="H19" s="2766"/>
      <c r="I19" s="2770"/>
      <c r="J19" s="2770"/>
      <c r="K19" s="2771"/>
    </row>
    <row r="20" spans="1:14" s="2099" customFormat="1" ht="13.5" customHeight="1">
      <c r="A20" s="2803" t="s">
        <v>1854</v>
      </c>
      <c r="B20" s="2804" t="s">
        <v>490</v>
      </c>
      <c r="C20" s="2761">
        <f ca="1">C21+C22-IF(B1="",'数据-取费表'!B29,IF(G20="已全部缴纳",C21+C22,H20))</f>
        <v>2055</v>
      </c>
      <c r="D20" s="2807"/>
      <c r="E20" s="2761"/>
      <c r="F20" s="2808"/>
      <c r="G20" s="3036"/>
      <c r="H20" s="2763"/>
      <c r="I20" s="2764" t="s">
        <v>2647</v>
      </c>
      <c r="J20" s="2770"/>
      <c r="K20" s="2771"/>
    </row>
    <row r="21" spans="1:14" s="2099" customFormat="1" ht="13.5" customHeight="1">
      <c r="A21" s="2795" t="s">
        <v>1855</v>
      </c>
      <c r="B21" s="2796" t="s">
        <v>491</v>
      </c>
      <c r="C21" s="53">
        <f ca="1">ROUND(D21*E21/10000,0)</f>
        <v>1817</v>
      </c>
      <c r="D21" s="2797">
        <f ca="1">IF(B1="",'数据-汇总表'!E5,IF(INDIRECT("'数据-取费表'!c"&amp;$K$1)="住宅",INDIRECT("'数据-取费表'!k"&amp;$K$1),0))</f>
        <v>100920</v>
      </c>
      <c r="E21" s="53">
        <f>'数据-取费表'!B27</f>
        <v>180</v>
      </c>
      <c r="F21" s="2800"/>
      <c r="G21" s="26"/>
      <c r="H21" s="51"/>
      <c r="I21" s="51"/>
      <c r="J21" s="51"/>
      <c r="K21" s="2772"/>
    </row>
    <row r="22" spans="1:14" s="2099" customFormat="1" ht="13.5" customHeight="1">
      <c r="A22" s="2795" t="s">
        <v>1856</v>
      </c>
      <c r="B22" s="2796" t="s">
        <v>492</v>
      </c>
      <c r="C22" s="53">
        <f ca="1">ROUND(D22*E22/10000,0)</f>
        <v>238</v>
      </c>
      <c r="D22" s="2797">
        <f ca="1">IF(B1="",'数据-汇总表'!E6,IF(INDIRECT("'数据-取费表'!c"&amp;$K$1)="住宅",INDIRECT("'数据-取费表'!s"&amp;$K$1),INDIRECT("'数据-取费表'!k"&amp;$K$1)+INDIRECT("'数据-取费表'!s"&amp;$K$1)))</f>
        <v>13200</v>
      </c>
      <c r="E22" s="53">
        <f>'数据-取费表'!B28</f>
        <v>180</v>
      </c>
      <c r="F22" s="2800"/>
      <c r="G22" s="26"/>
      <c r="H22" s="51"/>
      <c r="I22" s="51"/>
      <c r="J22" s="51"/>
      <c r="K22" s="2772"/>
    </row>
    <row r="23" spans="1:14" s="2099" customFormat="1" ht="13.5" customHeight="1">
      <c r="A23" s="2803" t="s">
        <v>1857</v>
      </c>
      <c r="B23" s="2985" t="s">
        <v>2830</v>
      </c>
      <c r="C23" s="2805">
        <f ca="1">ROUND((C18+C19+C20)*F23,0)</f>
        <v>613</v>
      </c>
      <c r="D23" s="468"/>
      <c r="E23" s="468"/>
      <c r="F23" s="2809">
        <f>'数据-取费表'!B37</f>
        <v>0.02</v>
      </c>
      <c r="G23" s="2765" t="s">
        <v>2428</v>
      </c>
      <c r="H23" s="2766"/>
      <c r="I23" s="2766"/>
      <c r="J23" s="2766"/>
      <c r="K23" s="2767"/>
      <c r="L23" s="2101"/>
      <c r="M23" s="2101"/>
      <c r="N23" s="2101"/>
    </row>
    <row r="24" spans="1:14" s="2099" customFormat="1" ht="13.5" customHeight="1">
      <c r="A24" s="2803" t="s">
        <v>1858</v>
      </c>
      <c r="B24" s="2985" t="s">
        <v>2833</v>
      </c>
      <c r="C24" s="2805">
        <f ca="1">ROUND(C6*F24,0)</f>
        <v>1317</v>
      </c>
      <c r="D24" s="475"/>
      <c r="E24" s="473"/>
      <c r="F24" s="2809">
        <f>'数据-取费表'!B38</f>
        <v>0.02</v>
      </c>
      <c r="G24" s="2774" t="s">
        <v>499</v>
      </c>
      <c r="H24" s="2768"/>
      <c r="I24" s="2768"/>
      <c r="J24" s="2768"/>
      <c r="K24" s="279"/>
      <c r="L24" s="2101"/>
      <c r="M24" s="2101"/>
      <c r="N24" s="2101"/>
    </row>
    <row r="25" spans="1:14" s="2102" customFormat="1" ht="13.5" customHeight="1">
      <c r="A25" s="2803" t="s">
        <v>1859</v>
      </c>
      <c r="B25" s="2985" t="s">
        <v>2831</v>
      </c>
      <c r="C25" s="467">
        <f>ROUND(F25/(1+'数据-取费表'!C42),4)</f>
        <v>2.9000000000000001E-2</v>
      </c>
      <c r="D25" s="462" t="s">
        <v>2825</v>
      </c>
      <c r="E25" s="469"/>
      <c r="F25" s="2809">
        <f>IF(项目基本情况!B8="出让",0,'数据-取费表'!B48+'数据-取费表'!B49)</f>
        <v>3.0499999999999999E-2</v>
      </c>
      <c r="G25" s="2773" t="s">
        <v>2286</v>
      </c>
      <c r="H25" s="2766"/>
      <c r="I25" s="2766"/>
      <c r="J25" s="2766"/>
      <c r="K25" s="2767"/>
    </row>
    <row r="26" spans="1:14" s="2101" customFormat="1" ht="13.5" customHeight="1">
      <c r="A26" s="2803" t="s">
        <v>1860</v>
      </c>
      <c r="B26" s="2986" t="s">
        <v>2832</v>
      </c>
      <c r="C26" s="2810">
        <f ca="1">C28</f>
        <v>1547</v>
      </c>
      <c r="D26" s="467">
        <f ca="1">C27</f>
        <v>0.10009999999999999</v>
      </c>
      <c r="E26" s="469" t="s">
        <v>495</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3" t="s">
        <v>1855</v>
      </c>
      <c r="B27" s="2811" t="s">
        <v>496</v>
      </c>
      <c r="C27" s="2812">
        <f ca="1">ROUND(IF('数据-取费表'!B22&lt;=1,(1+C25)*F26*'数据-取费表'!B24,(1+C25)*(POWER((1+F26),'数据-取费表'!B24)-1)),4)</f>
        <v>0.10009999999999999</v>
      </c>
      <c r="D27" s="472"/>
      <c r="E27" s="473"/>
      <c r="F27" s="474"/>
      <c r="G27" s="2534" t="str">
        <f>IF('数据-取费表'!B22&lt;=1,"（1+取得税费率/(1+5%)）×年利率×建设期","（1+取得税费率）/(1+5%)×((1+年利率)^建设期-1)")</f>
        <v>（1+取得税费率）/(1+5%)×((1+年利率)^建设期-1)</v>
      </c>
      <c r="H27" s="2768"/>
      <c r="I27" s="2768"/>
      <c r="J27" s="2768"/>
      <c r="K27" s="279"/>
    </row>
    <row r="28" spans="1:14" s="2103" customFormat="1" ht="13.5" customHeight="1">
      <c r="A28" s="803" t="s">
        <v>1856</v>
      </c>
      <c r="B28" s="2811" t="s">
        <v>2834</v>
      </c>
      <c r="C28" s="2813">
        <f ca="1">ROUND(IF('数据-取费表'!B22&lt;=1,(C18+C19+C20+C23+C24)*F26*'数据-取费表'!B24/2,(C18+C19+C20+C23+C24)*(POWER((1+F26),'数据-取费表'!B24/2)-1)),0)</f>
        <v>1547</v>
      </c>
      <c r="D28" s="472"/>
      <c r="E28" s="473"/>
      <c r="F28" s="474"/>
      <c r="G28" s="2534" t="str">
        <f>IF('数据-取费表'!B22&lt;=1,"（1）-（4）项×年利率×建设期÷2","（1）-（4）项×((1+年利率)^(建设期÷2)-1)")</f>
        <v>（1）-（4）项×((1+年利率)^(建设期÷2)-1)</v>
      </c>
      <c r="H28" s="2768"/>
      <c r="I28" s="2768"/>
      <c r="J28" s="2768"/>
      <c r="K28" s="279"/>
    </row>
    <row r="29" spans="1:14" s="2103" customFormat="1" ht="13.5" customHeight="1">
      <c r="A29" s="2814" t="s">
        <v>1861</v>
      </c>
      <c r="B29" s="2804" t="s">
        <v>497</v>
      </c>
      <c r="C29" s="2805">
        <f ca="1">ROUND(C6*F29/(1+'数据-取费表'!C42),0)</f>
        <v>3450</v>
      </c>
      <c r="D29" s="468"/>
      <c r="E29" s="468"/>
      <c r="F29" s="2987">
        <f>'数据-取费表'!B41</f>
        <v>5.5000000000000007E-2</v>
      </c>
      <c r="G29" s="2774" t="s">
        <v>498</v>
      </c>
      <c r="H29" s="2766"/>
      <c r="I29" s="2766"/>
      <c r="J29" s="2766"/>
      <c r="K29" s="2767"/>
    </row>
    <row r="30" spans="1:14" s="2104" customFormat="1" ht="13.5" customHeight="1">
      <c r="A30" s="1620" t="s">
        <v>1862</v>
      </c>
      <c r="B30" s="2815" t="s">
        <v>500</v>
      </c>
      <c r="C30" s="2810">
        <f ca="1">C31</f>
        <v>37575</v>
      </c>
      <c r="D30" s="477">
        <f ca="1">C32</f>
        <v>0.12909999999999999</v>
      </c>
      <c r="E30" s="469" t="s">
        <v>495</v>
      </c>
      <c r="F30" s="471"/>
      <c r="G30" s="2773" t="s">
        <v>2965</v>
      </c>
      <c r="H30" s="2766"/>
      <c r="I30" s="2766"/>
      <c r="J30" s="2766"/>
      <c r="K30" s="2767"/>
    </row>
    <row r="31" spans="1:14" s="2103" customFormat="1" ht="13.5" customHeight="1">
      <c r="A31" s="803" t="s">
        <v>1855</v>
      </c>
      <c r="B31" s="2811"/>
      <c r="C31" s="450">
        <f ca="1">C18+C19+C20+C23+C24+C26+C29</f>
        <v>37575</v>
      </c>
      <c r="D31" s="472"/>
      <c r="E31" s="473"/>
      <c r="F31" s="474"/>
      <c r="G31" s="261"/>
      <c r="H31" s="2768"/>
      <c r="I31" s="2768"/>
      <c r="J31" s="2768"/>
      <c r="K31" s="279"/>
    </row>
    <row r="32" spans="1:14" s="2103" customFormat="1" ht="13.5" customHeight="1">
      <c r="A32" s="803" t="s">
        <v>1856</v>
      </c>
      <c r="B32" s="2811"/>
      <c r="C32" s="53">
        <f ca="1">ROUND(C25+D26,4)</f>
        <v>0.12909999999999999</v>
      </c>
      <c r="D32" s="472"/>
      <c r="E32" s="473"/>
      <c r="F32" s="474"/>
      <c r="G32" s="261"/>
      <c r="H32" s="2768"/>
      <c r="I32" s="2768"/>
      <c r="J32" s="2768"/>
      <c r="K32" s="279"/>
    </row>
    <row r="33" spans="1:11" s="2105" customFormat="1" ht="13.5" customHeight="1">
      <c r="A33" s="2984" t="s">
        <v>2829</v>
      </c>
      <c r="B33" s="2982" t="s">
        <v>2827</v>
      </c>
      <c r="C33" s="478">
        <f ca="1">C35</f>
        <v>5212</v>
      </c>
      <c r="D33" s="467">
        <f ca="1">C34</f>
        <v>0.1646</v>
      </c>
      <c r="E33" s="469" t="s">
        <v>495</v>
      </c>
      <c r="F33" s="479">
        <f ca="1">IF(B1="",'数据-取费表'!Q16,INDIRECT("'数据-取费表'!q"&amp;$K$1))</f>
        <v>0.16</v>
      </c>
      <c r="G33" s="2769"/>
      <c r="H33" s="2770"/>
      <c r="I33" s="2770"/>
      <c r="J33" s="2770"/>
      <c r="K33" s="2771"/>
    </row>
    <row r="34" spans="1:11" s="2106" customFormat="1" ht="13.5" customHeight="1">
      <c r="A34" s="375" t="s">
        <v>1855</v>
      </c>
      <c r="B34" s="2816" t="s">
        <v>501</v>
      </c>
      <c r="C34" s="472">
        <f ca="1">ROUND((1+C25)*F33,4)</f>
        <v>0.1646</v>
      </c>
      <c r="D34" s="472"/>
      <c r="E34" s="473"/>
      <c r="F34" s="480"/>
      <c r="G34" s="261" t="s">
        <v>2287</v>
      </c>
      <c r="H34" s="2768"/>
      <c r="I34" s="2768"/>
      <c r="J34" s="2768"/>
      <c r="K34" s="279"/>
    </row>
    <row r="35" spans="1:11" s="2106" customFormat="1" ht="13.5" customHeight="1" thickBot="1">
      <c r="A35" s="1621" t="s">
        <v>1856</v>
      </c>
      <c r="B35" s="2983" t="s">
        <v>2835</v>
      </c>
      <c r="C35" s="1613">
        <f ca="1">ROUND((C18+C19+C20+C23+C24)*F33,0)</f>
        <v>5212</v>
      </c>
      <c r="D35" s="1614"/>
      <c r="E35" s="2817"/>
      <c r="F35" s="1615"/>
      <c r="G35" s="2775"/>
      <c r="H35" s="2776"/>
      <c r="I35" s="2776"/>
      <c r="J35" s="2776"/>
      <c r="K35" s="2777"/>
    </row>
    <row r="36" spans="1:11" s="2068" customFormat="1" ht="13.5" customHeight="1" thickBot="1">
      <c r="A36" s="284" t="s">
        <v>1843</v>
      </c>
      <c r="B36" s="2779"/>
      <c r="C36" s="2818">
        <f ca="1">ROUND((C6-C30-C33)/(1+D30+D33),0)</f>
        <v>17836</v>
      </c>
      <c r="D36" s="2779"/>
      <c r="E36" s="2779"/>
      <c r="F36" s="2779"/>
      <c r="G36" s="2778" t="s">
        <v>2836</v>
      </c>
      <c r="H36" s="2779"/>
      <c r="I36" s="2779"/>
      <c r="J36" s="2779"/>
      <c r="K36" s="2780"/>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J22" sqref="J22"/>
    </sheetView>
  </sheetViews>
  <sheetFormatPr defaultColWidth="9" defaultRowHeight="15"/>
  <cols>
    <col min="1" max="1" width="9" style="2043"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5.88671875" style="2042" customWidth="1"/>
    <col min="16" max="16" width="27.6640625" style="2042" customWidth="1"/>
    <col min="17" max="17" width="13.77734375" style="2080" customWidth="1"/>
    <col min="18" max="18" width="23.44140625" style="2042" customWidth="1"/>
    <col min="19" max="19" width="1.44140625" style="2042" customWidth="1"/>
    <col min="20" max="33" width="9" style="2042"/>
    <col min="34" max="16384" width="9" style="2043"/>
  </cols>
  <sheetData>
    <row r="1" spans="1:33" s="2037" customFormat="1" ht="21.6">
      <c r="A1" s="832" t="s">
        <v>1724</v>
      </c>
      <c r="B1" s="738"/>
      <c r="C1" s="773" t="s">
        <v>3132</v>
      </c>
      <c r="D1" s="3073" t="s">
        <v>3208</v>
      </c>
      <c r="E1" s="2349" t="s">
        <v>2371</v>
      </c>
      <c r="F1" s="2350">
        <f ca="1">J53</f>
        <v>31.78</v>
      </c>
      <c r="G1" s="774">
        <f>MATCH(C1,'数据-取费表'!A6:A16,0)+5</f>
        <v>9</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1725</v>
      </c>
      <c r="B2" s="775">
        <f ca="1">C40+J29+L46</f>
        <v>11482</v>
      </c>
      <c r="C2" s="2040"/>
      <c r="D2" s="2038"/>
      <c r="E2" s="2039"/>
      <c r="F2" s="2039"/>
      <c r="G2" s="1576"/>
      <c r="H2" s="2040"/>
      <c r="I2" s="2040"/>
      <c r="J2" s="2040"/>
      <c r="K2" s="2041"/>
      <c r="L2" s="2040"/>
      <c r="M2" s="2040"/>
    </row>
    <row r="3" spans="1:33" ht="18" customHeight="1" thickBot="1">
      <c r="A3" s="833" t="s">
        <v>1726</v>
      </c>
      <c r="B3" s="834">
        <f ca="1">IF(ISERROR(B2*10000/F43),0,ROUND(B2*10000/F43,0))</f>
        <v>8698</v>
      </c>
      <c r="C3" s="2040"/>
      <c r="D3" s="2038"/>
      <c r="E3" s="2039"/>
      <c r="F3" s="2039"/>
      <c r="G3" s="1576"/>
      <c r="H3" s="776" t="s">
        <v>695</v>
      </c>
      <c r="I3" s="1359"/>
      <c r="J3" s="1359"/>
      <c r="K3" s="1577"/>
      <c r="L3" s="1359"/>
      <c r="M3" s="1359"/>
    </row>
    <row r="4" spans="1:33" ht="18" customHeight="1">
      <c r="A4" s="777" t="s">
        <v>1727</v>
      </c>
      <c r="B4" s="778" t="s">
        <v>1728</v>
      </c>
      <c r="C4" s="778" t="s">
        <v>1729</v>
      </c>
      <c r="D4" s="778" t="s">
        <v>633</v>
      </c>
      <c r="E4" s="779" t="s">
        <v>1730</v>
      </c>
      <c r="F4" s="780"/>
      <c r="G4" s="1578"/>
      <c r="H4" s="777" t="s">
        <v>1731</v>
      </c>
      <c r="I4" s="778" t="s">
        <v>1732</v>
      </c>
      <c r="J4" s="778" t="s">
        <v>1733</v>
      </c>
      <c r="K4" s="778" t="s">
        <v>1734</v>
      </c>
      <c r="L4" s="779" t="s">
        <v>1735</v>
      </c>
      <c r="M4" s="780"/>
    </row>
    <row r="5" spans="1:33" ht="18" customHeight="1">
      <c r="A5" s="781">
        <v>1</v>
      </c>
      <c r="B5" s="782" t="s">
        <v>2455</v>
      </c>
      <c r="C5" s="55">
        <f ca="1">C6+C10+C12</f>
        <v>834</v>
      </c>
      <c r="D5" s="2458" t="s">
        <v>2458</v>
      </c>
      <c r="E5" s="2452"/>
      <c r="F5" s="2453"/>
      <c r="G5" s="1578"/>
      <c r="H5" s="781">
        <v>1</v>
      </c>
      <c r="I5" s="782" t="s">
        <v>2455</v>
      </c>
      <c r="J5" s="55">
        <f ca="1">J6+J10+J12</f>
        <v>0</v>
      </c>
      <c r="K5" s="2458" t="s">
        <v>2458</v>
      </c>
      <c r="L5" s="2452"/>
      <c r="M5" s="2453"/>
    </row>
    <row r="6" spans="1:33" ht="18" customHeight="1">
      <c r="A6" s="1813" t="s">
        <v>1823</v>
      </c>
      <c r="B6" s="3462" t="s">
        <v>2460</v>
      </c>
      <c r="C6" s="783">
        <f ca="1">ROUND(F6*F8*F7*(1-F9)/10000,0)</f>
        <v>833</v>
      </c>
      <c r="D6" s="2459" t="s">
        <v>2459</v>
      </c>
      <c r="E6" s="784" t="s">
        <v>1737</v>
      </c>
      <c r="F6" s="785">
        <f ca="1">INDIRECT("'数据-取费表'!u"&amp;$G$1)</f>
        <v>1.92</v>
      </c>
      <c r="G6" s="1578"/>
      <c r="H6" s="2466" t="s">
        <v>2465</v>
      </c>
      <c r="I6" s="3462" t="s">
        <v>2460</v>
      </c>
      <c r="J6" s="783">
        <f ca="1">ROUND(M6*M8*M7*(1-M9)/10000,0)</f>
        <v>0</v>
      </c>
      <c r="K6" s="341" t="s">
        <v>1736</v>
      </c>
      <c r="L6" s="784" t="s">
        <v>1737</v>
      </c>
      <c r="M6" s="785">
        <f ca="1">INDIRECT("'数据-取费表'!z"&amp;$G$1)</f>
        <v>0</v>
      </c>
    </row>
    <row r="7" spans="1:33" ht="18" customHeight="1">
      <c r="A7" s="2462"/>
      <c r="B7" s="3463"/>
      <c r="C7" s="788"/>
      <c r="D7" s="789"/>
      <c r="E7" s="784" t="s">
        <v>1738</v>
      </c>
      <c r="F7" s="785">
        <f ca="1">IF(INDIRECT("'数据-取费表'!ah"&amp;$G$1)="",INDIRECT("'数据-取费表'!k"&amp;$G$1),INDIRECT("'数据-取费表'!ah"&amp;$G$1))</f>
        <v>13200</v>
      </c>
      <c r="G7" s="1578"/>
      <c r="H7" s="2451"/>
      <c r="I7" s="3463"/>
      <c r="J7" s="788"/>
      <c r="K7" s="789"/>
      <c r="L7" s="784" t="s">
        <v>1738</v>
      </c>
      <c r="M7" s="785">
        <f ca="1">F7</f>
        <v>13200</v>
      </c>
    </row>
    <row r="8" spans="1:33" ht="18" customHeight="1">
      <c r="A8" s="2455"/>
      <c r="B8" s="3464"/>
      <c r="C8" s="788"/>
      <c r="D8" s="789"/>
      <c r="E8" s="784" t="s">
        <v>1739</v>
      </c>
      <c r="F8" s="785">
        <f ca="1">INDIRECT("'数据-取费表'!ai"&amp;$G$1)</f>
        <v>365</v>
      </c>
      <c r="G8" s="1578"/>
      <c r="H8" s="2451"/>
      <c r="I8" s="3464"/>
      <c r="J8" s="788"/>
      <c r="K8" s="789"/>
      <c r="L8" s="784" t="s">
        <v>1739</v>
      </c>
      <c r="M8" s="785">
        <f ca="1">INDIRECT("'数据-取费表'!ai"&amp;$G$1)</f>
        <v>365</v>
      </c>
    </row>
    <row r="9" spans="1:33" ht="18" customHeight="1">
      <c r="A9" s="786"/>
      <c r="B9" s="3465"/>
      <c r="C9" s="788"/>
      <c r="D9" s="789"/>
      <c r="E9" s="784" t="s">
        <v>1740</v>
      </c>
      <c r="F9" s="794">
        <f ca="1">INDIRECT("'数据-取费表'!w"&amp;$G$1)</f>
        <v>0.1</v>
      </c>
      <c r="G9" s="1578"/>
      <c r="H9" s="2467"/>
      <c r="I9" s="3464"/>
      <c r="J9" s="788"/>
      <c r="K9" s="789"/>
      <c r="L9" s="795" t="s">
        <v>1740</v>
      </c>
      <c r="M9" s="796">
        <f ca="1">INDIRECT("'数据-取费表'!ab"&amp;$G$1)</f>
        <v>0</v>
      </c>
    </row>
    <row r="10" spans="1:33" ht="18" customHeight="1">
      <c r="A10" s="1813" t="s">
        <v>2463</v>
      </c>
      <c r="B10" s="2456" t="s">
        <v>2456</v>
      </c>
      <c r="C10" s="799">
        <f ca="1">ROUND(IF(F10="押一",C6/12*F11,IF(F10="押二",C6/12*2*F11,IF(F10="押三",C6/12*3*F11,C11*F11))),0)</f>
        <v>1</v>
      </c>
      <c r="D10" s="2463" t="s">
        <v>2967</v>
      </c>
      <c r="E10" s="2460" t="s">
        <v>2461</v>
      </c>
      <c r="F10" s="2583" t="s">
        <v>3190</v>
      </c>
      <c r="G10" s="1578"/>
      <c r="H10" s="2523" t="s">
        <v>2466</v>
      </c>
      <c r="I10" s="2528" t="s">
        <v>2456</v>
      </c>
      <c r="J10" s="783">
        <f ca="1">ROUND(IF(M10="押一",J6/12*M11,IF(M10="押二",J6/12*2*M11,IF(M10="押三",J6/12*3*M11,J11*M11))),0)</f>
        <v>0</v>
      </c>
      <c r="K10" s="2463" t="s">
        <v>2967</v>
      </c>
      <c r="L10" s="2460" t="s">
        <v>2461</v>
      </c>
      <c r="M10" s="2583"/>
    </row>
    <row r="11" spans="1:33" ht="18" customHeight="1">
      <c r="A11" s="790"/>
      <c r="B11" s="2457" t="s">
        <v>2570</v>
      </c>
      <c r="C11" s="2461"/>
      <c r="D11" s="789"/>
      <c r="E11" s="2460" t="s">
        <v>2462</v>
      </c>
      <c r="F11" s="796">
        <f ca="1">'数据-取费表'!B39</f>
        <v>1.4999999999999999E-2</v>
      </c>
      <c r="G11" s="1578"/>
      <c r="H11" s="2524"/>
      <c r="I11" s="2457" t="s">
        <v>2570</v>
      </c>
      <c r="J11" s="2461"/>
      <c r="K11" s="2525"/>
      <c r="L11" s="2460" t="s">
        <v>2462</v>
      </c>
      <c r="M11" s="2454">
        <f ca="1">'数据-取费表'!B39</f>
        <v>1.4999999999999999E-2</v>
      </c>
    </row>
    <row r="12" spans="1:33" ht="18" customHeight="1" thickBot="1">
      <c r="A12" s="2499" t="s">
        <v>2464</v>
      </c>
      <c r="B12" s="2500" t="s">
        <v>2457</v>
      </c>
      <c r="C12" s="2501"/>
      <c r="D12" s="2502"/>
      <c r="E12" s="2503"/>
      <c r="F12" s="2504"/>
      <c r="G12" s="1578"/>
      <c r="H12" s="2513" t="s">
        <v>2467</v>
      </c>
      <c r="I12" s="2526" t="s">
        <v>2457</v>
      </c>
      <c r="J12" s="2527"/>
      <c r="K12" s="2502"/>
      <c r="L12" s="2503"/>
      <c r="M12" s="2516"/>
    </row>
    <row r="13" spans="1:33" ht="18" customHeight="1" thickTop="1">
      <c r="A13" s="1812">
        <v>2</v>
      </c>
      <c r="B13" s="1810" t="s">
        <v>1741</v>
      </c>
      <c r="C13" s="792">
        <f ca="1">ROUND(C29*F13,0)</f>
        <v>4550</v>
      </c>
      <c r="D13" s="1817" t="s">
        <v>2294</v>
      </c>
      <c r="E13" s="1817" t="s">
        <v>1743</v>
      </c>
      <c r="F13" s="2498">
        <f ca="1">INDIRECT("'数据-取费表'!y"&amp;$G$1)</f>
        <v>1</v>
      </c>
      <c r="G13" s="1578"/>
      <c r="H13" s="1812">
        <v>2</v>
      </c>
      <c r="I13" s="1810" t="s">
        <v>1741</v>
      </c>
      <c r="J13" s="1802">
        <f ca="1">ROUND(J14*J15,0)</f>
        <v>0</v>
      </c>
      <c r="K13" s="1804" t="s">
        <v>1742</v>
      </c>
      <c r="L13" s="2514"/>
      <c r="M13" s="2515"/>
    </row>
    <row r="14" spans="1:33" ht="18" customHeight="1">
      <c r="A14" s="1633" t="s">
        <v>1883</v>
      </c>
      <c r="B14" s="784" t="s">
        <v>645</v>
      </c>
      <c r="C14" s="804">
        <f ca="1">INDIRECT("'数据-取费表'!m"&amp;$G$1)+INDIRECT("'数据-取费表'!t"&amp;$G$1)</f>
        <v>2904</v>
      </c>
      <c r="D14" s="1962" t="s">
        <v>1744</v>
      </c>
      <c r="E14" s="1963"/>
      <c r="F14" s="805"/>
      <c r="G14" s="1578"/>
      <c r="H14" s="1634" t="s">
        <v>1829</v>
      </c>
      <c r="I14" s="2214" t="s">
        <v>2822</v>
      </c>
      <c r="J14" s="53">
        <f ca="1">C29</f>
        <v>4550</v>
      </c>
      <c r="K14" s="26"/>
      <c r="L14" s="801"/>
      <c r="M14" s="802"/>
    </row>
    <row r="15" spans="1:33" s="2047" customFormat="1" ht="18" customHeight="1" thickBot="1">
      <c r="A15" s="1633" t="s">
        <v>1884</v>
      </c>
      <c r="B15" s="784" t="s">
        <v>647</v>
      </c>
      <c r="C15" s="53">
        <f ca="1">ROUND(C14*F15,0)</f>
        <v>87</v>
      </c>
      <c r="D15" s="806" t="s">
        <v>1745</v>
      </c>
      <c r="E15" s="806" t="s">
        <v>1746</v>
      </c>
      <c r="F15" s="807">
        <f>'数据-取费表'!B33</f>
        <v>0.03</v>
      </c>
      <c r="G15" s="1579"/>
      <c r="H15" s="2513" t="s">
        <v>1888</v>
      </c>
      <c r="I15" s="2508" t="s">
        <v>1743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3" t="s">
        <v>1885</v>
      </c>
      <c r="B16" s="784" t="s">
        <v>650</v>
      </c>
      <c r="C16" s="53">
        <f ca="1">ROUND(INDIRECT("'数据-取费表'!m"&amp;$G$1)*F16,0)</f>
        <v>0</v>
      </c>
      <c r="D16" s="784" t="s">
        <v>1745</v>
      </c>
      <c r="E16" s="784" t="s">
        <v>1746</v>
      </c>
      <c r="F16" s="809">
        <f ca="1">IF(INDIRECT("'数据-取费表'!c"&amp;$G$1)="住宅",'数据-取费表'!B34,0)</f>
        <v>0</v>
      </c>
      <c r="G16" s="1578"/>
      <c r="H16" s="1812" t="s">
        <v>1747</v>
      </c>
      <c r="I16" s="1810" t="s">
        <v>1748</v>
      </c>
      <c r="J16" s="792">
        <f ca="1">ROUND(J17+J22+J23+J24,0)</f>
        <v>451</v>
      </c>
      <c r="K16" s="1804" t="s">
        <v>1749</v>
      </c>
      <c r="L16" s="2448"/>
      <c r="M16" s="2453"/>
    </row>
    <row r="17" spans="1:33" s="2047" customFormat="1" ht="18" customHeight="1">
      <c r="A17" s="1633" t="s">
        <v>1886</v>
      </c>
      <c r="B17" s="784" t="s">
        <v>653</v>
      </c>
      <c r="C17" s="53">
        <f ca="1">ROUND(F17*(F43+INDIRECT("'数据-取费表'!S"&amp;$G$1))/10000,0)</f>
        <v>264</v>
      </c>
      <c r="D17" s="784" t="s">
        <v>1750</v>
      </c>
      <c r="E17" s="784" t="s">
        <v>1751</v>
      </c>
      <c r="F17" s="56">
        <f>'数据-取费表'!B35</f>
        <v>200</v>
      </c>
      <c r="G17" s="1579"/>
      <c r="H17" s="1634" t="s">
        <v>1829</v>
      </c>
      <c r="I17" s="784" t="s">
        <v>656</v>
      </c>
      <c r="J17" s="53">
        <f ca="1">ROUND(IF(项目基本情况!B11="自然人",J6*M17/(1+'数据-取费表'!C42),J18+J19+J20),0)</f>
        <v>383</v>
      </c>
      <c r="K17" s="2447" t="s">
        <v>1752</v>
      </c>
      <c r="L17" s="2446" t="s">
        <v>1753</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3" t="s">
        <v>1887</v>
      </c>
      <c r="B18" s="784" t="s">
        <v>659</v>
      </c>
      <c r="C18" s="53">
        <f ca="1">ROUND(C14*F18,0)</f>
        <v>44</v>
      </c>
      <c r="D18" s="784" t="s">
        <v>1745</v>
      </c>
      <c r="E18" s="784" t="s">
        <v>1746</v>
      </c>
      <c r="F18" s="809">
        <f>'数据-取费表'!B36</f>
        <v>1.4999999999999999E-2</v>
      </c>
      <c r="G18" s="1579"/>
      <c r="H18" s="1633" t="s">
        <v>1883</v>
      </c>
      <c r="I18" s="784" t="s">
        <v>1754</v>
      </c>
      <c r="J18" s="53">
        <f ca="1">ROUND(J6*M18/(1+'数据-取费表'!C42),1)</f>
        <v>0</v>
      </c>
      <c r="K18" s="2446" t="s">
        <v>1755</v>
      </c>
      <c r="L18" s="784" t="s">
        <v>1746</v>
      </c>
      <c r="M18" s="809">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4" t="s">
        <v>1829</v>
      </c>
      <c r="B19" s="784" t="s">
        <v>662</v>
      </c>
      <c r="C19" s="53">
        <f ca="1">SUM(C14:C18)</f>
        <v>3299</v>
      </c>
      <c r="D19" s="261" t="s">
        <v>1756</v>
      </c>
      <c r="E19" s="1965"/>
      <c r="F19" s="56"/>
      <c r="G19" s="1578"/>
      <c r="H19" s="1633" t="s">
        <v>1884</v>
      </c>
      <c r="I19" s="784" t="s">
        <v>1757</v>
      </c>
      <c r="J19" s="53">
        <f ca="1">IF(K19="按租金收入计税",ROUND(J6*M19/(1+'数据-取费表'!C42),1),ROUND(C29*F33*0.7,1))</f>
        <v>382.2</v>
      </c>
      <c r="K19" s="811" t="s">
        <v>665</v>
      </c>
      <c r="L19" s="784" t="s">
        <v>1746</v>
      </c>
      <c r="M19" s="809">
        <f>IF(K19="按租金收入计税",'数据-取费表'!B51,'数据-取费表'!B50)</f>
        <v>1.2E-2</v>
      </c>
    </row>
    <row r="20" spans="1:33" s="2047" customFormat="1" ht="18" customHeight="1">
      <c r="A20" s="1634" t="s">
        <v>1888</v>
      </c>
      <c r="B20" s="784" t="s">
        <v>666</v>
      </c>
      <c r="C20" s="53">
        <f ca="1">ROUND(C19*F20,0)</f>
        <v>66</v>
      </c>
      <c r="D20" s="812" t="s">
        <v>1758</v>
      </c>
      <c r="E20" s="784" t="s">
        <v>1746</v>
      </c>
      <c r="F20" s="809">
        <f>'数据-取费表'!B37</f>
        <v>0.02</v>
      </c>
      <c r="G20" s="1579"/>
      <c r="H20" s="1636" t="s">
        <v>1879</v>
      </c>
      <c r="I20" s="341" t="s">
        <v>1759</v>
      </c>
      <c r="J20" s="54">
        <f ca="1">ROUND(M20*M21/10000,0)</f>
        <v>1</v>
      </c>
      <c r="K20" s="814" t="s">
        <v>1760</v>
      </c>
      <c r="L20" s="784" t="s">
        <v>1761</v>
      </c>
      <c r="M20" s="640">
        <f>'数据-取费表'!B52</f>
        <v>3</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4" t="s">
        <v>1889</v>
      </c>
      <c r="B21" s="784" t="s">
        <v>1762</v>
      </c>
      <c r="C21" s="53" t="s">
        <v>1763</v>
      </c>
      <c r="D21" s="812" t="s">
        <v>2295</v>
      </c>
      <c r="E21" s="784" t="s">
        <v>1764</v>
      </c>
      <c r="F21" s="809">
        <f>'数据-取费表'!B38</f>
        <v>0.02</v>
      </c>
      <c r="G21" s="1579"/>
      <c r="H21" s="2468"/>
      <c r="I21" s="793"/>
      <c r="J21" s="69"/>
      <c r="K21" s="816"/>
      <c r="L21" s="784" t="s">
        <v>1765</v>
      </c>
      <c r="M21" s="785">
        <f ca="1">INDIRECT("'数据-取费表'!r"&amp;$G$1)</f>
        <v>2581.98</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4" t="s">
        <v>1890</v>
      </c>
      <c r="B22" s="784" t="s">
        <v>1766</v>
      </c>
      <c r="C22" s="53"/>
      <c r="D22" s="2534" t="str">
        <f>IF(F23&lt;=1,"单利计息。","复利计息。")&amp;"建造成本、管理费用、销售费用产生的利息。"</f>
        <v>复利计息。建造成本、管理费用、销售费用产生的利息。</v>
      </c>
      <c r="E22" s="1965"/>
      <c r="F22" s="56"/>
      <c r="G22" s="1578"/>
      <c r="H22" s="1634" t="s">
        <v>1888</v>
      </c>
      <c r="I22" s="784" t="s">
        <v>1767</v>
      </c>
      <c r="J22" s="53">
        <f ca="1">ROUND(J14*M22,0)</f>
        <v>68</v>
      </c>
      <c r="K22" s="2446" t="s">
        <v>1768</v>
      </c>
      <c r="L22" s="784" t="s">
        <v>1746</v>
      </c>
      <c r="M22" s="817">
        <f ca="1">INDIRECT("'数据-取费表'!Ak"&amp;$G$1)</f>
        <v>1.4999999999999999E-2</v>
      </c>
    </row>
    <row r="23" spans="1:33" s="2047" customFormat="1" ht="18" customHeight="1">
      <c r="A23" s="1633" t="s">
        <v>1830</v>
      </c>
      <c r="B23" s="784" t="s">
        <v>2532</v>
      </c>
      <c r="C23" s="53">
        <f ca="1">ROUND(IF('数据-取费表'!B22&lt;=1,(C19+C20)*F24*F23/2,(C19+C20)*(POWER((1+F24),F23/2)-1)),0)</f>
        <v>160</v>
      </c>
      <c r="D23" s="2533" t="str">
        <f>IF(F23&lt;=1,"(建造成本+管理费用)×利率×(建设周期÷2)","(建造成本+管理费用)×((1+利率)^(建设周期÷2)-1)")</f>
        <v>(建造成本+管理费用)×((1+利率)^(建设周期÷2)-1)</v>
      </c>
      <c r="E23" s="784" t="s">
        <v>1769</v>
      </c>
      <c r="F23" s="640">
        <f>'数据-取费表'!B20</f>
        <v>2</v>
      </c>
      <c r="G23" s="1579"/>
      <c r="H23" s="1634" t="s">
        <v>1889</v>
      </c>
      <c r="I23" s="784" t="s">
        <v>679</v>
      </c>
      <c r="J23" s="53">
        <f ca="1">ROUND(J13*M23,0)</f>
        <v>0</v>
      </c>
      <c r="K23" s="2446" t="s">
        <v>1770</v>
      </c>
      <c r="L23" s="784" t="s">
        <v>1746</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3" t="s">
        <v>1831</v>
      </c>
      <c r="B24" s="784" t="s">
        <v>1771</v>
      </c>
      <c r="C24" s="53">
        <f ca="1">ROUND(IF('数据-取费表'!B22&lt;=1,F21*F24*F23/2,F21*(POWER((1+F24),F23/2)-1)),4)</f>
        <v>1E-3</v>
      </c>
      <c r="D24" s="2533" t="str">
        <f>IF(F23&lt;=1,"销售费用×利率×(建设周期÷2)","销售费用×((1+利率)^(建设周期÷2)-1)")</f>
        <v>销售费用×((1+利率)^(建设周期÷2)-1)</v>
      </c>
      <c r="E24" s="784" t="s">
        <v>1772</v>
      </c>
      <c r="F24" s="819">
        <f ca="1">'数据-取费表'!B40</f>
        <v>4.7500000000000001E-2</v>
      </c>
      <c r="G24" s="1579"/>
      <c r="H24" s="2513" t="s">
        <v>1890</v>
      </c>
      <c r="I24" s="2508" t="s">
        <v>666</v>
      </c>
      <c r="J24" s="2506">
        <f ca="1">ROUND(J5*M24,0)</f>
        <v>0</v>
      </c>
      <c r="K24" s="2507" t="s">
        <v>1773</v>
      </c>
      <c r="L24" s="2508" t="s">
        <v>1746</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5" t="s">
        <v>1839</v>
      </c>
      <c r="B25" s="784" t="s">
        <v>684</v>
      </c>
      <c r="C25" s="53"/>
      <c r="D25" s="261" t="s">
        <v>1774</v>
      </c>
      <c r="E25" s="1965"/>
      <c r="F25" s="56"/>
      <c r="G25" s="1578"/>
      <c r="H25" s="1812" t="s">
        <v>1775</v>
      </c>
      <c r="I25" s="2960" t="s">
        <v>2818</v>
      </c>
      <c r="J25" s="792">
        <f ca="1">J5-J16</f>
        <v>-451</v>
      </c>
      <c r="K25" s="2510" t="s">
        <v>1776</v>
      </c>
      <c r="L25" s="2511"/>
      <c r="M25" s="2512"/>
    </row>
    <row r="26" spans="1:33" ht="18" customHeight="1">
      <c r="A26" s="1633" t="s">
        <v>1830</v>
      </c>
      <c r="B26" s="784" t="s">
        <v>2435</v>
      </c>
      <c r="C26" s="53">
        <f ca="1">ROUND((C19+C20)*F26,0)</f>
        <v>673</v>
      </c>
      <c r="D26" s="812" t="s">
        <v>1777</v>
      </c>
      <c r="E26" s="795" t="s">
        <v>1778</v>
      </c>
      <c r="F26" s="794">
        <f ca="1">INDIRECT("'数据-取费表'!q"&amp;$G$1)</f>
        <v>0.2</v>
      </c>
      <c r="G26" s="1578"/>
      <c r="H26" s="2464" t="s">
        <v>1779</v>
      </c>
      <c r="I26" s="2215" t="s">
        <v>2823</v>
      </c>
      <c r="J26" s="783">
        <f ca="1">IF(J5&lt;&gt;0,ROUND(J25*(1-((1+M28)/(1+M26))^M27)/(M26-M28),0),0)</f>
        <v>0</v>
      </c>
      <c r="K26" s="814" t="s">
        <v>1780</v>
      </c>
      <c r="L26" s="784" t="s">
        <v>2416</v>
      </c>
      <c r="M26" s="794">
        <f ca="1">INDIRECT("'数据-取费表'!I"&amp;$G$1)</f>
        <v>5.5E-2</v>
      </c>
    </row>
    <row r="27" spans="1:33" ht="18" customHeight="1">
      <c r="A27" s="1633" t="s">
        <v>1831</v>
      </c>
      <c r="B27" s="784" t="s">
        <v>686</v>
      </c>
      <c r="C27" s="53">
        <f ca="1">ROUND(F21*F26,4)</f>
        <v>4.0000000000000001E-3</v>
      </c>
      <c r="D27" s="812" t="s">
        <v>1781</v>
      </c>
      <c r="E27" s="806"/>
      <c r="F27" s="807"/>
      <c r="G27" s="1578"/>
      <c r="H27" s="2465"/>
      <c r="I27" s="787"/>
      <c r="J27" s="788"/>
      <c r="K27" s="821" t="s">
        <v>1782</v>
      </c>
      <c r="L27" s="784" t="s">
        <v>1783</v>
      </c>
      <c r="M27" s="822">
        <f ca="1">INDIRECT("'数据-取费表'!ag"&amp;$G$1)</f>
        <v>0</v>
      </c>
    </row>
    <row r="28" spans="1:33" s="2047" customFormat="1" ht="18" customHeight="1">
      <c r="A28" s="1635" t="s">
        <v>1840</v>
      </c>
      <c r="B28" s="784" t="s">
        <v>687</v>
      </c>
      <c r="C28" s="53">
        <f>ROUND(F28/(1+'数据-取费表'!C42),4)</f>
        <v>5.2400000000000002E-2</v>
      </c>
      <c r="D28" s="812" t="s">
        <v>2296</v>
      </c>
      <c r="E28" s="784" t="s">
        <v>1784</v>
      </c>
      <c r="F28" s="809">
        <f>'数据-取费表'!B41</f>
        <v>5.5000000000000007E-2</v>
      </c>
      <c r="G28" s="1579"/>
      <c r="H28" s="1812"/>
      <c r="I28" s="791"/>
      <c r="J28" s="792"/>
      <c r="K28" s="816"/>
      <c r="L28" s="784" t="s">
        <v>1785</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1891</v>
      </c>
      <c r="B29" s="2503" t="s">
        <v>2297</v>
      </c>
      <c r="C29" s="2506">
        <f ca="1">ROUND((C19+C20+C23+C26)/(1-F21-C24-C27-C28),0)</f>
        <v>4550</v>
      </c>
      <c r="D29" s="2507"/>
      <c r="E29" s="2508"/>
      <c r="F29" s="2509"/>
      <c r="G29" s="1579"/>
      <c r="H29" s="823" t="s">
        <v>1786</v>
      </c>
      <c r="I29" s="824" t="s">
        <v>1787</v>
      </c>
      <c r="J29" s="825">
        <f ca="1">ROUND(J26/(1+F40)^F41,0)</f>
        <v>0</v>
      </c>
      <c r="K29" s="826" t="s">
        <v>1788</v>
      </c>
      <c r="L29" s="827"/>
      <c r="M29" s="828">
        <f ca="1">INDIRECT("'数据-取费表'!k"&amp;$G$1)</f>
        <v>13200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1892</v>
      </c>
      <c r="B30" s="1810" t="s">
        <v>1789</v>
      </c>
      <c r="C30" s="792">
        <f ca="1">ROUND(C31+C36+C37+C38,0)</f>
        <v>223</v>
      </c>
      <c r="D30" s="1804" t="s">
        <v>1790</v>
      </c>
      <c r="E30" s="2448"/>
      <c r="F30" s="2453"/>
      <c r="G30" s="2045"/>
      <c r="H30" s="2048"/>
      <c r="I30" s="2049"/>
      <c r="J30" s="2050"/>
      <c r="K30" s="2051"/>
      <c r="L30" s="2052"/>
      <c r="M30" s="2053"/>
    </row>
    <row r="31" spans="1:33" ht="18" customHeight="1">
      <c r="A31" s="1634" t="s">
        <v>1829</v>
      </c>
      <c r="B31" s="784" t="s">
        <v>656</v>
      </c>
      <c r="C31" s="53">
        <f ca="1">ROUND(IF(项目基本情况!B11="自然人",C6*F31/(1+'数据-取费表'!C42),C32+C33+C34),1)</f>
        <v>139.6</v>
      </c>
      <c r="D31" s="1962" t="s">
        <v>1791</v>
      </c>
      <c r="E31" s="1960" t="s">
        <v>1792</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3" t="s">
        <v>1830</v>
      </c>
      <c r="B32" s="784" t="s">
        <v>1793</v>
      </c>
      <c r="C32" s="53">
        <f ca="1">ROUND(C6*F32/(1+'数据-取费表'!C42),1)</f>
        <v>43.6</v>
      </c>
      <c r="D32" s="1960" t="s">
        <v>1794</v>
      </c>
      <c r="E32" s="784" t="s">
        <v>1795</v>
      </c>
      <c r="F32" s="809">
        <f>'数据-取费表'!B41</f>
        <v>5.5000000000000007E-2</v>
      </c>
      <c r="G32" s="2045"/>
      <c r="H32" s="2054"/>
      <c r="I32" s="2055"/>
      <c r="J32" s="2056"/>
      <c r="K32" s="2057"/>
      <c r="L32" s="2058"/>
      <c r="M32" s="2059"/>
    </row>
    <row r="33" spans="1:18" ht="18" customHeight="1">
      <c r="A33" s="1633" t="s">
        <v>1831</v>
      </c>
      <c r="B33" s="784" t="s">
        <v>1796</v>
      </c>
      <c r="C33" s="53">
        <f ca="1">IF(D33="按租金收入计税",ROUND(C6*F33/(1+'数据-取费表'!C42),1),IF(D33="按房产原值计税",ROUND(C29*F33*0.7,1),INDIRECT("'数据-取费表'!Aj"&amp;$G$1)))</f>
        <v>95.2</v>
      </c>
      <c r="D33" s="811" t="s">
        <v>3191</v>
      </c>
      <c r="E33" s="784" t="s">
        <v>1795</v>
      </c>
      <c r="F33" s="809">
        <f>IF(D33="按租金收入计税",'数据-取费表'!B51,'数据-取费表'!B50)</f>
        <v>0.12</v>
      </c>
      <c r="G33" s="2045"/>
      <c r="H33" s="2060"/>
      <c r="I33" s="2060"/>
      <c r="J33" s="2060"/>
      <c r="K33" s="2061"/>
      <c r="L33" s="2060"/>
      <c r="M33" s="2060"/>
    </row>
    <row r="34" spans="1:18" ht="18" customHeight="1">
      <c r="A34" s="1636" t="s">
        <v>1832</v>
      </c>
      <c r="B34" s="341" t="s">
        <v>1797</v>
      </c>
      <c r="C34" s="54">
        <f ca="1">ROUND(F34*F35/10000,1)</f>
        <v>0.8</v>
      </c>
      <c r="D34" s="814" t="s">
        <v>1798</v>
      </c>
      <c r="E34" s="784" t="s">
        <v>1799</v>
      </c>
      <c r="F34" s="640">
        <f>'数据-取费表'!B52</f>
        <v>3</v>
      </c>
      <c r="G34" s="2045"/>
      <c r="H34" s="2048"/>
      <c r="I34" s="835" t="s">
        <v>1812</v>
      </c>
      <c r="J34" s="836"/>
      <c r="K34" s="2063"/>
      <c r="L34" s="2062"/>
      <c r="M34" s="2062"/>
    </row>
    <row r="35" spans="1:18" ht="18" customHeight="1">
      <c r="A35" s="815"/>
      <c r="B35" s="793"/>
      <c r="C35" s="69"/>
      <c r="D35" s="816"/>
      <c r="E35" s="784" t="s">
        <v>1800</v>
      </c>
      <c r="F35" s="785">
        <f ca="1">INDIRECT("'数据-取费表'!r"&amp;$G$1)</f>
        <v>2581.98</v>
      </c>
      <c r="G35" s="2045"/>
      <c r="H35" s="2048"/>
      <c r="I35" s="837" t="s">
        <v>1813</v>
      </c>
      <c r="J35" s="838">
        <f ca="1">ROUND(C13*J36,0)</f>
        <v>364</v>
      </c>
      <c r="K35" s="2061"/>
      <c r="L35" s="2060"/>
      <c r="M35" s="2060"/>
    </row>
    <row r="36" spans="1:18" ht="18" customHeight="1">
      <c r="A36" s="1634" t="s">
        <v>1888</v>
      </c>
      <c r="B36" s="784" t="s">
        <v>1801</v>
      </c>
      <c r="C36" s="53">
        <f ca="1">ROUND(C29*F36,1)</f>
        <v>68.3</v>
      </c>
      <c r="D36" s="1960" t="s">
        <v>1802</v>
      </c>
      <c r="E36" s="784" t="s">
        <v>1795</v>
      </c>
      <c r="F36" s="817">
        <f ca="1">INDIRECT("'数据-取费表'!Ak"&amp;$G$1)</f>
        <v>1.4999999999999999E-2</v>
      </c>
      <c r="G36" s="2045"/>
      <c r="H36" s="2060"/>
      <c r="I36" s="839" t="s">
        <v>1814</v>
      </c>
      <c r="J36" s="840">
        <f ca="1">INDIRECT("'数据-取费表'!j"&amp;$G$1)</f>
        <v>0.08</v>
      </c>
      <c r="K36" s="2065"/>
      <c r="L36" s="2060"/>
      <c r="M36" s="2060"/>
    </row>
    <row r="37" spans="1:18" ht="18" customHeight="1">
      <c r="A37" s="1634" t="s">
        <v>1889</v>
      </c>
      <c r="B37" s="784" t="s">
        <v>679</v>
      </c>
      <c r="C37" s="53">
        <f ca="1">ROUND(C13*F37,1)</f>
        <v>6.8</v>
      </c>
      <c r="D37" s="1960" t="s">
        <v>1803</v>
      </c>
      <c r="E37" s="784" t="s">
        <v>1795</v>
      </c>
      <c r="F37" s="818">
        <f ca="1">INDIRECT("'数据-取费表'!Al"&amp;$G$1)</f>
        <v>1.5E-3</v>
      </c>
      <c r="G37" s="2045"/>
      <c r="H37" s="2060"/>
      <c r="I37" s="841" t="s">
        <v>1815</v>
      </c>
      <c r="J37" s="842"/>
      <c r="K37" s="2065"/>
      <c r="L37" s="2060"/>
      <c r="M37" s="2060"/>
    </row>
    <row r="38" spans="1:18" ht="18" customHeight="1" thickBot="1">
      <c r="A38" s="2513" t="s">
        <v>1890</v>
      </c>
      <c r="B38" s="2508" t="s">
        <v>666</v>
      </c>
      <c r="C38" s="2506">
        <f ca="1">ROUND(C5*F38,1)</f>
        <v>8.3000000000000007</v>
      </c>
      <c r="D38" s="2507" t="s">
        <v>1804</v>
      </c>
      <c r="E38" s="2508" t="s">
        <v>1795</v>
      </c>
      <c r="F38" s="2504">
        <f ca="1">INDIRECT("'数据-取费表'!Am"&amp;$G$1)</f>
        <v>0.01</v>
      </c>
      <c r="G38" s="2045"/>
      <c r="H38" s="2060"/>
      <c r="I38" s="843" t="s">
        <v>1816</v>
      </c>
      <c r="J38" s="844"/>
      <c r="K38" s="2066"/>
      <c r="L38" s="2060"/>
      <c r="M38" s="2060"/>
    </row>
    <row r="39" spans="1:18" ht="24.6" customHeight="1" thickTop="1">
      <c r="A39" s="1812" t="s">
        <v>1893</v>
      </c>
      <c r="B39" s="2960" t="s">
        <v>2818</v>
      </c>
      <c r="C39" s="792">
        <f ca="1">C5-C30</f>
        <v>611</v>
      </c>
      <c r="D39" s="2510" t="s">
        <v>1805</v>
      </c>
      <c r="E39" s="2511"/>
      <c r="F39" s="2512"/>
      <c r="G39" s="2045"/>
      <c r="H39" s="2060"/>
      <c r="I39" s="837" t="s">
        <v>1817</v>
      </c>
      <c r="J39" s="845">
        <f ca="1">ROUND(J35/C39,3)</f>
        <v>0.59599999999999997</v>
      </c>
      <c r="K39" s="2066"/>
      <c r="L39" s="2060"/>
      <c r="M39" s="2060"/>
    </row>
    <row r="40" spans="1:18" ht="18" customHeight="1">
      <c r="A40" s="781" t="s">
        <v>1894</v>
      </c>
      <c r="B40" s="2215" t="s">
        <v>2298</v>
      </c>
      <c r="C40" s="783">
        <f ca="1">ROUND(C39*(1-((1+F42)/(1+F40))^F41)/(F40-F42),0)</f>
        <v>11482</v>
      </c>
      <c r="D40" s="814" t="s">
        <v>1806</v>
      </c>
      <c r="E40" s="784" t="s">
        <v>2416</v>
      </c>
      <c r="F40" s="794">
        <f ca="1">INDIRECT("'数据-取费表'!I"&amp;$G$1)</f>
        <v>5.5E-2</v>
      </c>
      <c r="G40" s="2045"/>
      <c r="H40" s="2045"/>
      <c r="I40" s="837" t="s">
        <v>1818</v>
      </c>
      <c r="J40" s="845">
        <f ca="1">1-J39</f>
        <v>0.40400000000000003</v>
      </c>
      <c r="K40" s="2066"/>
      <c r="L40" s="2045"/>
      <c r="M40" s="2045"/>
    </row>
    <row r="41" spans="1:18" ht="18" customHeight="1">
      <c r="A41" s="786"/>
      <c r="B41" s="787"/>
      <c r="C41" s="788"/>
      <c r="D41" s="821" t="s">
        <v>1807</v>
      </c>
      <c r="E41" s="784" t="s">
        <v>2957</v>
      </c>
      <c r="F41" s="822">
        <f ca="1">IF(INDIRECT("'数据-取费表'!af"&amp;$G$1)=0,INDIRECT("'数据-取费表'!ae"&amp;$G$1),INDIRECT("'数据-取费表'!af"&amp;$G$1))</f>
        <v>31.78</v>
      </c>
      <c r="G41" s="2045"/>
      <c r="H41" s="1971"/>
      <c r="I41" s="843" t="s">
        <v>1819</v>
      </c>
      <c r="J41" s="846"/>
      <c r="K41" s="2065"/>
      <c r="L41" s="1971"/>
      <c r="M41" s="1971"/>
    </row>
    <row r="42" spans="1:18" ht="18" customHeight="1">
      <c r="A42" s="790"/>
      <c r="B42" s="791"/>
      <c r="C42" s="792"/>
      <c r="D42" s="816"/>
      <c r="E42" s="784" t="s">
        <v>1808</v>
      </c>
      <c r="F42" s="794">
        <f ca="1">INDIRECT("'数据-取费表'!v"&amp;$G$1)</f>
        <v>0.02</v>
      </c>
      <c r="G42" s="2045"/>
      <c r="H42" s="1971"/>
      <c r="I42" s="847" t="s">
        <v>1820</v>
      </c>
      <c r="J42" s="845">
        <f ca="1">ROUND(C13/C40,3)</f>
        <v>0.39600000000000002</v>
      </c>
      <c r="K42" s="2065"/>
      <c r="L42" s="1971"/>
      <c r="M42" s="1971"/>
    </row>
    <row r="43" spans="1:18" ht="18" customHeight="1" thickBot="1">
      <c r="A43" s="823" t="s">
        <v>1786</v>
      </c>
      <c r="B43" s="824" t="s">
        <v>1809</v>
      </c>
      <c r="C43" s="825">
        <f ca="1">ROUND(C40*10000/F43,0)</f>
        <v>8698</v>
      </c>
      <c r="D43" s="826" t="s">
        <v>1810</v>
      </c>
      <c r="E43" s="827" t="s">
        <v>1811</v>
      </c>
      <c r="F43" s="828">
        <f ca="1">INDIRECT("'数据-取费表'!k"&amp;$G$1)</f>
        <v>13200</v>
      </c>
      <c r="G43" s="2045"/>
      <c r="H43" s="1971"/>
      <c r="I43" s="847" t="s">
        <v>1821</v>
      </c>
      <c r="J43" s="848">
        <f ca="1">1-J42</f>
        <v>0.60399999999999998</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6">
        <f ca="1">C67-C40</f>
        <v>-12612</v>
      </c>
      <c r="D46" s="2068"/>
      <c r="E46" s="2068"/>
      <c r="F46" s="2068"/>
      <c r="I46" s="2340" t="s">
        <v>2340</v>
      </c>
      <c r="J46" s="2341"/>
      <c r="K46" s="2342"/>
      <c r="L46" s="3104">
        <f>IF(OR(M47="住宅",D1="土地（套用方法）"),0,IF(L48&gt;J51,L60,J60))</f>
        <v>0</v>
      </c>
      <c r="O46" s="2356" t="s">
        <v>2407</v>
      </c>
      <c r="P46" s="1578"/>
      <c r="Q46" s="1589"/>
      <c r="R46" s="1578"/>
    </row>
    <row r="47" spans="1:18" s="2042" customFormat="1" ht="18" customHeight="1" thickBot="1">
      <c r="A47" s="2334">
        <v>1</v>
      </c>
      <c r="B47" s="2335" t="s">
        <v>635</v>
      </c>
      <c r="C47" s="2536">
        <f ca="1">C48+C52+C54</f>
        <v>0</v>
      </c>
      <c r="D47" s="2068"/>
      <c r="E47" s="2068"/>
      <c r="F47" s="2068"/>
      <c r="I47" s="3095" t="s">
        <v>2341</v>
      </c>
      <c r="J47" s="2343" t="s">
        <v>3192</v>
      </c>
      <c r="K47" s="3101" t="s">
        <v>2346</v>
      </c>
      <c r="L47" s="3105">
        <f ca="1">INDIRECT("'数据-取费表'!d"&amp;$G$1)</f>
        <v>40</v>
      </c>
      <c r="M47" s="1589" t="str">
        <f>IF(ISNUMBER(FIND("住宅",C1)),"住宅","非住宅")</f>
        <v>非住宅</v>
      </c>
      <c r="O47" s="2357" t="s">
        <v>2372</v>
      </c>
      <c r="P47" s="2358" t="s">
        <v>2373</v>
      </c>
      <c r="Q47" s="2359" t="s">
        <v>2374</v>
      </c>
      <c r="R47" s="2358" t="s">
        <v>2375</v>
      </c>
    </row>
    <row r="48" spans="1:18" s="2042" customFormat="1" ht="18" customHeight="1" thickBot="1">
      <c r="A48" s="2604" t="s">
        <v>2534</v>
      </c>
      <c r="B48" s="2605" t="s">
        <v>2535</v>
      </c>
      <c r="C48" s="2336">
        <f ca="1">ROUND(F48*F50*F49*(1-F51)/10000,0)</f>
        <v>0</v>
      </c>
      <c r="D48" s="2337" t="s">
        <v>636</v>
      </c>
      <c r="E48" s="2338" t="s">
        <v>2293</v>
      </c>
      <c r="F48" s="2339"/>
      <c r="G48" s="2073"/>
      <c r="I48" s="3074" t="s">
        <v>2342</v>
      </c>
      <c r="J48" s="2344" t="s">
        <v>2347</v>
      </c>
      <c r="K48" s="3102" t="s">
        <v>2348</v>
      </c>
      <c r="L48" s="1891">
        <f ca="1">INDIRECT("'数据-取费表'!f"&amp;$G$1)</f>
        <v>33.78</v>
      </c>
      <c r="O48" s="2360" t="s">
        <v>2376</v>
      </c>
      <c r="P48" s="2361" t="s">
        <v>2402</v>
      </c>
      <c r="Q48" s="2362">
        <f ca="1">C40+J29</f>
        <v>11482</v>
      </c>
      <c r="R48" s="2361" t="s">
        <v>2377</v>
      </c>
    </row>
    <row r="49" spans="1:18" s="2042" customFormat="1" ht="18" customHeight="1" thickBot="1">
      <c r="A49" s="786"/>
      <c r="B49" s="787"/>
      <c r="C49" s="788"/>
      <c r="D49" s="789"/>
      <c r="E49" s="784" t="s">
        <v>1738</v>
      </c>
      <c r="F49" s="785">
        <f ca="1">F7</f>
        <v>13200</v>
      </c>
      <c r="G49" s="2073"/>
      <c r="H49" s="2076"/>
      <c r="I49" s="3074" t="s">
        <v>2343</v>
      </c>
      <c r="J49" s="2345">
        <v>2020</v>
      </c>
      <c r="K49" s="3103" t="s">
        <v>2349</v>
      </c>
      <c r="L49" s="2346"/>
      <c r="O49" s="2360" t="s">
        <v>2378</v>
      </c>
      <c r="P49" s="2361" t="s">
        <v>2403</v>
      </c>
      <c r="Q49" s="2362" t="str">
        <f ca="1">J60</f>
        <v>0</v>
      </c>
      <c r="R49" s="2361" t="s">
        <v>2379</v>
      </c>
    </row>
    <row r="50" spans="1:18" s="2042" customFormat="1" ht="18" customHeight="1" thickBot="1">
      <c r="A50" s="786"/>
      <c r="B50" s="787"/>
      <c r="C50" s="788"/>
      <c r="D50" s="789"/>
      <c r="E50" s="784" t="s">
        <v>1739</v>
      </c>
      <c r="F50" s="785">
        <f ca="1">F8</f>
        <v>365</v>
      </c>
      <c r="G50" s="2078"/>
      <c r="H50" s="2076"/>
      <c r="I50" s="3074" t="s">
        <v>2344</v>
      </c>
      <c r="J50" s="3099">
        <f>SUMPRODUCT((I63:I65=J47)*(J62:L62=J48)*(J63:L65))</f>
        <v>60</v>
      </c>
      <c r="K50" s="3103" t="s">
        <v>2350</v>
      </c>
      <c r="L50" s="2346"/>
      <c r="O50" s="2363" t="s">
        <v>2380</v>
      </c>
      <c r="P50" s="2361" t="s">
        <v>2404</v>
      </c>
      <c r="Q50" s="2362">
        <f ca="1">C29</f>
        <v>4550</v>
      </c>
      <c r="R50" s="2361" t="s">
        <v>2377</v>
      </c>
    </row>
    <row r="51" spans="1:18" s="2042" customFormat="1" ht="18" customHeight="1" thickBot="1">
      <c r="A51" s="786"/>
      <c r="B51" s="787"/>
      <c r="C51" s="788"/>
      <c r="D51" s="789"/>
      <c r="E51" s="784" t="s">
        <v>640</v>
      </c>
      <c r="F51" s="2333"/>
      <c r="H51" s="2076"/>
      <c r="I51" s="3096" t="s">
        <v>2345</v>
      </c>
      <c r="J51" s="3100">
        <f>IF(J49="",J50,J49+J50-YEAR('数据-取费表'!B2))</f>
        <v>60</v>
      </c>
      <c r="K51" s="3074" t="s">
        <v>2351</v>
      </c>
      <c r="L51" s="3106">
        <f ca="1">ROUND(-PV(INDIRECT("'数据-取费表'!h"&amp;$G$1),L48,(C39-C13*J36),0),0)</f>
        <v>3989</v>
      </c>
      <c r="O51" s="2363" t="s">
        <v>2381</v>
      </c>
      <c r="P51" s="2361" t="s">
        <v>2382</v>
      </c>
      <c r="Q51" s="2364" t="e">
        <f ca="1">J58</f>
        <v>#VALUE!</v>
      </c>
      <c r="R51" s="2365"/>
    </row>
    <row r="52" spans="1:18" s="2042" customFormat="1" ht="18" customHeight="1" thickBot="1">
      <c r="A52" s="781" t="s">
        <v>2533</v>
      </c>
      <c r="B52" s="2456" t="s">
        <v>2456</v>
      </c>
      <c r="C52" s="799">
        <f ca="1">ROUND(IF(F52="押一",C48/12*F11,IF(F52="押二",C48/12*2*F11,IF(F52="押三",C48/12*3*F11,C53*F11))),0)</f>
        <v>0</v>
      </c>
      <c r="D52" s="2463" t="s">
        <v>2968</v>
      </c>
      <c r="E52" s="2460" t="s">
        <v>2461</v>
      </c>
      <c r="F52" s="2583"/>
      <c r="I52" s="3097" t="s">
        <v>2418</v>
      </c>
      <c r="J52" s="2347">
        <v>8.5000000000000006E-2</v>
      </c>
      <c r="K52" s="3097" t="s">
        <v>2417</v>
      </c>
      <c r="L52" s="2347"/>
      <c r="O52" s="2363" t="s">
        <v>2383</v>
      </c>
      <c r="P52" s="2361" t="s">
        <v>2384</v>
      </c>
      <c r="Q52" s="2364">
        <f>J52</f>
        <v>8.5000000000000006E-2</v>
      </c>
      <c r="R52" s="2365"/>
    </row>
    <row r="53" spans="1:18" s="2042" customFormat="1" ht="39.75" customHeight="1" thickBot="1">
      <c r="A53" s="786"/>
      <c r="B53" s="2457" t="s">
        <v>2570</v>
      </c>
      <c r="C53" s="2461"/>
      <c r="D53" s="2463"/>
      <c r="E53" s="2460"/>
      <c r="F53" s="800"/>
      <c r="I53" s="3098" t="s">
        <v>2971</v>
      </c>
      <c r="J53" s="3177">
        <f ca="1">IF(M47="住宅",IF(D1="——",MAX(J51,L48),MAX(J51,L48-'数据-取费表'!B20)),IF(D1="——",MIN(J51,L48),MIN(J51,L48-'数据-取费表'!B20)))</f>
        <v>31.78</v>
      </c>
      <c r="K53" s="3468" t="s">
        <v>2959</v>
      </c>
      <c r="L53" s="3469"/>
      <c r="O53" s="2363" t="s">
        <v>2385</v>
      </c>
      <c r="P53" s="2361" t="s">
        <v>2386</v>
      </c>
      <c r="Q53" s="2362">
        <f ca="1">J53</f>
        <v>31.78</v>
      </c>
      <c r="R53" s="2361" t="s">
        <v>2387</v>
      </c>
    </row>
    <row r="54" spans="1:18" s="2042" customFormat="1" ht="18" customHeight="1" thickBot="1">
      <c r="A54" s="2499" t="s">
        <v>2464</v>
      </c>
      <c r="B54" s="2500" t="s">
        <v>2457</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2388</v>
      </c>
      <c r="P54" s="2361" t="s">
        <v>2405</v>
      </c>
      <c r="Q54" s="2362">
        <f ca="1">Q48+Q49</f>
        <v>11482</v>
      </c>
      <c r="R54" s="2365" t="s">
        <v>2389</v>
      </c>
    </row>
    <row r="55" spans="1:18" s="2042" customFormat="1" ht="18" customHeight="1" thickTop="1" thickBot="1">
      <c r="A55" s="797">
        <v>2</v>
      </c>
      <c r="B55" s="798" t="s">
        <v>644</v>
      </c>
      <c r="C55" s="799">
        <f ca="1">C13</f>
        <v>4550</v>
      </c>
      <c r="D55" s="795"/>
      <c r="E55" s="795"/>
      <c r="F55" s="800"/>
      <c r="I55" s="3109" t="s">
        <v>2352</v>
      </c>
      <c r="J55" s="3049" t="e">
        <f ca="1">ROUND(IF(J47="钢混",J57/J50,1-(1-2%)*(J50-J57)/J50),3)</f>
        <v>#VALUE!</v>
      </c>
      <c r="K55" s="3110" t="s">
        <v>2353</v>
      </c>
      <c r="L55" s="2348"/>
      <c r="O55" s="2366" t="s">
        <v>2408</v>
      </c>
      <c r="P55" s="1578"/>
      <c r="Q55" s="1589"/>
      <c r="R55" s="1578"/>
    </row>
    <row r="56" spans="1:18" s="2042" customFormat="1" ht="42.75" customHeight="1" thickBot="1">
      <c r="A56" s="1635"/>
      <c r="B56" s="2214" t="s">
        <v>2299</v>
      </c>
      <c r="C56" s="53">
        <f ca="1">C29</f>
        <v>4550</v>
      </c>
      <c r="D56" s="2601"/>
      <c r="E56" s="784"/>
      <c r="F56" s="809"/>
      <c r="I56" s="3111" t="s">
        <v>2354</v>
      </c>
      <c r="J56" s="3121" t="s">
        <v>1678</v>
      </c>
      <c r="K56" s="3074" t="s">
        <v>2359</v>
      </c>
      <c r="L56" s="1891" t="str">
        <f ca="1">IF(L48&lt;J51,"——",L48-J51)</f>
        <v>——</v>
      </c>
      <c r="O56" s="2357" t="s">
        <v>2372</v>
      </c>
      <c r="P56" s="2358" t="s">
        <v>2373</v>
      </c>
      <c r="Q56" s="2359" t="s">
        <v>2374</v>
      </c>
      <c r="R56" s="2358" t="s">
        <v>2375</v>
      </c>
    </row>
    <row r="57" spans="1:18" s="2042" customFormat="1" ht="28.5" customHeight="1" thickBot="1">
      <c r="A57" s="797" t="s">
        <v>1747</v>
      </c>
      <c r="B57" s="798" t="s">
        <v>651</v>
      </c>
      <c r="C57" s="799">
        <f ca="1">ROUND(C58+C63+C64+C65,0)</f>
        <v>76</v>
      </c>
      <c r="D57" s="26" t="s">
        <v>1749</v>
      </c>
      <c r="E57" s="2602"/>
      <c r="F57" s="56"/>
      <c r="I57" s="3112" t="s">
        <v>2355</v>
      </c>
      <c r="J57" s="3113" t="str">
        <f ca="1">IF(OR(M47="住宅",J51&lt;L48,J56="是"),"——",J51-L48)</f>
        <v>——</v>
      </c>
      <c r="K57" s="3074" t="s">
        <v>2360</v>
      </c>
      <c r="L57" s="1891" t="str">
        <f ca="1">IF(L48&lt;J51,"——",IF(L55="比较法",L49,IF(L55="基准地价",L50,L51)))</f>
        <v>——</v>
      </c>
      <c r="O57" s="2360" t="s">
        <v>2376</v>
      </c>
      <c r="P57" s="2361" t="s">
        <v>2406</v>
      </c>
      <c r="Q57" s="2362">
        <f ca="1">C40+J29</f>
        <v>11482</v>
      </c>
      <c r="R57" s="2361" t="s">
        <v>2377</v>
      </c>
    </row>
    <row r="58" spans="1:18" s="2042" customFormat="1" ht="28.5" customHeight="1" thickBot="1">
      <c r="A58" s="1634" t="s">
        <v>1823</v>
      </c>
      <c r="B58" s="784" t="s">
        <v>656</v>
      </c>
      <c r="C58" s="53">
        <f ca="1">ROUND(IF(项目基本情况!B11="自然人",C47*F58,C59+C60+C61),1)</f>
        <v>0.8</v>
      </c>
      <c r="D58" s="2600" t="s">
        <v>657</v>
      </c>
      <c r="E58" s="2601" t="s">
        <v>690</v>
      </c>
      <c r="F58" s="810" t="str">
        <f ca="1">IF(项目基本情况!B11="企业","",IF(INDIRECT("'数据-取费表'!c"&amp;$G$1)="住宅",5%,IF(F48*F49*F50/12/(1+'数据-取费表'!C42)&gt;20000,12%,7%)))</f>
        <v/>
      </c>
      <c r="I58" s="3112" t="s">
        <v>2356</v>
      </c>
      <c r="J58" s="3050" t="e">
        <f ca="1">IF(J55&lt;0.4,0.4,J55)</f>
        <v>#VALUE!</v>
      </c>
      <c r="K58" s="3074" t="s">
        <v>2361</v>
      </c>
      <c r="L58" s="1891" t="e">
        <f ca="1">ROUND(POWER(1+L52,L47-L48)*(POWER(1+L52,L48)-1)/(POWER(1+L52,L47)-1),4)</f>
        <v>#DIV/0!</v>
      </c>
      <c r="O58" s="2360" t="s">
        <v>2378</v>
      </c>
      <c r="P58" s="2361" t="s">
        <v>2409</v>
      </c>
      <c r="Q58" s="2362">
        <f ca="1">L60</f>
        <v>0</v>
      </c>
      <c r="R58" s="2365" t="s">
        <v>2411</v>
      </c>
    </row>
    <row r="59" spans="1:18" s="2042" customFormat="1" ht="28.5" customHeight="1" thickBot="1">
      <c r="A59" s="1633" t="s">
        <v>1830</v>
      </c>
      <c r="B59" s="784" t="s">
        <v>660</v>
      </c>
      <c r="C59" s="53">
        <f ca="1">ROUND(C47*F59/1.05,1)</f>
        <v>0</v>
      </c>
      <c r="D59" s="2601" t="s">
        <v>1755</v>
      </c>
      <c r="E59" s="784" t="s">
        <v>1746</v>
      </c>
      <c r="F59" s="809">
        <f t="shared" ref="F59:F65" si="0">F32</f>
        <v>5.5000000000000007E-2</v>
      </c>
      <c r="I59" s="3112" t="s">
        <v>2357</v>
      </c>
      <c r="J59" s="3113"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2380</v>
      </c>
      <c r="P59" s="2361" t="s">
        <v>2410</v>
      </c>
      <c r="Q59" s="2362">
        <f>IF(L55="比较法",L49,IF(L55="基准地价",L50,0))</f>
        <v>0</v>
      </c>
      <c r="R59" s="2361" t="s">
        <v>2377</v>
      </c>
    </row>
    <row r="60" spans="1:18" s="2042" customFormat="1" ht="18" customHeight="1" thickBot="1">
      <c r="A60" s="1633" t="s">
        <v>1831</v>
      </c>
      <c r="B60" s="784" t="s">
        <v>1757</v>
      </c>
      <c r="C60" s="53">
        <f ca="1">IF(D60="按租金收入计税",ROUND(C47*F60,1),IF(D60="按房产原值计税",ROUND(C56*F60*0.7,1),INDIRECT("'数据-取费表'!Aj"&amp;$G$1)))</f>
        <v>0</v>
      </c>
      <c r="D60" s="2601" t="str">
        <f>D33</f>
        <v>按租金收入计税</v>
      </c>
      <c r="E60" s="784" t="s">
        <v>1746</v>
      </c>
      <c r="F60" s="809">
        <f t="shared" si="0"/>
        <v>0.12</v>
      </c>
      <c r="I60" s="3114" t="s">
        <v>2358</v>
      </c>
      <c r="J60" s="3115" t="str">
        <f ca="1">IF(OR(M47="住宅",J51&lt;L48,J56="是"),"0",ROUND(J59/(1+J52)^J53,0))</f>
        <v>0</v>
      </c>
      <c r="K60" s="3116" t="s">
        <v>2363</v>
      </c>
      <c r="L60" s="3115">
        <f ca="1">IF(OR(M47="住宅",L48&lt;J51),0,ROUND(L57*(L58/L59-1),0))</f>
        <v>0</v>
      </c>
      <c r="O60" s="2363" t="s">
        <v>2381</v>
      </c>
      <c r="P60" s="2361" t="s">
        <v>2390</v>
      </c>
      <c r="Q60" s="2364">
        <f>L52</f>
        <v>0</v>
      </c>
      <c r="R60" s="2365"/>
    </row>
    <row r="61" spans="1:18" s="2042" customFormat="1" ht="18" customHeight="1" thickBot="1">
      <c r="A61" s="1636" t="s">
        <v>1832</v>
      </c>
      <c r="B61" s="341" t="s">
        <v>668</v>
      </c>
      <c r="C61" s="54">
        <f ca="1">ROUND(F61*F62/10000,1)</f>
        <v>0.8</v>
      </c>
      <c r="D61" s="814" t="s">
        <v>669</v>
      </c>
      <c r="E61" s="784" t="s">
        <v>670</v>
      </c>
      <c r="F61" s="640">
        <f t="shared" si="0"/>
        <v>3</v>
      </c>
      <c r="K61" s="2069"/>
      <c r="O61" s="2363" t="s">
        <v>2383</v>
      </c>
      <c r="P61" s="2361" t="s">
        <v>2391</v>
      </c>
      <c r="Q61" s="2362" t="e">
        <f ca="1">L58</f>
        <v>#DIV/0!</v>
      </c>
      <c r="R61" s="2365" t="s">
        <v>2392</v>
      </c>
    </row>
    <row r="62" spans="1:18" s="2042" customFormat="1" ht="16.2" thickBot="1">
      <c r="A62" s="815"/>
      <c r="B62" s="793"/>
      <c r="C62" s="69"/>
      <c r="D62" s="816"/>
      <c r="E62" s="784" t="s">
        <v>674</v>
      </c>
      <c r="F62" s="785">
        <f t="shared" ca="1" si="0"/>
        <v>2581.98</v>
      </c>
      <c r="I62" s="3117" t="s">
        <v>2364</v>
      </c>
      <c r="J62" s="3118" t="s">
        <v>2365</v>
      </c>
      <c r="K62" s="3118" t="s">
        <v>2366</v>
      </c>
      <c r="L62" s="3118" t="s">
        <v>2347</v>
      </c>
      <c r="M62" s="3119" t="s">
        <v>2936</v>
      </c>
      <c r="O62" s="2363" t="s">
        <v>2385</v>
      </c>
      <c r="P62" s="2361" t="str">
        <f>K59</f>
        <v>建设期及建筑物耐用年限下的土地年期修正系数Kn</v>
      </c>
      <c r="Q62" s="2362" t="e">
        <f ca="1">L59</f>
        <v>#DIV/0!</v>
      </c>
      <c r="R62" s="2365" t="s">
        <v>2394</v>
      </c>
    </row>
    <row r="63" spans="1:18" s="2042" customFormat="1" ht="16.2" thickBot="1">
      <c r="A63" s="1634" t="s">
        <v>1888</v>
      </c>
      <c r="B63" s="784" t="s">
        <v>676</v>
      </c>
      <c r="C63" s="53">
        <f ca="1">ROUND(C56*F63,1)</f>
        <v>68.3</v>
      </c>
      <c r="D63" s="2601" t="s">
        <v>1802</v>
      </c>
      <c r="E63" s="784" t="s">
        <v>1746</v>
      </c>
      <c r="F63" s="817">
        <f t="shared" ca="1" si="0"/>
        <v>1.4999999999999999E-2</v>
      </c>
      <c r="I63" s="3117" t="s">
        <v>2367</v>
      </c>
      <c r="J63" s="3118">
        <v>70</v>
      </c>
      <c r="K63" s="3118">
        <v>50</v>
      </c>
      <c r="L63" s="3118">
        <v>80</v>
      </c>
      <c r="M63" s="3120">
        <v>0.02</v>
      </c>
      <c r="O63" s="2360" t="s">
        <v>2388</v>
      </c>
      <c r="P63" s="2361" t="s">
        <v>2405</v>
      </c>
      <c r="Q63" s="2362">
        <f ca="1">Q57+Q58</f>
        <v>11482</v>
      </c>
      <c r="R63" s="2365" t="s">
        <v>2389</v>
      </c>
    </row>
    <row r="64" spans="1:18" s="2042" customFormat="1" ht="16.2" thickBot="1">
      <c r="A64" s="1634" t="s">
        <v>1889</v>
      </c>
      <c r="B64" s="784" t="s">
        <v>679</v>
      </c>
      <c r="C64" s="53">
        <f ca="1">ROUND(C55*F64,1)</f>
        <v>6.8</v>
      </c>
      <c r="D64" s="2601" t="s">
        <v>680</v>
      </c>
      <c r="E64" s="784" t="s">
        <v>1746</v>
      </c>
      <c r="F64" s="818">
        <f t="shared" ca="1" si="0"/>
        <v>1.5E-3</v>
      </c>
      <c r="I64" s="3117" t="s">
        <v>2368</v>
      </c>
      <c r="J64" s="3118">
        <v>50</v>
      </c>
      <c r="K64" s="3118">
        <v>35</v>
      </c>
      <c r="L64" s="3118">
        <v>60</v>
      </c>
      <c r="M64" s="846">
        <v>0</v>
      </c>
      <c r="O64" s="2366" t="s">
        <v>2412</v>
      </c>
      <c r="P64" s="1578"/>
      <c r="Q64" s="1589"/>
      <c r="R64" s="1578"/>
    </row>
    <row r="65" spans="1:18" s="2042" customFormat="1" ht="16.2" thickBot="1">
      <c r="A65" s="1634" t="s">
        <v>1890</v>
      </c>
      <c r="B65" s="784" t="s">
        <v>666</v>
      </c>
      <c r="C65" s="53">
        <f ca="1">ROUND(C47*F65,1)</f>
        <v>0</v>
      </c>
      <c r="D65" s="2601" t="s">
        <v>683</v>
      </c>
      <c r="E65" s="784" t="s">
        <v>1746</v>
      </c>
      <c r="F65" s="794">
        <f t="shared" ca="1" si="0"/>
        <v>0.01</v>
      </c>
      <c r="I65" s="3117" t="s">
        <v>2369</v>
      </c>
      <c r="J65" s="3118">
        <v>40</v>
      </c>
      <c r="K65" s="3118">
        <v>30</v>
      </c>
      <c r="L65" s="3118">
        <v>50</v>
      </c>
      <c r="M65" s="3120">
        <v>0.02</v>
      </c>
      <c r="O65" s="2357" t="s">
        <v>2372</v>
      </c>
      <c r="P65" s="2358" t="s">
        <v>2373</v>
      </c>
      <c r="Q65" s="2359" t="s">
        <v>2374</v>
      </c>
      <c r="R65" s="2358" t="s">
        <v>2375</v>
      </c>
    </row>
    <row r="66" spans="1:18" s="2042" customFormat="1" ht="24.6" thickBot="1">
      <c r="A66" s="797" t="s">
        <v>1775</v>
      </c>
      <c r="B66" s="2961" t="s">
        <v>2818</v>
      </c>
      <c r="C66" s="799">
        <f ca="1">C47-C57</f>
        <v>-76</v>
      </c>
      <c r="D66" s="2600" t="s">
        <v>700</v>
      </c>
      <c r="E66" s="2599"/>
      <c r="F66" s="820"/>
      <c r="K66" s="2069"/>
      <c r="O66" s="2360" t="s">
        <v>2376</v>
      </c>
      <c r="P66" s="2361" t="s">
        <v>2406</v>
      </c>
      <c r="Q66" s="2362">
        <f ca="1">C40+J29</f>
        <v>11482</v>
      </c>
      <c r="R66" s="2361" t="s">
        <v>2377</v>
      </c>
    </row>
    <row r="67" spans="1:18" s="2042" customFormat="1" ht="19.2" thickBot="1">
      <c r="A67" s="781" t="s">
        <v>1779</v>
      </c>
      <c r="B67" s="2215" t="s">
        <v>2298</v>
      </c>
      <c r="C67" s="783">
        <f ca="1">ROUND(C66*(1-((1+F69)/(1+F67))^F68)/(F67-F69),0)</f>
        <v>-1130</v>
      </c>
      <c r="D67" s="814" t="s">
        <v>704</v>
      </c>
      <c r="E67" s="784" t="s">
        <v>705</v>
      </c>
      <c r="F67" s="794">
        <f ca="1">F40</f>
        <v>5.5E-2</v>
      </c>
      <c r="K67" s="2069"/>
      <c r="O67" s="2360" t="s">
        <v>2378</v>
      </c>
      <c r="P67" s="2361" t="s">
        <v>2409</v>
      </c>
      <c r="Q67" s="2362">
        <f ca="1">L60</f>
        <v>0</v>
      </c>
      <c r="R67" s="2365" t="s">
        <v>2411</v>
      </c>
    </row>
    <row r="68" spans="1:18" ht="20.399999999999999" thickBot="1">
      <c r="A68" s="786"/>
      <c r="B68" s="787"/>
      <c r="C68" s="788"/>
      <c r="D68" s="821" t="s">
        <v>1807</v>
      </c>
      <c r="E68" s="784" t="s">
        <v>1783</v>
      </c>
      <c r="F68" s="822">
        <f ca="1">F41</f>
        <v>31.78</v>
      </c>
      <c r="O68" s="2363" t="s">
        <v>2380</v>
      </c>
      <c r="P68" s="2361" t="s">
        <v>2410</v>
      </c>
      <c r="Q68" s="2367">
        <f ca="1">L51</f>
        <v>3989</v>
      </c>
      <c r="R68" s="2368" t="s">
        <v>2413</v>
      </c>
    </row>
    <row r="69" spans="1:18" ht="19.2" thickBot="1">
      <c r="A69" s="790"/>
      <c r="B69" s="791"/>
      <c r="C69" s="792"/>
      <c r="D69" s="816"/>
      <c r="E69" s="784" t="s">
        <v>710</v>
      </c>
      <c r="F69" s="2333"/>
      <c r="O69" s="2363" t="s">
        <v>2381</v>
      </c>
      <c r="P69" s="2369" t="s">
        <v>2395</v>
      </c>
      <c r="Q69" s="2362">
        <f ca="1">ROUND(Q70-Q71*Q72,0)</f>
        <v>247</v>
      </c>
      <c r="R69" s="2365"/>
    </row>
    <row r="70" spans="1:18" ht="16.2" thickBot="1">
      <c r="A70" s="823" t="s">
        <v>1786</v>
      </c>
      <c r="B70" s="824" t="s">
        <v>1809</v>
      </c>
      <c r="C70" s="825">
        <f ca="1">ROUND(C67*10000/F70,0)</f>
        <v>-856</v>
      </c>
      <c r="D70" s="826" t="s">
        <v>1810</v>
      </c>
      <c r="E70" s="827" t="s">
        <v>1811</v>
      </c>
      <c r="F70" s="828">
        <f ca="1">F43</f>
        <v>13200</v>
      </c>
      <c r="O70" s="2363" t="s">
        <v>2396</v>
      </c>
      <c r="P70" s="2369" t="s">
        <v>2397</v>
      </c>
      <c r="Q70" s="2362">
        <f ca="1">C39</f>
        <v>611</v>
      </c>
      <c r="R70" s="2361" t="s">
        <v>2377</v>
      </c>
    </row>
    <row r="71" spans="1:18" ht="16.2" thickBot="1">
      <c r="O71" s="2363" t="s">
        <v>2398</v>
      </c>
      <c r="P71" s="2369" t="s">
        <v>2399</v>
      </c>
      <c r="Q71" s="2362">
        <f ca="1">C13</f>
        <v>4550</v>
      </c>
      <c r="R71" s="2361" t="s">
        <v>2377</v>
      </c>
    </row>
    <row r="72" spans="1:18" ht="16.2" thickBot="1">
      <c r="O72" s="2363" t="s">
        <v>2400</v>
      </c>
      <c r="P72" s="2369" t="s">
        <v>2401</v>
      </c>
      <c r="Q72" s="2364">
        <f ca="1">J36</f>
        <v>0.08</v>
      </c>
      <c r="R72" s="2365"/>
    </row>
    <row r="73" spans="1:18" ht="16.2" thickBot="1">
      <c r="O73" s="2363" t="s">
        <v>2383</v>
      </c>
      <c r="P73" s="2361" t="s">
        <v>2390</v>
      </c>
      <c r="Q73" s="2364">
        <f>L52</f>
        <v>0</v>
      </c>
      <c r="R73" s="2365"/>
    </row>
    <row r="74" spans="1:18" ht="19.2" thickBot="1">
      <c r="O74" s="2363" t="s">
        <v>2385</v>
      </c>
      <c r="P74" s="2361" t="s">
        <v>2391</v>
      </c>
      <c r="Q74" s="2362" t="e">
        <f ca="1">L58</f>
        <v>#DIV/0!</v>
      </c>
      <c r="R74" s="2365" t="s">
        <v>2392</v>
      </c>
    </row>
    <row r="75" spans="1:18" ht="16.2" thickBot="1">
      <c r="O75" s="2363" t="s">
        <v>2414</v>
      </c>
      <c r="P75" s="2361" t="str">
        <f>K59</f>
        <v>建设期及建筑物耐用年限下的土地年期修正系数Kn</v>
      </c>
      <c r="Q75" s="2362" t="e">
        <f ca="1">L59</f>
        <v>#DIV/0!</v>
      </c>
      <c r="R75" s="2365" t="s">
        <v>2394</v>
      </c>
    </row>
    <row r="76" spans="1:18" ht="16.2" thickBot="1">
      <c r="O76" s="2360" t="s">
        <v>2388</v>
      </c>
      <c r="P76" s="2361" t="s">
        <v>2405</v>
      </c>
      <c r="Q76" s="2362">
        <f ca="1">Q66+Q67</f>
        <v>11482</v>
      </c>
      <c r="R76" s="2365" t="s">
        <v>2389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470" t="s">
        <v>2468</v>
      </c>
      <c r="B1" s="3471"/>
      <c r="C1" s="3472"/>
      <c r="D1" s="3473">
        <f>SUM(I10,I15,I20,I21,I23)</f>
        <v>0</v>
      </c>
      <c r="E1" s="3473"/>
      <c r="F1" s="3473"/>
      <c r="G1" s="3473"/>
      <c r="H1" s="3473"/>
      <c r="I1" s="3474"/>
    </row>
    <row r="2" spans="1:9">
      <c r="A2" s="3475" t="s">
        <v>2469</v>
      </c>
      <c r="B2" s="3476" t="s">
        <v>2470</v>
      </c>
      <c r="C2" s="3476"/>
      <c r="D2" s="2469" t="s">
        <v>2471</v>
      </c>
      <c r="E2" s="2469" t="s">
        <v>2472</v>
      </c>
      <c r="F2" s="2469" t="s">
        <v>2473</v>
      </c>
      <c r="G2" s="2469" t="s">
        <v>2474</v>
      </c>
      <c r="H2" s="2469" t="s">
        <v>2475</v>
      </c>
      <c r="I2" s="2470" t="s">
        <v>2476</v>
      </c>
    </row>
    <row r="3" spans="1:9">
      <c r="A3" s="3475"/>
      <c r="B3" s="3476" t="s">
        <v>2477</v>
      </c>
      <c r="C3" s="3476"/>
      <c r="D3" s="2471"/>
      <c r="E3" s="2469"/>
      <c r="F3" s="2472"/>
      <c r="G3" s="2472"/>
      <c r="H3" s="2473"/>
      <c r="I3" s="2474">
        <f>ROUND(D3*E3*F3*G3*H3/10000,0)</f>
        <v>0</v>
      </c>
    </row>
    <row r="4" spans="1:9">
      <c r="A4" s="3475"/>
      <c r="B4" s="3476" t="s">
        <v>2478</v>
      </c>
      <c r="C4" s="3476"/>
      <c r="D4" s="2471"/>
      <c r="E4" s="2469"/>
      <c r="F4" s="2472"/>
      <c r="G4" s="2472"/>
      <c r="H4" s="2473"/>
      <c r="I4" s="2474">
        <f t="shared" ref="I4:I9" si="0">ROUND(D4*E4*F4*G4*H4/10000,0)</f>
        <v>0</v>
      </c>
    </row>
    <row r="5" spans="1:9">
      <c r="A5" s="3475"/>
      <c r="B5" s="3476" t="s">
        <v>2479</v>
      </c>
      <c r="C5" s="3476"/>
      <c r="D5" s="2471"/>
      <c r="E5" s="2469"/>
      <c r="F5" s="2472"/>
      <c r="G5" s="2472"/>
      <c r="H5" s="2473"/>
      <c r="I5" s="2474">
        <f t="shared" si="0"/>
        <v>0</v>
      </c>
    </row>
    <row r="6" spans="1:9">
      <c r="A6" s="3475"/>
      <c r="B6" s="3476" t="s">
        <v>2480</v>
      </c>
      <c r="C6" s="3476"/>
      <c r="D6" s="2471"/>
      <c r="E6" s="2469"/>
      <c r="F6" s="2472"/>
      <c r="G6" s="2472"/>
      <c r="H6" s="2473"/>
      <c r="I6" s="2474">
        <f t="shared" si="0"/>
        <v>0</v>
      </c>
    </row>
    <row r="7" spans="1:9">
      <c r="A7" s="3475"/>
      <c r="B7" s="3476" t="s">
        <v>2481</v>
      </c>
      <c r="C7" s="3476"/>
      <c r="D7" s="2471"/>
      <c r="E7" s="2469"/>
      <c r="F7" s="2472"/>
      <c r="G7" s="2472"/>
      <c r="H7" s="2473"/>
      <c r="I7" s="2474">
        <f t="shared" si="0"/>
        <v>0</v>
      </c>
    </row>
    <row r="8" spans="1:9">
      <c r="A8" s="3475"/>
      <c r="B8" s="3476" t="s">
        <v>2482</v>
      </c>
      <c r="C8" s="3476"/>
      <c r="D8" s="2471"/>
      <c r="E8" s="2469"/>
      <c r="F8" s="2472"/>
      <c r="G8" s="2472"/>
      <c r="H8" s="2473"/>
      <c r="I8" s="2474">
        <f t="shared" si="0"/>
        <v>0</v>
      </c>
    </row>
    <row r="9" spans="1:9">
      <c r="A9" s="3475"/>
      <c r="B9" s="3476" t="s">
        <v>2483</v>
      </c>
      <c r="C9" s="3476"/>
      <c r="D9" s="2471"/>
      <c r="E9" s="2469"/>
      <c r="F9" s="2472"/>
      <c r="G9" s="2472"/>
      <c r="H9" s="2473"/>
      <c r="I9" s="2474">
        <f t="shared" si="0"/>
        <v>0</v>
      </c>
    </row>
    <row r="10" spans="1:9">
      <c r="A10" s="3475"/>
      <c r="B10" s="3477" t="s">
        <v>2484</v>
      </c>
      <c r="C10" s="3477"/>
      <c r="D10" s="2475">
        <v>527</v>
      </c>
      <c r="E10" s="2475" t="e">
        <f>ROUND(D1*10000/D10/H9,0)</f>
        <v>#DIV/0!</v>
      </c>
      <c r="F10" s="2476"/>
      <c r="G10" s="2476"/>
      <c r="H10" s="2477"/>
      <c r="I10" s="2478">
        <f>SUM(I3:I9)</f>
        <v>0</v>
      </c>
    </row>
    <row r="11" spans="1:9" ht="15.6">
      <c r="A11" s="3475" t="s">
        <v>2485</v>
      </c>
      <c r="B11" s="3476" t="s">
        <v>2486</v>
      </c>
      <c r="C11" s="3476"/>
      <c r="D11" s="2471" t="s">
        <v>2487</v>
      </c>
      <c r="E11" s="2471" t="s">
        <v>2488</v>
      </c>
      <c r="F11" s="2472" t="s">
        <v>2489</v>
      </c>
      <c r="G11" s="2472" t="s">
        <v>2490</v>
      </c>
      <c r="H11" s="2479" t="s">
        <v>2491</v>
      </c>
      <c r="I11" s="2470" t="s">
        <v>2492</v>
      </c>
    </row>
    <row r="12" spans="1:9">
      <c r="A12" s="3475"/>
      <c r="B12" s="3476" t="s">
        <v>2493</v>
      </c>
      <c r="C12" s="3476"/>
      <c r="D12" s="2471"/>
      <c r="E12" s="2471"/>
      <c r="F12" s="2472"/>
      <c r="G12" s="2473"/>
      <c r="H12" s="2480"/>
      <c r="I12" s="2470">
        <f>ROUND(D12*E12*F12*G12/10000,0)</f>
        <v>0</v>
      </c>
    </row>
    <row r="13" spans="1:9">
      <c r="A13" s="3475"/>
      <c r="B13" s="3476" t="s">
        <v>2494</v>
      </c>
      <c r="C13" s="3476"/>
      <c r="D13" s="2471"/>
      <c r="E13" s="2471"/>
      <c r="F13" s="2472"/>
      <c r="G13" s="2473"/>
      <c r="H13" s="2480"/>
      <c r="I13" s="2470">
        <f>ROUND(D13*E13*F13*G13/10000,0)</f>
        <v>0</v>
      </c>
    </row>
    <row r="14" spans="1:9">
      <c r="A14" s="3475"/>
      <c r="B14" s="3476" t="s">
        <v>2495</v>
      </c>
      <c r="C14" s="3476"/>
      <c r="D14" s="2471"/>
      <c r="E14" s="2471"/>
      <c r="F14" s="2472"/>
      <c r="G14" s="2473"/>
      <c r="H14" s="2480"/>
      <c r="I14" s="2470">
        <f>ROUND(D14*E14*F14*G14/10000,0)</f>
        <v>0</v>
      </c>
    </row>
    <row r="15" spans="1:9">
      <c r="A15" s="3475"/>
      <c r="B15" s="3477" t="s">
        <v>2484</v>
      </c>
      <c r="C15" s="3477"/>
      <c r="D15" s="2475"/>
      <c r="E15" s="2475">
        <f>SUM(E12:E14)</f>
        <v>0</v>
      </c>
      <c r="F15" s="2476"/>
      <c r="G15" s="2473"/>
      <c r="H15" s="2480"/>
      <c r="I15" s="2481">
        <f>SUM(I12:I14)</f>
        <v>0</v>
      </c>
    </row>
    <row r="16" spans="1:9" ht="24">
      <c r="A16" s="3475" t="s">
        <v>2496</v>
      </c>
      <c r="B16" s="3476" t="s">
        <v>2497</v>
      </c>
      <c r="C16" s="3476"/>
      <c r="D16" s="2471" t="s">
        <v>2498</v>
      </c>
      <c r="E16" s="2482" t="s">
        <v>2499</v>
      </c>
      <c r="F16" s="2472" t="s">
        <v>2500</v>
      </c>
      <c r="G16" s="2473" t="s">
        <v>2490</v>
      </c>
      <c r="H16" s="2479" t="s">
        <v>2491</v>
      </c>
      <c r="I16" s="2470" t="s">
        <v>2492</v>
      </c>
    </row>
    <row r="17" spans="1:9" ht="15.6">
      <c r="A17" s="3475"/>
      <c r="B17" s="3476" t="s">
        <v>2501</v>
      </c>
      <c r="C17" s="3476"/>
      <c r="D17" s="2471"/>
      <c r="E17" s="2471"/>
      <c r="F17" s="2472"/>
      <c r="G17" s="2473"/>
      <c r="H17" s="2483"/>
      <c r="I17" s="2484">
        <f>ROUND(D17*E17*F17*G17/10000,0)</f>
        <v>0</v>
      </c>
    </row>
    <row r="18" spans="1:9" ht="15.6">
      <c r="A18" s="3475"/>
      <c r="B18" s="3476" t="s">
        <v>2502</v>
      </c>
      <c r="C18" s="3476"/>
      <c r="D18" s="2471"/>
      <c r="E18" s="2471"/>
      <c r="F18" s="2472"/>
      <c r="G18" s="2473"/>
      <c r="H18" s="2483"/>
      <c r="I18" s="2484">
        <f>ROUND(D18*E18*F18*G18/10000,0)</f>
        <v>0</v>
      </c>
    </row>
    <row r="19" spans="1:9" ht="15.6">
      <c r="A19" s="3475"/>
      <c r="B19" s="3476" t="s">
        <v>2503</v>
      </c>
      <c r="C19" s="3476"/>
      <c r="D19" s="2471"/>
      <c r="E19" s="2471"/>
      <c r="F19" s="2472"/>
      <c r="G19" s="2473"/>
      <c r="H19" s="2483"/>
      <c r="I19" s="2484">
        <f>ROUND(D19*E19*F19*G19/10000,0)</f>
        <v>0</v>
      </c>
    </row>
    <row r="20" spans="1:9">
      <c r="A20" s="3475"/>
      <c r="B20" s="3477" t="s">
        <v>2484</v>
      </c>
      <c r="C20" s="3477"/>
      <c r="D20" s="2475">
        <f>SUM(D17:D19)</f>
        <v>0</v>
      </c>
      <c r="E20" s="2475"/>
      <c r="F20" s="2476"/>
      <c r="G20" s="2473"/>
      <c r="H20" s="2480"/>
      <c r="I20" s="2481">
        <f>SUM(I17:I19)</f>
        <v>0</v>
      </c>
    </row>
    <row r="21" spans="1:9">
      <c r="A21" s="3475" t="s">
        <v>2504</v>
      </c>
      <c r="B21" s="3479"/>
      <c r="C21" s="3479"/>
      <c r="D21" s="3479"/>
      <c r="E21" s="3479"/>
      <c r="F21" s="3479"/>
      <c r="G21" s="3479"/>
      <c r="H21" s="2485">
        <v>0.1</v>
      </c>
      <c r="I21" s="2478">
        <f>ROUND(I10*H21,0)</f>
        <v>0</v>
      </c>
    </row>
    <row r="22" spans="1:9" ht="15.6">
      <c r="A22" s="3480" t="s">
        <v>2505</v>
      </c>
      <c r="B22" s="3481"/>
      <c r="C22" s="3482"/>
      <c r="D22" s="2486" t="s">
        <v>2506</v>
      </c>
      <c r="E22" s="2486" t="s">
        <v>2507</v>
      </c>
      <c r="F22" s="2487" t="s">
        <v>2508</v>
      </c>
      <c r="G22" s="2487" t="s">
        <v>2509</v>
      </c>
      <c r="H22" s="2479" t="s">
        <v>2510</v>
      </c>
      <c r="I22" s="2470" t="s">
        <v>2511</v>
      </c>
    </row>
    <row r="23" spans="1:9" ht="15" thickBot="1">
      <c r="A23" s="3483"/>
      <c r="B23" s="3484"/>
      <c r="C23" s="3485"/>
      <c r="D23" s="2488"/>
      <c r="E23" s="2488"/>
      <c r="F23" s="2488"/>
      <c r="G23" s="2489"/>
      <c r="H23" s="2490"/>
      <c r="I23" s="2491">
        <f>ROUND(E23*D23*F23*(1-G23)/10000,0)</f>
        <v>0</v>
      </c>
    </row>
    <row r="26" spans="1:9">
      <c r="A26" s="2492" t="s">
        <v>2512</v>
      </c>
      <c r="B26" s="2492"/>
      <c r="C26" s="2492"/>
      <c r="D26" s="2492"/>
      <c r="E26" s="3486">
        <f>C27-C30-C31-C32</f>
        <v>0</v>
      </c>
      <c r="F26" s="3486"/>
      <c r="G26" s="3486"/>
      <c r="H26" s="2993" t="s">
        <v>2839</v>
      </c>
    </row>
    <row r="27" spans="1:9">
      <c r="A27" s="2493">
        <v>1</v>
      </c>
      <c r="B27" s="2494" t="s">
        <v>2513</v>
      </c>
      <c r="C27" s="2494"/>
      <c r="D27" s="2494"/>
      <c r="E27" s="3487"/>
      <c r="F27" s="3487"/>
      <c r="G27" s="3487"/>
    </row>
    <row r="28" spans="1:9">
      <c r="A28" s="2495" t="s">
        <v>2514</v>
      </c>
      <c r="B28" s="2494" t="s">
        <v>2515</v>
      </c>
      <c r="C28" s="2494"/>
      <c r="D28" s="2494"/>
      <c r="E28" s="3487"/>
      <c r="F28" s="3487"/>
      <c r="G28" s="3487"/>
    </row>
    <row r="29" spans="1:9">
      <c r="A29" s="2495" t="s">
        <v>2516</v>
      </c>
      <c r="B29" s="2494" t="s">
        <v>2457</v>
      </c>
      <c r="C29" s="2494"/>
      <c r="D29" s="2494"/>
      <c r="E29" s="2494" t="s">
        <v>2517</v>
      </c>
      <c r="F29" s="2494"/>
      <c r="G29" s="2494"/>
    </row>
    <row r="30" spans="1:9">
      <c r="A30" s="2493">
        <v>2</v>
      </c>
      <c r="B30" s="2494" t="s">
        <v>2518</v>
      </c>
      <c r="C30" s="2494">
        <f>C27*D30</f>
        <v>0</v>
      </c>
      <c r="D30" s="2496">
        <v>0.2</v>
      </c>
      <c r="E30" s="2494" t="s">
        <v>2519</v>
      </c>
      <c r="F30" s="2494"/>
      <c r="G30" s="2494"/>
    </row>
    <row r="31" spans="1:9">
      <c r="A31" s="2493">
        <v>3</v>
      </c>
      <c r="B31" s="2494" t="s">
        <v>2520</v>
      </c>
      <c r="C31" s="2494">
        <f>C25*D31</f>
        <v>0</v>
      </c>
      <c r="D31" s="2496">
        <v>0.15</v>
      </c>
      <c r="E31" s="2494" t="s">
        <v>2521</v>
      </c>
      <c r="F31" s="2494"/>
      <c r="G31" s="2494"/>
    </row>
    <row r="32" spans="1:9">
      <c r="A32" s="2493">
        <v>4</v>
      </c>
      <c r="B32" s="2494" t="s">
        <v>2522</v>
      </c>
      <c r="C32" s="2494">
        <f>C27*D32</f>
        <v>0</v>
      </c>
      <c r="D32" s="2496">
        <v>0.05</v>
      </c>
      <c r="E32" s="3478"/>
      <c r="F32" s="3478"/>
      <c r="G32" s="3478"/>
    </row>
    <row r="33" spans="1:7" hidden="1">
      <c r="A33" s="3488" t="s">
        <v>2523</v>
      </c>
      <c r="B33" s="3489"/>
      <c r="C33" s="3489"/>
      <c r="D33" s="3490"/>
      <c r="E33" s="3486"/>
      <c r="F33" s="3486"/>
      <c r="G33" s="3486"/>
    </row>
    <row r="34" spans="1:7" hidden="1">
      <c r="A34" s="2497">
        <v>1</v>
      </c>
      <c r="B34" s="2494" t="s">
        <v>2524</v>
      </c>
      <c r="C34" s="2494"/>
      <c r="D34" s="2494"/>
      <c r="E34" s="3487"/>
      <c r="F34" s="3487"/>
      <c r="G34" s="3487"/>
    </row>
    <row r="35" spans="1:7" hidden="1">
      <c r="A35" s="2497">
        <v>2</v>
      </c>
      <c r="B35" s="2494" t="s">
        <v>2525</v>
      </c>
      <c r="C35" s="2494"/>
      <c r="D35" s="2494"/>
      <c r="E35" s="3487"/>
      <c r="F35" s="3487"/>
      <c r="G35" s="3487"/>
    </row>
    <row r="36" spans="1:7" hidden="1">
      <c r="A36" s="2497">
        <v>3</v>
      </c>
      <c r="B36" s="2494" t="s">
        <v>2526</v>
      </c>
      <c r="C36" s="2494"/>
      <c r="D36" s="2494"/>
      <c r="E36" s="3487"/>
      <c r="F36" s="3487"/>
      <c r="G36" s="3487"/>
    </row>
    <row r="37" spans="1:7" hidden="1">
      <c r="A37" s="2497">
        <v>4</v>
      </c>
      <c r="B37" s="2494" t="s">
        <v>2527</v>
      </c>
      <c r="C37" s="2494"/>
      <c r="D37" s="2494"/>
      <c r="E37" s="3487"/>
      <c r="F37" s="3487"/>
      <c r="G37" s="3487"/>
    </row>
    <row r="38" spans="1:7" hidden="1">
      <c r="A38" s="3488" t="s">
        <v>2528</v>
      </c>
      <c r="B38" s="3489"/>
      <c r="C38" s="3489"/>
      <c r="D38" s="3490"/>
      <c r="E38" s="3486"/>
      <c r="F38" s="3486"/>
      <c r="G38" s="34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8" customWidth="1"/>
    <col min="2" max="2" width="26.6640625" style="2169" customWidth="1"/>
    <col min="3" max="3" width="11.109375" style="2169" customWidth="1"/>
    <col min="4" max="5" width="11.109375" style="2170" customWidth="1"/>
    <col min="6" max="6" width="9.44140625" style="2169" customWidth="1"/>
    <col min="7" max="7" width="31.88671875" style="2169" customWidth="1"/>
    <col min="8" max="25" width="9" style="2171" customWidth="1"/>
    <col min="26" max="254" width="9" style="2169" customWidth="1"/>
    <col min="255" max="16384" width="8.33203125" style="2169"/>
  </cols>
  <sheetData>
    <row r="1" spans="1:25" s="2042" customFormat="1" ht="21">
      <c r="A1" s="421" t="s">
        <v>603</v>
      </c>
      <c r="B1" s="742"/>
      <c r="C1" s="2165"/>
      <c r="D1" s="2165"/>
      <c r="E1" s="2165"/>
      <c r="F1" s="2165"/>
      <c r="G1" s="2091"/>
    </row>
    <row r="2" spans="1:25" s="2042" customFormat="1" ht="18" customHeight="1">
      <c r="A2" s="423" t="s">
        <v>467</v>
      </c>
      <c r="B2" s="425">
        <f ca="1">C23</f>
        <v>0</v>
      </c>
      <c r="C2" s="2091"/>
      <c r="D2" s="2091"/>
      <c r="E2" s="2091"/>
      <c r="F2" s="2091"/>
      <c r="G2" s="2091"/>
    </row>
    <row r="3" spans="1:25" s="2042" customFormat="1" ht="18" customHeight="1">
      <c r="A3" s="1375" t="s">
        <v>1684</v>
      </c>
      <c r="B3" s="425">
        <f ca="1">ROUND(B2*10000/'数据-汇总表'!E3,0)</f>
        <v>0</v>
      </c>
      <c r="C3" s="2091"/>
      <c r="D3" s="2091"/>
      <c r="E3" s="2091"/>
      <c r="F3" s="2091"/>
      <c r="G3" s="2091"/>
    </row>
    <row r="4" spans="1:25" s="2042" customFormat="1" ht="18" customHeight="1">
      <c r="A4" s="426" t="s">
        <v>468</v>
      </c>
      <c r="B4" s="427">
        <f ca="1">ROUND(B2*10000/'数据-汇总表'!D3,0)</f>
        <v>0</v>
      </c>
      <c r="C4" s="2044"/>
      <c r="D4" s="2091"/>
      <c r="E4" s="2091"/>
      <c r="F4" s="2091"/>
      <c r="G4" s="2091"/>
    </row>
    <row r="5" spans="1:25" s="2042" customFormat="1" ht="18" customHeight="1" thickBot="1">
      <c r="A5" s="429"/>
      <c r="B5" s="430">
        <f ca="1">ROUND(B2/('数据-汇总表'!D3/666.67),0)</f>
        <v>0</v>
      </c>
      <c r="C5" s="431" t="s">
        <v>469</v>
      </c>
      <c r="D5" s="2091"/>
      <c r="E5" s="2091"/>
      <c r="F5" s="2091"/>
      <c r="G5" s="2091"/>
    </row>
    <row r="6" spans="1:25" s="2166" customFormat="1" ht="13.5" customHeight="1">
      <c r="A6" s="743"/>
      <c r="B6" s="744" t="s">
        <v>604</v>
      </c>
      <c r="C6" s="745" t="s">
        <v>605</v>
      </c>
      <c r="D6" s="745" t="s">
        <v>606</v>
      </c>
      <c r="E6" s="746" t="s">
        <v>607</v>
      </c>
      <c r="F6" s="746" t="s">
        <v>608</v>
      </c>
      <c r="G6" s="747"/>
    </row>
    <row r="7" spans="1:25" s="2166" customFormat="1" ht="13.5" customHeight="1">
      <c r="A7" s="2431">
        <v>1</v>
      </c>
      <c r="B7" s="748" t="s">
        <v>609</v>
      </c>
      <c r="C7" s="749">
        <f>C8+C9</f>
        <v>0</v>
      </c>
      <c r="D7" s="749"/>
      <c r="E7" s="750"/>
      <c r="F7" s="750"/>
      <c r="G7" s="2441"/>
    </row>
    <row r="8" spans="1:25" s="2166" customFormat="1" ht="13.5" customHeight="1">
      <c r="A8" s="2431" t="s">
        <v>2437</v>
      </c>
      <c r="B8" s="2434" t="s">
        <v>2439</v>
      </c>
      <c r="C8" s="2435"/>
      <c r="D8" s="749"/>
      <c r="E8" s="750"/>
      <c r="F8" s="750"/>
      <c r="G8" s="751"/>
    </row>
    <row r="9" spans="1:25" s="2166" customFormat="1" ht="13.5" customHeight="1">
      <c r="A9" s="2431" t="s">
        <v>2438</v>
      </c>
      <c r="B9" s="2434" t="s">
        <v>2440</v>
      </c>
      <c r="C9" s="2435"/>
      <c r="D9" s="749"/>
      <c r="E9" s="750"/>
      <c r="F9" s="750"/>
      <c r="G9" s="751"/>
    </row>
    <row r="10" spans="1:25" s="2166" customFormat="1" ht="36">
      <c r="A10" s="2431">
        <v>2</v>
      </c>
      <c r="B10" s="748" t="s">
        <v>613</v>
      </c>
      <c r="C10" s="749">
        <f>C11+C14+C15</f>
        <v>0</v>
      </c>
      <c r="D10" s="760">
        <f>'数据-汇总表'!E3</f>
        <v>114120</v>
      </c>
      <c r="E10" s="749">
        <f>'数据-取费表'!B31</f>
        <v>60</v>
      </c>
      <c r="F10" s="761"/>
      <c r="G10" s="759" t="s">
        <v>614</v>
      </c>
    </row>
    <row r="11" spans="1:25" s="2166" customFormat="1" ht="13.5" customHeight="1">
      <c r="A11" s="2431" t="s">
        <v>2437</v>
      </c>
      <c r="B11" s="752" t="s">
        <v>610</v>
      </c>
      <c r="C11" s="753">
        <f>'数据-取费表'!B29</f>
        <v>0</v>
      </c>
      <c r="D11" s="754"/>
      <c r="E11" s="753"/>
      <c r="F11" s="755"/>
      <c r="G11" s="2440" t="s">
        <v>2448</v>
      </c>
    </row>
    <row r="12" spans="1:25" s="2166" customFormat="1" ht="13.5" customHeight="1">
      <c r="A12" s="2438" t="s">
        <v>2445</v>
      </c>
      <c r="B12" s="756" t="s">
        <v>611</v>
      </c>
      <c r="C12" s="757">
        <f>ROUND(D12*E12/10000,0)</f>
        <v>1817</v>
      </c>
      <c r="D12" s="758">
        <f>'数据-汇总表'!E5</f>
        <v>100920</v>
      </c>
      <c r="E12" s="757">
        <f>'数据-取费表'!B27</f>
        <v>180</v>
      </c>
      <c r="F12" s="755"/>
      <c r="G12" s="759"/>
    </row>
    <row r="13" spans="1:25" s="2166" customFormat="1" ht="13.5" customHeight="1">
      <c r="A13" s="2438" t="s">
        <v>2444</v>
      </c>
      <c r="B13" s="756" t="s">
        <v>612</v>
      </c>
      <c r="C13" s="757">
        <f>ROUND(D13*E13/10000,0)</f>
        <v>238</v>
      </c>
      <c r="D13" s="758">
        <f>'数据-汇总表'!E6</f>
        <v>13200</v>
      </c>
      <c r="E13" s="757">
        <f>'数据-取费表'!B28</f>
        <v>180</v>
      </c>
      <c r="F13" s="755"/>
      <c r="G13" s="759"/>
    </row>
    <row r="14" spans="1:25" s="2166" customFormat="1" ht="13.5" customHeight="1">
      <c r="A14" s="2431" t="s">
        <v>2438</v>
      </c>
      <c r="B14" s="2437" t="s">
        <v>2441</v>
      </c>
      <c r="C14" s="2435"/>
      <c r="D14" s="758"/>
      <c r="E14" s="757"/>
      <c r="F14" s="2436"/>
      <c r="G14" s="2439" t="s">
        <v>2446</v>
      </c>
    </row>
    <row r="15" spans="1:25" s="2166" customFormat="1" ht="13.5" customHeight="1">
      <c r="A15" s="2431" t="s">
        <v>2443</v>
      </c>
      <c r="B15" s="2437" t="s">
        <v>2442</v>
      </c>
      <c r="C15" s="2435"/>
      <c r="D15" s="758"/>
      <c r="E15" s="757"/>
      <c r="F15" s="2436"/>
      <c r="G15" s="2439" t="s">
        <v>2447</v>
      </c>
    </row>
    <row r="16" spans="1:25" s="2167" customFormat="1" ht="48">
      <c r="A16" s="2431">
        <v>3</v>
      </c>
      <c r="B16" s="748" t="s">
        <v>615</v>
      </c>
      <c r="C16" s="2435"/>
      <c r="D16" s="760"/>
      <c r="E16" s="749"/>
      <c r="F16" s="761"/>
      <c r="G16" s="759" t="s">
        <v>2449</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6.4">
      <c r="A17" s="2432">
        <v>4</v>
      </c>
      <c r="B17" s="748" t="s">
        <v>616</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617</v>
      </c>
      <c r="C18" s="749">
        <f>ROUND((C7+C10+C16)*F18,0)</f>
        <v>0</v>
      </c>
      <c r="D18" s="762"/>
      <c r="E18" s="763"/>
      <c r="F18" s="761">
        <f>'数据-取费表'!Q16</f>
        <v>0.16</v>
      </c>
      <c r="G18" s="765"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619</v>
      </c>
      <c r="C19" s="749">
        <f ca="1">C7+C10+C16+C17+C18</f>
        <v>0</v>
      </c>
      <c r="D19" s="760"/>
      <c r="E19" s="749"/>
      <c r="F19" s="761"/>
      <c r="G19" s="765"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5.2">
      <c r="A20" s="2431">
        <v>7</v>
      </c>
      <c r="B20" s="748" t="s">
        <v>621</v>
      </c>
      <c r="C20" s="749">
        <f ca="1">ROUND(C19*F20,0)</f>
        <v>0</v>
      </c>
      <c r="D20" s="760"/>
      <c r="E20" s="749"/>
      <c r="F20" s="1345"/>
      <c r="G20" s="765"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623</v>
      </c>
      <c r="C21" s="749">
        <f ca="1">C19+C20</f>
        <v>0</v>
      </c>
      <c r="D21" s="760"/>
      <c r="E21" s="749"/>
      <c r="F21" s="761"/>
      <c r="G21" s="765"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625</v>
      </c>
      <c r="C22" s="749">
        <f ca="1">ROUND(C21*F22,0)</f>
        <v>0</v>
      </c>
      <c r="D22" s="760"/>
      <c r="E22" s="749"/>
      <c r="F22" s="766">
        <f>'数据-取费表'!AP16</f>
        <v>0.84899999999999998</v>
      </c>
      <c r="G22" s="765"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627</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6"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5" t="s">
        <v>719</v>
      </c>
      <c r="C1" s="2586" t="s">
        <v>720</v>
      </c>
      <c r="D1" s="2587"/>
      <c r="E1" s="2588"/>
      <c r="F1" s="2760"/>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4" t="e">
        <f>ROUND(B3*D3/10000,0)</f>
        <v>#DIV/0!</v>
      </c>
      <c r="C2" s="2110"/>
      <c r="D2" s="2110"/>
      <c r="E2" s="2110"/>
      <c r="F2" s="2184"/>
      <c r="G2" s="2110"/>
      <c r="H2" s="2110"/>
      <c r="I2" s="2110"/>
      <c r="J2" s="2110"/>
      <c r="K2" s="2185"/>
      <c r="L2" s="2186"/>
      <c r="M2" s="2187"/>
      <c r="N2" s="2187"/>
      <c r="O2" s="2187"/>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0"/>
      <c r="F3" s="2184"/>
      <c r="G3" s="2110"/>
      <c r="H3" s="2110"/>
      <c r="I3" s="2110"/>
      <c r="J3" s="2110"/>
      <c r="K3" s="2185"/>
      <c r="L3" s="2186"/>
      <c r="M3" s="2187"/>
      <c r="N3" s="2187"/>
      <c r="O3" s="2187"/>
      <c r="P3" s="1587"/>
      <c r="Q3" s="1587"/>
      <c r="R3" s="1587"/>
      <c r="S3" s="1587"/>
      <c r="T3" s="1587"/>
      <c r="U3" s="1587"/>
      <c r="V3" s="1587"/>
      <c r="W3" s="1587"/>
      <c r="X3" s="1587"/>
      <c r="Y3" s="1587"/>
      <c r="Z3" s="1587"/>
      <c r="AA3" s="1587"/>
      <c r="AB3" s="1587"/>
      <c r="AC3" s="1589"/>
    </row>
    <row r="4" spans="1:29" ht="14.4">
      <c r="A4" s="512" t="s">
        <v>521</v>
      </c>
      <c r="B4" s="513"/>
      <c r="C4" s="3381" t="s">
        <v>522</v>
      </c>
      <c r="D4" s="3382"/>
      <c r="E4" s="3415" t="s">
        <v>523</v>
      </c>
      <c r="F4" s="3416"/>
      <c r="G4" s="3381" t="s">
        <v>524</v>
      </c>
      <c r="H4" s="3382"/>
      <c r="I4" s="3381" t="s">
        <v>525</v>
      </c>
      <c r="J4" s="3382"/>
      <c r="K4" s="853" t="s">
        <v>526</v>
      </c>
      <c r="L4" s="2116"/>
      <c r="M4" s="2117"/>
      <c r="N4" s="2117"/>
      <c r="O4" s="2117"/>
      <c r="P4" s="3383" t="s">
        <v>527</v>
      </c>
      <c r="Q4" s="3384"/>
      <c r="R4" s="3389" t="s">
        <v>523</v>
      </c>
      <c r="S4" s="3390"/>
      <c r="T4" s="3389" t="s">
        <v>524</v>
      </c>
      <c r="U4" s="3390"/>
      <c r="V4" s="3376" t="s">
        <v>525</v>
      </c>
      <c r="W4" s="3376"/>
      <c r="X4" s="1553"/>
      <c r="Y4" s="3389" t="s">
        <v>527</v>
      </c>
      <c r="Z4" s="3390"/>
      <c r="AA4" s="3378" t="s">
        <v>523</v>
      </c>
      <c r="AB4" s="3378" t="s">
        <v>524</v>
      </c>
      <c r="AC4" s="3378" t="s">
        <v>525</v>
      </c>
    </row>
    <row r="5" spans="1:29">
      <c r="A5" s="515"/>
      <c r="B5" s="516"/>
      <c r="C5" s="3397" t="s">
        <v>2923</v>
      </c>
      <c r="D5" s="3398"/>
      <c r="E5" s="3417" t="s">
        <v>2924</v>
      </c>
      <c r="F5" s="3418"/>
      <c r="G5" s="3397" t="s">
        <v>2925</v>
      </c>
      <c r="H5" s="3398"/>
      <c r="I5" s="3397" t="s">
        <v>2926</v>
      </c>
      <c r="J5" s="3398"/>
      <c r="K5" s="854"/>
      <c r="L5" s="2116"/>
      <c r="M5" s="2117"/>
      <c r="N5" s="2117"/>
      <c r="O5" s="2117"/>
      <c r="P5" s="3385"/>
      <c r="Q5" s="3386"/>
      <c r="R5" s="3391"/>
      <c r="S5" s="3392"/>
      <c r="T5" s="3391"/>
      <c r="U5" s="3392"/>
      <c r="V5" s="3376"/>
      <c r="W5" s="3376"/>
      <c r="X5" s="1553"/>
      <c r="Y5" s="3391"/>
      <c r="Z5" s="3392"/>
      <c r="AA5" s="3379"/>
      <c r="AB5" s="3379"/>
      <c r="AC5" s="3379"/>
    </row>
    <row r="6" spans="1:29" ht="15" thickBot="1">
      <c r="A6" s="517"/>
      <c r="B6" s="518"/>
      <c r="C6" s="3395" t="s">
        <v>2927</v>
      </c>
      <c r="D6" s="3396"/>
      <c r="E6" s="3413" t="s">
        <v>2927</v>
      </c>
      <c r="F6" s="3414"/>
      <c r="G6" s="3395" t="s">
        <v>2927</v>
      </c>
      <c r="H6" s="3396"/>
      <c r="I6" s="3395" t="s">
        <v>2927</v>
      </c>
      <c r="J6" s="3396"/>
      <c r="K6" s="854" t="s">
        <v>528</v>
      </c>
      <c r="L6" s="2116"/>
      <c r="M6" s="2117"/>
      <c r="N6" s="2117"/>
      <c r="O6" s="2117"/>
      <c r="P6" s="3387"/>
      <c r="Q6" s="3388"/>
      <c r="R6" s="3391"/>
      <c r="S6" s="3392"/>
      <c r="T6" s="3393"/>
      <c r="U6" s="3394"/>
      <c r="V6" s="3376"/>
      <c r="W6" s="3376"/>
      <c r="X6" s="1553"/>
      <c r="Y6" s="3393"/>
      <c r="Z6" s="3394"/>
      <c r="AA6" s="3380"/>
      <c r="AB6" s="3380"/>
      <c r="AC6" s="3380"/>
    </row>
    <row r="7" spans="1:29" s="1216" customFormat="1" ht="15" thickBot="1">
      <c r="A7" s="2865"/>
      <c r="B7" s="2872" t="s">
        <v>529</v>
      </c>
      <c r="C7" s="519">
        <f>'数据-取费表'!B2</f>
        <v>43889</v>
      </c>
      <c r="D7" s="520">
        <v>100</v>
      </c>
      <c r="E7" s="521"/>
      <c r="F7" s="522">
        <f>SUMIF(58:58,YEAR(E7)&amp;"-"&amp;MONTH(E7),59:59)</f>
        <v>0</v>
      </c>
      <c r="G7" s="523"/>
      <c r="H7" s="520">
        <f>SUMIF(58:58,YEAR(G7)&amp;"-"&amp;MONTH(G7),59:59)</f>
        <v>0</v>
      </c>
      <c r="I7" s="523"/>
      <c r="J7" s="520">
        <f>SUMIF(58:58,YEAR(I7)&amp;"-"&amp;MONTH(I7),59:59)</f>
        <v>0</v>
      </c>
      <c r="K7" s="855"/>
      <c r="L7" s="2118"/>
      <c r="M7" s="2119"/>
      <c r="N7" s="2119"/>
      <c r="O7" s="2119"/>
      <c r="P7" s="3406" t="s">
        <v>530</v>
      </c>
      <c r="Q7" s="3408"/>
      <c r="R7" s="1554" t="s">
        <v>13</v>
      </c>
      <c r="S7" s="1555">
        <f t="shared" ref="S7:S15" si="0">F7</f>
        <v>0</v>
      </c>
      <c r="T7" s="1554" t="s">
        <v>13</v>
      </c>
      <c r="U7" s="1555">
        <f t="shared" ref="U7:U15" si="1">H7</f>
        <v>0</v>
      </c>
      <c r="V7" s="1554" t="s">
        <v>13</v>
      </c>
      <c r="W7" s="1555">
        <f t="shared" ref="W7:W15" si="2">J7</f>
        <v>0</v>
      </c>
      <c r="X7" s="1556"/>
      <c r="Y7" s="3406" t="s">
        <v>530</v>
      </c>
      <c r="Z7" s="3407"/>
      <c r="AA7" s="1557" t="e">
        <f>D7/F7</f>
        <v>#DIV/0!</v>
      </c>
      <c r="AB7" s="1557" t="e">
        <f>D7/H7</f>
        <v>#DIV/0!</v>
      </c>
      <c r="AC7" s="1557" t="e">
        <f>D7/J7</f>
        <v>#DIV/0!</v>
      </c>
    </row>
    <row r="8" spans="1:29" s="1216" customFormat="1" ht="15" thickBot="1">
      <c r="A8" s="2866"/>
      <c r="B8" s="2873" t="s">
        <v>531</v>
      </c>
      <c r="C8" s="525" t="s">
        <v>576</v>
      </c>
      <c r="D8" s="520">
        <v>100</v>
      </c>
      <c r="E8" s="856"/>
      <c r="F8" s="522">
        <f>SUMIF(61:61,E8,62:62)-SUMIF(61:61,C8,62:62)+100</f>
        <v>0</v>
      </c>
      <c r="G8" s="525"/>
      <c r="H8" s="520">
        <f>SUMIF(61:61,G8,62:62)-SUMIF(61:61,C8,62:62)+100</f>
        <v>0</v>
      </c>
      <c r="I8" s="856"/>
      <c r="J8" s="520">
        <f>SUMIF(61:61,I8,62:62)-SUMIF(61:61,C8,62:62)+100</f>
        <v>0</v>
      </c>
      <c r="K8" s="855"/>
      <c r="L8" s="2118"/>
      <c r="M8" s="2119"/>
      <c r="N8" s="2119"/>
      <c r="O8" s="2119"/>
      <c r="P8" s="3406" t="s">
        <v>533</v>
      </c>
      <c r="Q8" s="3407"/>
      <c r="R8" s="1554" t="s">
        <v>13</v>
      </c>
      <c r="S8" s="1555">
        <f t="shared" si="0"/>
        <v>0</v>
      </c>
      <c r="T8" s="1554" t="s">
        <v>13</v>
      </c>
      <c r="U8" s="1555">
        <f t="shared" si="1"/>
        <v>0</v>
      </c>
      <c r="V8" s="1554" t="s">
        <v>13</v>
      </c>
      <c r="W8" s="1555">
        <f t="shared" si="2"/>
        <v>0</v>
      </c>
      <c r="X8" s="1556"/>
      <c r="Y8" s="3406" t="s">
        <v>533</v>
      </c>
      <c r="Z8" s="3407"/>
      <c r="AA8" s="1557" t="e">
        <f t="shared" ref="AA8:AA46" si="3">D8/F8</f>
        <v>#DIV/0!</v>
      </c>
      <c r="AB8" s="1557" t="e">
        <f t="shared" ref="AB8:AB46" si="4">D8/H8</f>
        <v>#DIV/0!</v>
      </c>
      <c r="AC8" s="1557" t="e">
        <f t="shared" ref="AC8:AC46" si="5">D8/J8</f>
        <v>#DIV/0!</v>
      </c>
    </row>
    <row r="9" spans="1:29" s="1216" customFormat="1" ht="14.4">
      <c r="A9" s="2867"/>
      <c r="B9" s="2874" t="s">
        <v>2752</v>
      </c>
      <c r="C9" s="857"/>
      <c r="D9" s="254">
        <v>100</v>
      </c>
      <c r="E9" s="858"/>
      <c r="F9" s="859">
        <f>SUMIF(63:63,E9,64:64)-SUMIF(63:63,C9,64:64)+100</f>
        <v>100</v>
      </c>
      <c r="G9" s="860"/>
      <c r="H9" s="254">
        <f>SUMIF(63:63,G9,64:64)-SUMIF(63:63,C9,64:64)+100</f>
        <v>100</v>
      </c>
      <c r="I9" s="860"/>
      <c r="J9" s="254">
        <f>SUMIF(63:63,I9,64:64)-SUMIF(63:63,C9,64:64)+100</f>
        <v>100</v>
      </c>
      <c r="K9" s="855"/>
      <c r="L9" s="2118"/>
      <c r="M9" s="2119"/>
      <c r="N9" s="2119"/>
      <c r="O9" s="2120"/>
      <c r="P9" s="3375" t="s">
        <v>535</v>
      </c>
      <c r="Q9" s="1147" t="str">
        <f t="shared" ref="Q9:Q15" si="6">B9</f>
        <v>用途</v>
      </c>
      <c r="R9" s="1554" t="s">
        <v>8</v>
      </c>
      <c r="S9" s="1555">
        <f t="shared" si="0"/>
        <v>100</v>
      </c>
      <c r="T9" s="1554" t="s">
        <v>8</v>
      </c>
      <c r="U9" s="1555">
        <f t="shared" si="1"/>
        <v>100</v>
      </c>
      <c r="V9" s="1554" t="s">
        <v>8</v>
      </c>
      <c r="W9" s="1555">
        <f t="shared" si="2"/>
        <v>100</v>
      </c>
      <c r="X9" s="1556"/>
      <c r="Y9" s="3321" t="s">
        <v>536</v>
      </c>
      <c r="Z9" s="1146" t="str">
        <f t="shared" ref="Z9:Z15" si="7">Q9</f>
        <v>用途</v>
      </c>
      <c r="AA9" s="1557">
        <f t="shared" si="3"/>
        <v>1</v>
      </c>
      <c r="AB9" s="1557">
        <f t="shared" si="4"/>
        <v>1</v>
      </c>
      <c r="AC9" s="1557">
        <f t="shared" si="5"/>
        <v>1</v>
      </c>
    </row>
    <row r="10" spans="1:29" s="1334" customFormat="1" ht="28.8">
      <c r="A10" s="2868"/>
      <c r="B10" s="2873" t="s">
        <v>2753</v>
      </c>
      <c r="C10" s="861"/>
      <c r="D10" s="255">
        <v>100</v>
      </c>
      <c r="E10" s="862"/>
      <c r="F10" s="863">
        <f>SUMIF(65:65,E10,66:66)-SUMIF(65:65,C10,66:66)+100</f>
        <v>100</v>
      </c>
      <c r="G10" s="861"/>
      <c r="H10" s="255">
        <f>SUMIF(65:65,G10,66:66)-SUMIF(65:65,C10,66:66)+100</f>
        <v>100</v>
      </c>
      <c r="I10" s="861"/>
      <c r="J10" s="255">
        <f>SUMIF(65:65,I10,66:66)-SUMIF(65:65,C10,66:66)+100</f>
        <v>100</v>
      </c>
      <c r="K10" s="864"/>
      <c r="L10" s="2121"/>
      <c r="M10" s="2161"/>
      <c r="N10" s="2161"/>
      <c r="O10" s="2122"/>
      <c r="P10" s="3375"/>
      <c r="Q10" s="1147" t="str">
        <f t="shared" si="6"/>
        <v>土地使用年限（年）</v>
      </c>
      <c r="R10" s="1554" t="s">
        <v>8</v>
      </c>
      <c r="S10" s="1555">
        <f t="shared" si="0"/>
        <v>100</v>
      </c>
      <c r="T10" s="1554" t="s">
        <v>8</v>
      </c>
      <c r="U10" s="1555">
        <f t="shared" si="1"/>
        <v>100</v>
      </c>
      <c r="V10" s="1554" t="s">
        <v>8</v>
      </c>
      <c r="W10" s="1555">
        <f t="shared" si="2"/>
        <v>100</v>
      </c>
      <c r="X10" s="1556"/>
      <c r="Y10" s="3321"/>
      <c r="Z10" s="1146" t="str">
        <f t="shared" si="7"/>
        <v>土地使用年限（年）</v>
      </c>
      <c r="AA10" s="1557">
        <f t="shared" si="3"/>
        <v>1</v>
      </c>
      <c r="AB10" s="1557">
        <f t="shared" si="4"/>
        <v>1</v>
      </c>
      <c r="AC10" s="1557">
        <f t="shared" si="5"/>
        <v>1</v>
      </c>
    </row>
    <row r="11" spans="1:29" ht="15">
      <c r="A11" s="2869"/>
      <c r="B11" s="2873"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3"/>
      <c r="M11" s="2117"/>
      <c r="N11" s="2117"/>
      <c r="O11" s="2124"/>
      <c r="P11" s="3375"/>
      <c r="Q11" s="1147" t="str">
        <f t="shared" si="6"/>
        <v>容积率</v>
      </c>
      <c r="R11" s="1554" t="s">
        <v>11</v>
      </c>
      <c r="S11" s="1555" t="e">
        <f t="shared" si="0"/>
        <v>#N/A</v>
      </c>
      <c r="T11" s="1554" t="s">
        <v>11</v>
      </c>
      <c r="U11" s="1555" t="e">
        <f t="shared" si="1"/>
        <v>#N/A</v>
      </c>
      <c r="V11" s="1554" t="s">
        <v>11</v>
      </c>
      <c r="W11" s="1555" t="e">
        <f t="shared" si="2"/>
        <v>#N/A</v>
      </c>
      <c r="X11" s="1556"/>
      <c r="Y11" s="3321"/>
      <c r="Z11" s="1146" t="str">
        <f t="shared" si="7"/>
        <v>容积率</v>
      </c>
      <c r="AA11" s="1557" t="e">
        <f t="shared" si="3"/>
        <v>#N/A</v>
      </c>
      <c r="AB11" s="1557" t="e">
        <f t="shared" si="4"/>
        <v>#N/A</v>
      </c>
      <c r="AC11" s="1557" t="e">
        <f t="shared" si="5"/>
        <v>#N/A</v>
      </c>
    </row>
    <row r="12" spans="1:29" s="1216"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375"/>
      <c r="Q12" s="1147">
        <f t="shared" si="6"/>
        <v>111</v>
      </c>
      <c r="R12" s="1554" t="s">
        <v>11</v>
      </c>
      <c r="S12" s="1555">
        <f t="shared" si="0"/>
        <v>100</v>
      </c>
      <c r="T12" s="1554" t="s">
        <v>11</v>
      </c>
      <c r="U12" s="1555">
        <f t="shared" si="1"/>
        <v>100</v>
      </c>
      <c r="V12" s="1554" t="s">
        <v>11</v>
      </c>
      <c r="W12" s="1555">
        <f t="shared" si="2"/>
        <v>100</v>
      </c>
      <c r="X12" s="1556"/>
      <c r="Y12" s="3321"/>
      <c r="Z12" s="1146">
        <f t="shared" si="7"/>
        <v>111</v>
      </c>
      <c r="AA12" s="1557">
        <f>D12/F12</f>
        <v>1</v>
      </c>
      <c r="AB12" s="1557">
        <f>D12/H12</f>
        <v>1</v>
      </c>
      <c r="AC12" s="1557">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375"/>
      <c r="Q13" s="1147">
        <f t="shared" si="6"/>
        <v>111</v>
      </c>
      <c r="R13" s="1554" t="s">
        <v>11</v>
      </c>
      <c r="S13" s="1555">
        <f t="shared" si="0"/>
        <v>100</v>
      </c>
      <c r="T13" s="1554" t="s">
        <v>11</v>
      </c>
      <c r="U13" s="1555">
        <f t="shared" si="1"/>
        <v>100</v>
      </c>
      <c r="V13" s="1554" t="s">
        <v>11</v>
      </c>
      <c r="W13" s="1555">
        <f t="shared" si="2"/>
        <v>100</v>
      </c>
      <c r="X13" s="1556"/>
      <c r="Y13" s="3321"/>
      <c r="Z13" s="1146">
        <f t="shared" si="7"/>
        <v>111</v>
      </c>
      <c r="AA13" s="1557">
        <f t="shared" si="3"/>
        <v>1</v>
      </c>
      <c r="AB13" s="1557">
        <f t="shared" si="4"/>
        <v>1</v>
      </c>
      <c r="AC13" s="1557">
        <f t="shared" si="5"/>
        <v>1</v>
      </c>
    </row>
    <row r="14" spans="1:29" ht="15.6"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375"/>
      <c r="Q14" s="1147">
        <f t="shared" si="6"/>
        <v>111</v>
      </c>
      <c r="R14" s="1554" t="s">
        <v>11</v>
      </c>
      <c r="S14" s="1555">
        <f t="shared" si="0"/>
        <v>100</v>
      </c>
      <c r="T14" s="1554" t="s">
        <v>11</v>
      </c>
      <c r="U14" s="1555">
        <f t="shared" si="1"/>
        <v>100</v>
      </c>
      <c r="V14" s="1554" t="s">
        <v>11</v>
      </c>
      <c r="W14" s="1555">
        <f t="shared" si="2"/>
        <v>100</v>
      </c>
      <c r="X14" s="1556"/>
      <c r="Y14" s="3321"/>
      <c r="Z14" s="1146">
        <f t="shared" si="7"/>
        <v>111</v>
      </c>
      <c r="AA14" s="1557">
        <f t="shared" si="3"/>
        <v>1</v>
      </c>
      <c r="AB14" s="1557">
        <f t="shared" si="4"/>
        <v>1</v>
      </c>
      <c r="AC14" s="1557">
        <f t="shared" si="5"/>
        <v>1</v>
      </c>
    </row>
    <row r="15" spans="1:29" ht="15">
      <c r="A15" s="2863" t="s">
        <v>2750</v>
      </c>
      <c r="B15" s="166" t="s">
        <v>295</v>
      </c>
      <c r="C15" s="867" t="str">
        <f>估价对象房地状况!C3</f>
        <v>较好</v>
      </c>
      <c r="D15" s="549">
        <v>100</v>
      </c>
      <c r="E15" s="550"/>
      <c r="F15" s="551">
        <f>SUMIF(76:76,E16,77:77)-SUMIF(76:76,C16,77:77)+100</f>
        <v>100</v>
      </c>
      <c r="G15" s="552"/>
      <c r="H15" s="549">
        <f>SUMIF(76:76,G16,77:77)-SUMIF(76:76,C16,77:77)+100</f>
        <v>100</v>
      </c>
      <c r="I15" s="550"/>
      <c r="J15" s="549">
        <f>SUMIF(76:76,I16,77:77)-SUMIF(76:76,C16,77:77)+100</f>
        <v>100</v>
      </c>
      <c r="K15" s="868"/>
      <c r="L15" s="2125"/>
      <c r="M15" s="2117"/>
      <c r="N15" s="2117"/>
      <c r="O15" s="2124"/>
      <c r="P15" s="3409" t="s">
        <v>540</v>
      </c>
      <c r="Q15" s="1558" t="str">
        <f t="shared" si="6"/>
        <v>居住社区成熟度</v>
      </c>
      <c r="R15" s="1559" t="s">
        <v>11</v>
      </c>
      <c r="S15" s="1560">
        <f t="shared" si="0"/>
        <v>100</v>
      </c>
      <c r="T15" s="1559" t="s">
        <v>11</v>
      </c>
      <c r="U15" s="1560">
        <f t="shared" si="1"/>
        <v>100</v>
      </c>
      <c r="V15" s="1559" t="s">
        <v>11</v>
      </c>
      <c r="W15" s="1560">
        <f t="shared" si="2"/>
        <v>100</v>
      </c>
      <c r="X15" s="1553"/>
      <c r="Y15" s="3409"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5"/>
      <c r="M16" s="2117"/>
      <c r="N16" s="2117"/>
      <c r="O16" s="2124"/>
      <c r="P16" s="3410"/>
      <c r="Q16" s="1558"/>
      <c r="R16" s="1559"/>
      <c r="S16" s="1560"/>
      <c r="T16" s="1559"/>
      <c r="U16" s="1560"/>
      <c r="V16" s="1559"/>
      <c r="W16" s="1560"/>
      <c r="X16" s="1553"/>
      <c r="Y16" s="3410"/>
      <c r="Z16" s="1561"/>
      <c r="AA16" s="1562">
        <v>1</v>
      </c>
      <c r="AB16" s="1562">
        <v>1</v>
      </c>
      <c r="AC16" s="1562">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c r="L17" s="2125"/>
      <c r="M17" s="2117"/>
      <c r="N17" s="2117"/>
      <c r="O17" s="2124"/>
      <c r="P17" s="3410"/>
      <c r="Q17" s="1558" t="str">
        <f>B17</f>
        <v>交通便捷度</v>
      </c>
      <c r="R17" s="1559" t="s">
        <v>11</v>
      </c>
      <c r="S17" s="1560">
        <f>F17</f>
        <v>100</v>
      </c>
      <c r="T17" s="1559" t="s">
        <v>11</v>
      </c>
      <c r="U17" s="1560">
        <f>H17</f>
        <v>100</v>
      </c>
      <c r="V17" s="1559" t="s">
        <v>11</v>
      </c>
      <c r="W17" s="1560">
        <f>J17</f>
        <v>100</v>
      </c>
      <c r="X17" s="1553"/>
      <c r="Y17" s="3410"/>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5"/>
      <c r="M18" s="2117"/>
      <c r="N18" s="2117"/>
      <c r="O18" s="2124"/>
      <c r="P18" s="3410"/>
      <c r="Q18" s="1558"/>
      <c r="R18" s="1559"/>
      <c r="S18" s="1560"/>
      <c r="T18" s="1559"/>
      <c r="U18" s="1560"/>
      <c r="V18" s="1559"/>
      <c r="W18" s="1560"/>
      <c r="X18" s="1553"/>
      <c r="Y18" s="3410"/>
      <c r="Z18" s="1561"/>
      <c r="AA18" s="1562">
        <v>1</v>
      </c>
      <c r="AB18" s="1562">
        <v>1</v>
      </c>
      <c r="AC18" s="1562">
        <v>1</v>
      </c>
    </row>
    <row r="19" spans="1:29" ht="15">
      <c r="A19" s="532"/>
      <c r="B19" s="2562" t="s">
        <v>2543</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68"/>
      <c r="L19" s="2125"/>
      <c r="M19" s="2117"/>
      <c r="N19" s="2117"/>
      <c r="O19" s="2124"/>
      <c r="P19" s="3410"/>
      <c r="Q19" s="1558" t="str">
        <f>B19</f>
        <v>公共配套设施</v>
      </c>
      <c r="R19" s="1559" t="s">
        <v>11</v>
      </c>
      <c r="S19" s="1560">
        <f>F19</f>
        <v>100</v>
      </c>
      <c r="T19" s="1559" t="s">
        <v>11</v>
      </c>
      <c r="U19" s="1560">
        <f>H19</f>
        <v>100</v>
      </c>
      <c r="V19" s="1559" t="s">
        <v>11</v>
      </c>
      <c r="W19" s="1560">
        <f>J19</f>
        <v>100</v>
      </c>
      <c r="X19" s="1553"/>
      <c r="Y19" s="3410"/>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5"/>
      <c r="M20" s="2117"/>
      <c r="N20" s="2117"/>
      <c r="O20" s="2124"/>
      <c r="P20" s="3410"/>
      <c r="Q20" s="1558"/>
      <c r="R20" s="1559"/>
      <c r="S20" s="1560"/>
      <c r="T20" s="1559"/>
      <c r="U20" s="1560"/>
      <c r="V20" s="1559"/>
      <c r="W20" s="1560"/>
      <c r="X20" s="1553"/>
      <c r="Y20" s="3410"/>
      <c r="Z20" s="1561"/>
      <c r="AA20" s="1562">
        <v>1</v>
      </c>
      <c r="AB20" s="1562">
        <v>1</v>
      </c>
      <c r="AC20" s="1562">
        <v>1</v>
      </c>
    </row>
    <row r="21" spans="1:29" ht="15">
      <c r="A21" s="532"/>
      <c r="B21" s="2555"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c r="L21" s="2125"/>
      <c r="M21" s="2117"/>
      <c r="N21" s="2117"/>
      <c r="O21" s="2124"/>
      <c r="P21" s="3410"/>
      <c r="Q21" s="2541" t="str">
        <f>B21</f>
        <v>基础设施水平</v>
      </c>
      <c r="R21" s="1559" t="s">
        <v>11</v>
      </c>
      <c r="S21" s="1560">
        <f>F21</f>
        <v>100</v>
      </c>
      <c r="T21" s="1559" t="s">
        <v>11</v>
      </c>
      <c r="U21" s="1560">
        <f>H21</f>
        <v>100</v>
      </c>
      <c r="V21" s="1559" t="s">
        <v>11</v>
      </c>
      <c r="W21" s="1560">
        <f>J21</f>
        <v>100</v>
      </c>
      <c r="X21" s="2543"/>
      <c r="Y21" s="3410"/>
      <c r="Z21" s="2542"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1"/>
      <c r="L22" s="2125"/>
      <c r="M22" s="2117"/>
      <c r="N22" s="2117"/>
      <c r="O22" s="2124"/>
      <c r="P22" s="3410"/>
      <c r="Q22" s="2541"/>
      <c r="R22" s="1559"/>
      <c r="S22" s="1560"/>
      <c r="T22" s="1559"/>
      <c r="U22" s="1560"/>
      <c r="V22" s="1559"/>
      <c r="W22" s="1560"/>
      <c r="X22" s="2543"/>
      <c r="Y22" s="3410"/>
      <c r="Z22" s="2542"/>
      <c r="AA22" s="1562">
        <v>1</v>
      </c>
      <c r="AB22" s="1562">
        <v>1</v>
      </c>
      <c r="AC22" s="1562">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c r="L23" s="2125"/>
      <c r="M23" s="2117"/>
      <c r="N23" s="2117"/>
      <c r="O23" s="2124"/>
      <c r="P23" s="3410"/>
      <c r="Q23" s="1558" t="str">
        <f>B23</f>
        <v>自然及人文环境</v>
      </c>
      <c r="R23" s="1559" t="s">
        <v>11</v>
      </c>
      <c r="S23" s="1560">
        <f>F23</f>
        <v>100</v>
      </c>
      <c r="T23" s="1559" t="s">
        <v>11</v>
      </c>
      <c r="U23" s="1560">
        <f>H23</f>
        <v>100</v>
      </c>
      <c r="V23" s="1559" t="s">
        <v>11</v>
      </c>
      <c r="W23" s="1560">
        <f>J23</f>
        <v>100</v>
      </c>
      <c r="X23" s="1553"/>
      <c r="Y23" s="3410"/>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5"/>
      <c r="M24" s="2117"/>
      <c r="N24" s="2117"/>
      <c r="O24" s="2124"/>
      <c r="P24" s="3410"/>
      <c r="Q24" s="1558"/>
      <c r="R24" s="1559"/>
      <c r="S24" s="1560"/>
      <c r="T24" s="1559"/>
      <c r="U24" s="1560"/>
      <c r="V24" s="1559"/>
      <c r="W24" s="1560"/>
      <c r="X24" s="1553"/>
      <c r="Y24" s="3410"/>
      <c r="Z24" s="1561"/>
      <c r="AA24" s="1562">
        <v>1</v>
      </c>
      <c r="AB24" s="1562">
        <v>1</v>
      </c>
      <c r="AC24" s="1562">
        <v>1</v>
      </c>
    </row>
    <row r="25" spans="1:29" ht="15">
      <c r="A25" s="532"/>
      <c r="B25" s="1878" t="s">
        <v>2253</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410"/>
      <c r="Q25" s="1558" t="str">
        <f t="shared" ref="Q25:Q46" si="11">B25</f>
        <v>楼层-1</v>
      </c>
      <c r="R25" s="1559" t="s">
        <v>11</v>
      </c>
      <c r="S25" s="1560">
        <f>F25</f>
        <v>100</v>
      </c>
      <c r="T25" s="1559" t="s">
        <v>11</v>
      </c>
      <c r="U25" s="1560">
        <f>H25</f>
        <v>100</v>
      </c>
      <c r="V25" s="1559" t="s">
        <v>11</v>
      </c>
      <c r="W25" s="1560">
        <f>J25</f>
        <v>100</v>
      </c>
      <c r="X25" s="1553"/>
      <c r="Y25" s="3410"/>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410"/>
      <c r="Q26" s="1558" t="str">
        <f t="shared" si="11"/>
        <v>朝向</v>
      </c>
      <c r="R26" s="1559" t="s">
        <v>11</v>
      </c>
      <c r="S26" s="1560">
        <f>F26</f>
        <v>100</v>
      </c>
      <c r="T26" s="1559" t="s">
        <v>11</v>
      </c>
      <c r="U26" s="1560">
        <f>H26</f>
        <v>100</v>
      </c>
      <c r="V26" s="1559" t="s">
        <v>11</v>
      </c>
      <c r="W26" s="1560">
        <f>J26</f>
        <v>100</v>
      </c>
      <c r="X26" s="1553"/>
      <c r="Y26" s="3410"/>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410"/>
      <c r="Q27" s="1147" t="str">
        <f t="shared" si="11"/>
        <v>道路级别</v>
      </c>
      <c r="R27" s="1554" t="s">
        <v>11</v>
      </c>
      <c r="S27" s="1555">
        <f>F27</f>
        <v>100</v>
      </c>
      <c r="T27" s="1554" t="s">
        <v>11</v>
      </c>
      <c r="U27" s="1555">
        <f>H27</f>
        <v>100</v>
      </c>
      <c r="V27" s="1554" t="s">
        <v>11</v>
      </c>
      <c r="W27" s="1555">
        <f>J27</f>
        <v>100</v>
      </c>
      <c r="X27" s="1556"/>
      <c r="Y27" s="3410"/>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410"/>
      <c r="Q28" s="1558">
        <f t="shared" si="11"/>
        <v>111</v>
      </c>
      <c r="R28" s="1559" t="s">
        <v>11</v>
      </c>
      <c r="S28" s="1560">
        <f t="shared" ref="S28:S46" si="12">F28</f>
        <v>100</v>
      </c>
      <c r="T28" s="1559" t="s">
        <v>11</v>
      </c>
      <c r="U28" s="1560">
        <f t="shared" ref="U28:U46" si="13">H28</f>
        <v>100</v>
      </c>
      <c r="V28" s="1559" t="s">
        <v>11</v>
      </c>
      <c r="W28" s="1560">
        <f t="shared" ref="W28:W46" si="14">J28</f>
        <v>100</v>
      </c>
      <c r="X28" s="1553"/>
      <c r="Y28" s="3410"/>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410"/>
      <c r="Q29" s="1558">
        <f t="shared" si="11"/>
        <v>111</v>
      </c>
      <c r="R29" s="1559" t="s">
        <v>11</v>
      </c>
      <c r="S29" s="1560">
        <f t="shared" si="12"/>
        <v>100</v>
      </c>
      <c r="T29" s="1559" t="s">
        <v>11</v>
      </c>
      <c r="U29" s="1560">
        <f t="shared" si="13"/>
        <v>100</v>
      </c>
      <c r="V29" s="1559" t="s">
        <v>11</v>
      </c>
      <c r="W29" s="1560">
        <f t="shared" si="14"/>
        <v>100</v>
      </c>
      <c r="X29" s="1553"/>
      <c r="Y29" s="3410"/>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410"/>
      <c r="Q30" s="1558">
        <f t="shared" si="11"/>
        <v>111</v>
      </c>
      <c r="R30" s="1559" t="s">
        <v>11</v>
      </c>
      <c r="S30" s="1560">
        <f t="shared" si="12"/>
        <v>100</v>
      </c>
      <c r="T30" s="1559" t="s">
        <v>11</v>
      </c>
      <c r="U30" s="1560">
        <f t="shared" si="13"/>
        <v>100</v>
      </c>
      <c r="V30" s="1559" t="s">
        <v>11</v>
      </c>
      <c r="W30" s="1560">
        <f t="shared" si="14"/>
        <v>100</v>
      </c>
      <c r="X30" s="1553"/>
      <c r="Y30" s="3410"/>
      <c r="Z30" s="1561">
        <f t="shared" si="15"/>
        <v>111</v>
      </c>
      <c r="AA30" s="1562">
        <f t="shared" si="3"/>
        <v>1</v>
      </c>
      <c r="AB30" s="1562">
        <f t="shared" si="4"/>
        <v>1</v>
      </c>
      <c r="AC30" s="1562">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410"/>
      <c r="Q31" s="1558">
        <f t="shared" si="11"/>
        <v>111</v>
      </c>
      <c r="R31" s="1559" t="s">
        <v>11</v>
      </c>
      <c r="S31" s="1560">
        <f t="shared" si="12"/>
        <v>100</v>
      </c>
      <c r="T31" s="1559" t="s">
        <v>11</v>
      </c>
      <c r="U31" s="1560">
        <f t="shared" si="13"/>
        <v>100</v>
      </c>
      <c r="V31" s="1559" t="s">
        <v>11</v>
      </c>
      <c r="W31" s="1560">
        <f t="shared" si="14"/>
        <v>100</v>
      </c>
      <c r="X31" s="1553"/>
      <c r="Y31" s="3410"/>
      <c r="Z31" s="1561">
        <f t="shared" si="15"/>
        <v>111</v>
      </c>
      <c r="AA31" s="1562">
        <f t="shared" si="3"/>
        <v>1</v>
      </c>
      <c r="AB31" s="1562">
        <f t="shared" si="4"/>
        <v>1</v>
      </c>
      <c r="AC31" s="1562">
        <f t="shared" si="5"/>
        <v>1</v>
      </c>
    </row>
    <row r="32" spans="1:29" ht="15">
      <c r="A32" s="2860"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5"/>
      <c r="M32" s="2117"/>
      <c r="N32" s="2117"/>
      <c r="O32" s="2124"/>
      <c r="P32" s="3411" t="s">
        <v>550</v>
      </c>
      <c r="Q32" s="1558" t="str">
        <f t="shared" si="11"/>
        <v>建筑类型</v>
      </c>
      <c r="R32" s="1559" t="s">
        <v>11</v>
      </c>
      <c r="S32" s="1560">
        <f t="shared" si="12"/>
        <v>100</v>
      </c>
      <c r="T32" s="1559" t="s">
        <v>11</v>
      </c>
      <c r="U32" s="1560">
        <f t="shared" si="13"/>
        <v>100</v>
      </c>
      <c r="V32" s="1559" t="s">
        <v>11</v>
      </c>
      <c r="W32" s="1560">
        <f t="shared" si="14"/>
        <v>100</v>
      </c>
      <c r="X32" s="1553"/>
      <c r="Y32" s="3412"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3"/>
      <c r="M33" s="2154"/>
      <c r="N33" s="2154"/>
      <c r="O33" s="2126"/>
      <c r="P33" s="3412"/>
      <c r="Q33" s="1590" t="str">
        <f t="shared" si="11"/>
        <v>项目建筑规模</v>
      </c>
      <c r="R33" s="1563" t="s">
        <v>11</v>
      </c>
      <c r="S33" s="1564" t="e">
        <f t="shared" si="12"/>
        <v>#N/A</v>
      </c>
      <c r="T33" s="1563" t="s">
        <v>11</v>
      </c>
      <c r="U33" s="1564" t="e">
        <f t="shared" si="13"/>
        <v>#N/A</v>
      </c>
      <c r="V33" s="1563" t="s">
        <v>11</v>
      </c>
      <c r="W33" s="1564" t="e">
        <f t="shared" si="14"/>
        <v>#N/A</v>
      </c>
      <c r="X33" s="1565"/>
      <c r="Y33" s="3412"/>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5"/>
      <c r="M34" s="2117"/>
      <c r="N34" s="2117"/>
      <c r="O34" s="2124"/>
      <c r="P34" s="3412"/>
      <c r="Q34" s="1558" t="str">
        <f t="shared" si="11"/>
        <v>建筑结构</v>
      </c>
      <c r="R34" s="1559" t="s">
        <v>11</v>
      </c>
      <c r="S34" s="1560">
        <f t="shared" si="12"/>
        <v>100</v>
      </c>
      <c r="T34" s="1559" t="s">
        <v>11</v>
      </c>
      <c r="U34" s="1560">
        <f t="shared" si="13"/>
        <v>100</v>
      </c>
      <c r="V34" s="1559" t="s">
        <v>11</v>
      </c>
      <c r="W34" s="1560">
        <f t="shared" si="14"/>
        <v>100</v>
      </c>
      <c r="X34" s="1553"/>
      <c r="Y34" s="3412"/>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5"/>
      <c r="M35" s="2117"/>
      <c r="N35" s="2117"/>
      <c r="O35" s="2124"/>
      <c r="P35" s="3412"/>
      <c r="Q35" s="1558" t="str">
        <f t="shared" si="11"/>
        <v>建筑品质</v>
      </c>
      <c r="R35" s="1559" t="s">
        <v>11</v>
      </c>
      <c r="S35" s="1560">
        <f t="shared" si="12"/>
        <v>100</v>
      </c>
      <c r="T35" s="1559" t="s">
        <v>11</v>
      </c>
      <c r="U35" s="1560">
        <f t="shared" si="13"/>
        <v>100</v>
      </c>
      <c r="V35" s="1559" t="s">
        <v>11</v>
      </c>
      <c r="W35" s="1560">
        <f t="shared" si="14"/>
        <v>100</v>
      </c>
      <c r="X35" s="1553"/>
      <c r="Y35" s="3412"/>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5"/>
      <c r="M36" s="2117"/>
      <c r="N36" s="2117"/>
      <c r="O36" s="2124"/>
      <c r="P36" s="3412"/>
      <c r="Q36" s="1558" t="str">
        <f t="shared" si="11"/>
        <v>公共部分装修</v>
      </c>
      <c r="R36" s="1559" t="s">
        <v>11</v>
      </c>
      <c r="S36" s="1560">
        <f t="shared" si="12"/>
        <v>100</v>
      </c>
      <c r="T36" s="1559" t="s">
        <v>11</v>
      </c>
      <c r="U36" s="1560">
        <f t="shared" si="13"/>
        <v>100</v>
      </c>
      <c r="V36" s="1559" t="s">
        <v>11</v>
      </c>
      <c r="W36" s="1560">
        <f t="shared" si="14"/>
        <v>100</v>
      </c>
      <c r="X36" s="1553"/>
      <c r="Y36" s="3412"/>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8"/>
      <c r="M37" s="2119"/>
      <c r="N37" s="2119"/>
      <c r="O37" s="2120"/>
      <c r="P37" s="3412"/>
      <c r="Q37" s="1147" t="str">
        <f t="shared" si="11"/>
        <v>成新度</v>
      </c>
      <c r="R37" s="1554" t="s">
        <v>11</v>
      </c>
      <c r="S37" s="1555" t="e">
        <f t="shared" si="12"/>
        <v>#N/A</v>
      </c>
      <c r="T37" s="1554" t="s">
        <v>11</v>
      </c>
      <c r="U37" s="1555" t="e">
        <f t="shared" si="13"/>
        <v>#N/A</v>
      </c>
      <c r="V37" s="1554" t="s">
        <v>11</v>
      </c>
      <c r="W37" s="1555" t="e">
        <f t="shared" si="14"/>
        <v>#N/A</v>
      </c>
      <c r="X37" s="1556"/>
      <c r="Y37" s="3412"/>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5"/>
      <c r="M38" s="2117"/>
      <c r="N38" s="2117"/>
      <c r="O38" s="2124"/>
      <c r="P38" s="3412" t="s">
        <v>550</v>
      </c>
      <c r="Q38" s="1558" t="str">
        <f t="shared" si="11"/>
        <v>物业管理</v>
      </c>
      <c r="R38" s="1559" t="s">
        <v>11</v>
      </c>
      <c r="S38" s="1560">
        <f t="shared" si="12"/>
        <v>100</v>
      </c>
      <c r="T38" s="1559" t="s">
        <v>11</v>
      </c>
      <c r="U38" s="1560">
        <f t="shared" si="13"/>
        <v>100</v>
      </c>
      <c r="V38" s="1559" t="s">
        <v>11</v>
      </c>
      <c r="W38" s="1560">
        <f t="shared" si="14"/>
        <v>100</v>
      </c>
      <c r="X38" s="1553"/>
      <c r="Y38" s="3412" t="s">
        <v>550</v>
      </c>
      <c r="Z38" s="1561" t="str">
        <f t="shared" si="15"/>
        <v>物业管理</v>
      </c>
      <c r="AA38" s="1562">
        <f t="shared" si="3"/>
        <v>1</v>
      </c>
      <c r="AB38" s="1562">
        <f t="shared" si="4"/>
        <v>1</v>
      </c>
      <c r="AC38" s="1562">
        <f t="shared" si="5"/>
        <v>1</v>
      </c>
    </row>
    <row r="39" spans="1:29" ht="15">
      <c r="A39" s="594"/>
      <c r="B39" s="1878"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5"/>
      <c r="M39" s="2117"/>
      <c r="N39" s="2117"/>
      <c r="O39" s="2124"/>
      <c r="P39" s="3412"/>
      <c r="Q39" s="1558" t="str">
        <f t="shared" si="11"/>
        <v>市政基础设施</v>
      </c>
      <c r="R39" s="1559" t="s">
        <v>11</v>
      </c>
      <c r="S39" s="1560">
        <f t="shared" si="12"/>
        <v>100</v>
      </c>
      <c r="T39" s="1559" t="s">
        <v>11</v>
      </c>
      <c r="U39" s="1560">
        <f t="shared" si="13"/>
        <v>100</v>
      </c>
      <c r="V39" s="1559" t="s">
        <v>11</v>
      </c>
      <c r="W39" s="1560">
        <f t="shared" si="14"/>
        <v>100</v>
      </c>
      <c r="X39" s="1553"/>
      <c r="Y39" s="3412"/>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5"/>
      <c r="M40" s="2117"/>
      <c r="N40" s="2117"/>
      <c r="O40" s="2124"/>
      <c r="P40" s="3412"/>
      <c r="Q40" s="1558" t="str">
        <f t="shared" si="11"/>
        <v>房型</v>
      </c>
      <c r="R40" s="1559" t="s">
        <v>11</v>
      </c>
      <c r="S40" s="1560">
        <f t="shared" si="12"/>
        <v>100</v>
      </c>
      <c r="T40" s="1559" t="s">
        <v>11</v>
      </c>
      <c r="U40" s="1560">
        <f t="shared" si="13"/>
        <v>100</v>
      </c>
      <c r="V40" s="1559" t="s">
        <v>11</v>
      </c>
      <c r="W40" s="1560">
        <f t="shared" si="14"/>
        <v>100</v>
      </c>
      <c r="X40" s="1553"/>
      <c r="Y40" s="3412"/>
      <c r="Z40" s="1561" t="str">
        <f t="shared" si="15"/>
        <v>房型</v>
      </c>
      <c r="AA40" s="1562">
        <f t="shared" si="3"/>
        <v>1</v>
      </c>
      <c r="AB40" s="1562">
        <f t="shared" si="4"/>
        <v>1</v>
      </c>
      <c r="AC40" s="1562">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3"/>
      <c r="M41" s="2154"/>
      <c r="N41" s="2154"/>
      <c r="O41" s="2126"/>
      <c r="P41" s="3412"/>
      <c r="Q41" s="1590" t="str">
        <f t="shared" si="11"/>
        <v>单套/主力户型建筑面积</v>
      </c>
      <c r="R41" s="1563" t="s">
        <v>11</v>
      </c>
      <c r="S41" s="1564">
        <f t="shared" si="12"/>
        <v>100</v>
      </c>
      <c r="T41" s="1563" t="s">
        <v>11</v>
      </c>
      <c r="U41" s="1564">
        <f t="shared" si="13"/>
        <v>100</v>
      </c>
      <c r="V41" s="1563" t="s">
        <v>11</v>
      </c>
      <c r="W41" s="1564">
        <f t="shared" si="14"/>
        <v>100</v>
      </c>
      <c r="X41" s="1565"/>
      <c r="Y41" s="3412"/>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5"/>
      <c r="M42" s="2117"/>
      <c r="N42" s="2117"/>
      <c r="O42" s="2124"/>
      <c r="P42" s="3412"/>
      <c r="Q42" s="1558" t="str">
        <f t="shared" si="11"/>
        <v>内部装修</v>
      </c>
      <c r="R42" s="1559" t="s">
        <v>11</v>
      </c>
      <c r="S42" s="1560">
        <f t="shared" si="12"/>
        <v>100</v>
      </c>
      <c r="T42" s="1559" t="s">
        <v>11</v>
      </c>
      <c r="U42" s="1560">
        <f t="shared" si="13"/>
        <v>100</v>
      </c>
      <c r="V42" s="1559" t="s">
        <v>11</v>
      </c>
      <c r="W42" s="1560">
        <f t="shared" si="14"/>
        <v>100</v>
      </c>
      <c r="X42" s="1553"/>
      <c r="Y42" s="3412"/>
      <c r="Z42" s="1561" t="str">
        <f t="shared" si="15"/>
        <v>内部装修</v>
      </c>
      <c r="AA42" s="1562">
        <f t="shared" si="3"/>
        <v>1</v>
      </c>
      <c r="AB42" s="1562">
        <f t="shared" si="4"/>
        <v>1</v>
      </c>
      <c r="AC42" s="1562">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5"/>
      <c r="M43" s="2117"/>
      <c r="N43" s="2117"/>
      <c r="O43" s="2124"/>
      <c r="P43" s="3412"/>
      <c r="Q43" s="1558" t="str">
        <f t="shared" si="11"/>
        <v>内部装修维护情况</v>
      </c>
      <c r="R43" s="1559" t="s">
        <v>11</v>
      </c>
      <c r="S43" s="1560">
        <f t="shared" si="12"/>
        <v>100</v>
      </c>
      <c r="T43" s="1559" t="s">
        <v>11</v>
      </c>
      <c r="U43" s="1560">
        <f t="shared" si="13"/>
        <v>100</v>
      </c>
      <c r="V43" s="1559" t="s">
        <v>11</v>
      </c>
      <c r="W43" s="1560">
        <f t="shared" si="14"/>
        <v>100</v>
      </c>
      <c r="X43" s="1553"/>
      <c r="Y43" s="3412"/>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8"/>
      <c r="M44" s="2119"/>
      <c r="N44" s="2119"/>
      <c r="O44" s="2120"/>
      <c r="P44" s="3412"/>
      <c r="Q44" s="1147">
        <f t="shared" si="11"/>
        <v>111</v>
      </c>
      <c r="R44" s="1554" t="s">
        <v>11</v>
      </c>
      <c r="S44" s="1555">
        <f t="shared" si="12"/>
        <v>100</v>
      </c>
      <c r="T44" s="1554" t="s">
        <v>11</v>
      </c>
      <c r="U44" s="1555">
        <f t="shared" si="13"/>
        <v>100</v>
      </c>
      <c r="V44" s="1554" t="s">
        <v>11</v>
      </c>
      <c r="W44" s="1555">
        <f t="shared" si="14"/>
        <v>100</v>
      </c>
      <c r="X44" s="1556"/>
      <c r="Y44" s="3412"/>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412"/>
      <c r="Q45" s="1558">
        <f t="shared" si="11"/>
        <v>111</v>
      </c>
      <c r="R45" s="1559" t="s">
        <v>11</v>
      </c>
      <c r="S45" s="1560">
        <f t="shared" si="12"/>
        <v>100</v>
      </c>
      <c r="T45" s="1559" t="s">
        <v>11</v>
      </c>
      <c r="U45" s="1560">
        <f t="shared" si="13"/>
        <v>100</v>
      </c>
      <c r="V45" s="1559" t="s">
        <v>11</v>
      </c>
      <c r="W45" s="1560">
        <f t="shared" si="14"/>
        <v>100</v>
      </c>
      <c r="X45" s="1553"/>
      <c r="Y45" s="3412"/>
      <c r="Z45" s="1561">
        <f t="shared" si="15"/>
        <v>111</v>
      </c>
      <c r="AA45" s="1562">
        <f t="shared" si="3"/>
        <v>1</v>
      </c>
      <c r="AB45" s="1562">
        <f t="shared" si="4"/>
        <v>1</v>
      </c>
      <c r="AC45" s="1562">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493"/>
      <c r="Q46" s="1558">
        <f t="shared" si="11"/>
        <v>111</v>
      </c>
      <c r="R46" s="1559" t="s">
        <v>10</v>
      </c>
      <c r="S46" s="1560">
        <f t="shared" si="12"/>
        <v>100</v>
      </c>
      <c r="T46" s="1559" t="s">
        <v>10</v>
      </c>
      <c r="U46" s="1560">
        <f t="shared" si="13"/>
        <v>100</v>
      </c>
      <c r="V46" s="1559" t="s">
        <v>10</v>
      </c>
      <c r="W46" s="1560">
        <f t="shared" si="14"/>
        <v>100</v>
      </c>
      <c r="X46" s="1553"/>
      <c r="Y46" s="3493"/>
      <c r="Z46" s="1561">
        <f t="shared" si="15"/>
        <v>111</v>
      </c>
      <c r="AA46" s="1562">
        <f t="shared" si="3"/>
        <v>1</v>
      </c>
      <c r="AB46" s="1562">
        <f t="shared" si="4"/>
        <v>1</v>
      </c>
      <c r="AC46" s="1562">
        <f t="shared" si="5"/>
        <v>1</v>
      </c>
    </row>
    <row r="47" spans="1:29" ht="14.4">
      <c r="A47" s="607" t="s">
        <v>736</v>
      </c>
      <c r="B47" s="887"/>
      <c r="C47" s="2589" t="s">
        <v>9</v>
      </c>
      <c r="D47" s="2590"/>
      <c r="E47" s="2591"/>
      <c r="F47" s="2592"/>
      <c r="G47" s="2593"/>
      <c r="H47" s="2594"/>
      <c r="I47" s="2591"/>
      <c r="J47" s="2594"/>
      <c r="K47" s="1591"/>
      <c r="L47" s="2127"/>
      <c r="M47" s="2128"/>
      <c r="N47" s="2117"/>
      <c r="O47" s="2128"/>
      <c r="P47" s="3375" t="str">
        <f>A47</f>
        <v>成交单价（元/平方米）</v>
      </c>
      <c r="Q47" s="3375"/>
      <c r="R47" s="3492">
        <f>E47</f>
        <v>0</v>
      </c>
      <c r="S47" s="3492"/>
      <c r="T47" s="3492">
        <f>G47</f>
        <v>0</v>
      </c>
      <c r="U47" s="3492"/>
      <c r="V47" s="3492">
        <f>I47</f>
        <v>0</v>
      </c>
      <c r="W47" s="3492"/>
      <c r="X47" s="1545"/>
      <c r="Y47" s="1567"/>
      <c r="Z47" s="1545"/>
      <c r="AA47" s="1545"/>
      <c r="AB47" s="1545"/>
      <c r="AC47" s="1545"/>
    </row>
    <row r="48" spans="1:29" ht="15" thickBot="1">
      <c r="A48" s="615" t="s">
        <v>2756</v>
      </c>
      <c r="B48" s="888"/>
      <c r="C48" s="2595" t="e">
        <f>R49</f>
        <v>#DIV/0!</v>
      </c>
      <c r="D48" s="2596"/>
      <c r="E48" s="2597" t="e">
        <f>R48</f>
        <v>#DIV/0!</v>
      </c>
      <c r="F48" s="2597"/>
      <c r="G48" s="2595" t="e">
        <f>T48</f>
        <v>#DIV/0!</v>
      </c>
      <c r="H48" s="2596"/>
      <c r="I48" s="2597" t="e">
        <f>V48</f>
        <v>#DIV/0!</v>
      </c>
      <c r="J48" s="2596"/>
      <c r="K48" s="1592"/>
      <c r="L48" s="2127"/>
      <c r="M48" s="2128"/>
      <c r="N48" s="2128"/>
      <c r="O48" s="2128"/>
      <c r="P48" s="3375" t="str">
        <f>A48</f>
        <v>比较价格（元/平方米）</v>
      </c>
      <c r="Q48" s="3375"/>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45"/>
      <c r="Y48" s="1545"/>
      <c r="Z48" s="1545"/>
      <c r="AA48" s="1545"/>
      <c r="AB48" s="1545"/>
      <c r="AC48" s="1545"/>
    </row>
    <row r="49" spans="1:29" ht="15" thickBot="1">
      <c r="A49" s="621" t="s">
        <v>2929</v>
      </c>
      <c r="B49" s="622"/>
      <c r="C49" s="2598" t="e">
        <f>R49</f>
        <v>#DIV/0!</v>
      </c>
      <c r="D49" s="2598"/>
      <c r="E49" s="2598"/>
      <c r="F49" s="2598"/>
      <c r="G49" s="2598"/>
      <c r="H49" s="2598"/>
      <c r="I49" s="2598"/>
      <c r="J49" s="2598"/>
      <c r="K49" s="1593"/>
      <c r="L49" s="2127"/>
      <c r="M49" s="2128"/>
      <c r="N49" s="2128"/>
      <c r="O49" s="2128"/>
      <c r="P49" s="3372" t="str">
        <f>A49</f>
        <v>估价对象XX用房的比较价格（楼面单价，元/平方米）</v>
      </c>
      <c r="Q49" s="3373"/>
      <c r="R49" s="3491" t="e">
        <f>IF(F1="售价",ROUND(AVERAGE(R48:V48),0),ROUND(AVERAGE(R48:V48),1))</f>
        <v>#DIV/0!</v>
      </c>
      <c r="S49" s="3491"/>
      <c r="T49" s="3491"/>
      <c r="U49" s="3491"/>
      <c r="V49" s="3491"/>
      <c r="W49" s="3491"/>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1" customFormat="1" ht="13.5" customHeight="1">
      <c r="A54" s="2129"/>
      <c r="B54" s="2129"/>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1"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2.2" thickBot="1">
      <c r="A57" s="1570" t="s">
        <v>574</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3" customFormat="1" ht="14.4">
      <c r="A58" s="645" t="s">
        <v>529</v>
      </c>
      <c r="B58" s="646"/>
      <c r="C58" s="2757" t="str">
        <f>YEAR(C7)&amp;"-"&amp;MONTH(C7)</f>
        <v>2020-2</v>
      </c>
      <c r="D58" s="2757">
        <f>EDATE(C58,-1)</f>
        <v>43831</v>
      </c>
      <c r="E58" s="2757">
        <f t="shared" ref="E58:O58" si="16">EDATE(D58,-1)</f>
        <v>43800</v>
      </c>
      <c r="F58" s="2757">
        <f t="shared" si="16"/>
        <v>43770</v>
      </c>
      <c r="G58" s="2757">
        <f t="shared" si="16"/>
        <v>43739</v>
      </c>
      <c r="H58" s="2757">
        <f t="shared" si="16"/>
        <v>43709</v>
      </c>
      <c r="I58" s="2757">
        <f t="shared" si="16"/>
        <v>43678</v>
      </c>
      <c r="J58" s="2757">
        <f t="shared" si="16"/>
        <v>43647</v>
      </c>
      <c r="K58" s="2757">
        <f t="shared" si="16"/>
        <v>43617</v>
      </c>
      <c r="L58" s="2757">
        <f t="shared" si="16"/>
        <v>43586</v>
      </c>
      <c r="M58" s="2757">
        <f t="shared" si="16"/>
        <v>43556</v>
      </c>
      <c r="N58" s="2757">
        <f t="shared" si="16"/>
        <v>43525</v>
      </c>
      <c r="O58" s="2757">
        <f t="shared" si="16"/>
        <v>43497</v>
      </c>
      <c r="P58" s="2143"/>
      <c r="Q58" s="2144"/>
      <c r="R58" s="2144"/>
      <c r="S58" s="2144"/>
      <c r="T58" s="2144"/>
      <c r="U58" s="2144"/>
      <c r="V58" s="2144"/>
      <c r="W58" s="2144"/>
      <c r="X58" s="2144"/>
      <c r="Y58" s="2144"/>
      <c r="Z58" s="2144"/>
      <c r="AA58" s="2144"/>
      <c r="AB58" s="2144"/>
      <c r="AC58" s="2144"/>
    </row>
    <row r="59" spans="1:29" s="1216" customFormat="1">
      <c r="A59" s="647"/>
      <c r="B59" s="648"/>
      <c r="C59" s="649">
        <v>100</v>
      </c>
      <c r="D59" s="650"/>
      <c r="E59" s="650"/>
      <c r="F59" s="650"/>
      <c r="G59" s="650"/>
      <c r="H59" s="650"/>
      <c r="I59" s="650"/>
      <c r="J59" s="650"/>
      <c r="K59" s="650"/>
      <c r="L59" s="650"/>
      <c r="M59" s="650"/>
      <c r="N59" s="650"/>
      <c r="O59" s="650"/>
      <c r="P59" s="2141"/>
      <c r="Q59" s="1976"/>
      <c r="R59" s="1976"/>
      <c r="S59" s="1976"/>
      <c r="T59" s="1976"/>
      <c r="U59" s="1976"/>
      <c r="V59" s="1976"/>
      <c r="W59" s="1976"/>
      <c r="X59" s="1976"/>
      <c r="Y59" s="1976"/>
      <c r="Z59" s="1976"/>
      <c r="AA59" s="1976"/>
      <c r="AB59" s="1976"/>
      <c r="AC59" s="1976"/>
    </row>
    <row r="60" spans="1:29" s="1216" customFormat="1" ht="1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6" customFormat="1" ht="14.4">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6" customFormat="1" ht="14.4"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ht="14.4">
      <c r="A63" s="664" t="s">
        <v>577</v>
      </c>
      <c r="B63" s="665" t="s">
        <v>534</v>
      </c>
      <c r="C63" s="704">
        <f>C9</f>
        <v>0</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4.4" thickBot="1">
      <c r="A64" s="669"/>
      <c r="B64" s="670"/>
      <c r="C64" s="671"/>
      <c r="D64" s="671"/>
      <c r="E64" s="1594"/>
      <c r="F64" s="1594"/>
      <c r="G64" s="1594"/>
      <c r="H64" s="1594"/>
      <c r="I64" s="1594"/>
      <c r="J64" s="1594"/>
      <c r="K64" s="1594"/>
      <c r="L64" s="1594"/>
      <c r="M64" s="1595"/>
      <c r="N64" s="2149"/>
      <c r="O64" s="2149"/>
      <c r="P64" s="2148"/>
      <c r="Q64" s="2141"/>
      <c r="R64" s="2128"/>
      <c r="S64" s="2128"/>
      <c r="T64" s="2128"/>
      <c r="U64" s="2128"/>
      <c r="V64" s="2128"/>
      <c r="W64" s="2128"/>
      <c r="X64" s="2128"/>
      <c r="Y64" s="2128"/>
      <c r="Z64" s="2128"/>
      <c r="AA64" s="2128"/>
      <c r="AB64" s="2128"/>
      <c r="AC64" s="2128"/>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c r="A68" s="669"/>
      <c r="B68" s="683"/>
      <c r="C68" s="541"/>
      <c r="D68" s="541"/>
      <c r="E68" s="541"/>
      <c r="F68" s="541"/>
      <c r="G68" s="541"/>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49"/>
      <c r="O69" s="2149"/>
      <c r="P69" s="2148"/>
      <c r="Q69" s="2141"/>
      <c r="R69" s="2128"/>
      <c r="S69" s="2128"/>
      <c r="T69" s="2128"/>
      <c r="U69" s="2128"/>
      <c r="V69" s="2128"/>
      <c r="W69" s="2128"/>
      <c r="X69" s="2128"/>
      <c r="Y69" s="2128"/>
      <c r="Z69" s="2128"/>
      <c r="AA69" s="2128"/>
      <c r="AB69" s="2128"/>
      <c r="AC69" s="2128"/>
    </row>
    <row r="70" spans="1:29" s="1335" customFormat="1" ht="14.4"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5" customFormat="1" ht="14.4"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5" customFormat="1" ht="14.4"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5" customFormat="1" ht="14.4"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5" customFormat="1" ht="14.4"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5" customFormat="1" ht="14.4"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ht="14.4">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 thickTop="1">
      <c r="A80" s="669"/>
      <c r="B80" s="1879" t="s">
        <v>2554</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 thickTop="1">
      <c r="A82" s="669"/>
      <c r="B82" s="2559" t="s">
        <v>2555</v>
      </c>
      <c r="C82" s="2560" t="s">
        <v>2556</v>
      </c>
      <c r="D82" s="2560" t="s">
        <v>2557</v>
      </c>
      <c r="E82" s="2560" t="s">
        <v>2558</v>
      </c>
      <c r="F82" s="2560" t="s">
        <v>2559</v>
      </c>
      <c r="G82" s="2560" t="s">
        <v>2560</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6" customFormat="1" ht="15" thickTop="1">
      <c r="A86" s="709"/>
      <c r="B86" s="1879" t="s">
        <v>2254</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6" customFormat="1" ht="15" thickTop="1">
      <c r="A88" s="709"/>
      <c r="B88" s="673" t="s">
        <v>746</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5" customFormat="1" ht="14.4"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5" customFormat="1" ht="14.4"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4.4"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4.4"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4.4"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4.4"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4.4" thickBot="1">
      <c r="A99" s="893"/>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ht="14.4">
      <c r="A100" s="664" t="s">
        <v>551</v>
      </c>
      <c r="B100" s="665" t="s">
        <v>747</v>
      </c>
      <c r="C100" s="598"/>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49"/>
      <c r="O101" s="2149"/>
      <c r="P101" s="2148"/>
      <c r="Q101" s="2141"/>
      <c r="R101" s="2128"/>
      <c r="S101" s="2128"/>
      <c r="T101" s="2128"/>
      <c r="U101" s="2128"/>
      <c r="V101" s="2128"/>
      <c r="W101" s="2128"/>
      <c r="X101" s="2128"/>
      <c r="Y101" s="2128"/>
      <c r="Z101" s="2128"/>
      <c r="AA101" s="2128"/>
      <c r="AB101" s="2128"/>
      <c r="AC101" s="2128"/>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5" customFormat="1">
      <c r="A103" s="728"/>
      <c r="B103" s="729"/>
      <c r="C103" s="730"/>
      <c r="D103" s="730"/>
      <c r="E103" s="730"/>
      <c r="F103" s="730"/>
      <c r="G103" s="730"/>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5" customFormat="1" ht="14.4" thickBot="1">
      <c r="A104" s="687"/>
      <c r="B104" s="678"/>
      <c r="C104" s="692"/>
      <c r="D104" s="671"/>
      <c r="E104" s="671"/>
      <c r="F104" s="671"/>
      <c r="G104" s="671"/>
      <c r="H104" s="671"/>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688"/>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718"/>
      <c r="D107" s="718"/>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688"/>
      <c r="D109" s="688"/>
      <c r="E109" s="688"/>
      <c r="F109" s="718"/>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49"/>
      <c r="O110" s="2149"/>
      <c r="P110" s="2148"/>
      <c r="Q110" s="2141"/>
      <c r="R110" s="2128"/>
      <c r="S110" s="2128"/>
      <c r="T110" s="2128"/>
      <c r="U110" s="2128"/>
      <c r="V110" s="2128"/>
      <c r="W110" s="2128"/>
      <c r="X110" s="2128"/>
      <c r="Y110" s="2128"/>
      <c r="Z110" s="2128"/>
      <c r="AA110" s="2128"/>
      <c r="AB110" s="2128"/>
      <c r="AC110" s="2128"/>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5" customFormat="1">
      <c r="A112" s="728"/>
      <c r="B112" s="681"/>
      <c r="C112" s="894">
        <v>0.5</v>
      </c>
      <c r="D112" s="894">
        <v>0.6</v>
      </c>
      <c r="E112" s="894">
        <v>0.7</v>
      </c>
      <c r="F112" s="894">
        <v>0.8</v>
      </c>
      <c r="G112" s="894">
        <v>0.9</v>
      </c>
      <c r="H112" s="894">
        <v>1.0001</v>
      </c>
      <c r="I112" s="894"/>
      <c r="J112" s="895"/>
      <c r="K112" s="895"/>
      <c r="L112" s="896"/>
      <c r="M112" s="897"/>
      <c r="N112" s="2150"/>
      <c r="O112" s="2150"/>
      <c r="P112" s="2151"/>
      <c r="Q112" s="2152"/>
      <c r="R112" s="2153"/>
      <c r="S112" s="2153"/>
      <c r="T112" s="2153"/>
      <c r="U112" s="2153"/>
      <c r="V112" s="2153"/>
      <c r="W112" s="2153"/>
      <c r="X112" s="2153"/>
      <c r="Y112" s="2153"/>
      <c r="Z112" s="2153"/>
      <c r="AA112" s="2153"/>
      <c r="AB112" s="2153"/>
      <c r="AC112" s="2153"/>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753</v>
      </c>
      <c r="C114" s="688"/>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2553</v>
      </c>
      <c r="C116" s="688"/>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754</v>
      </c>
      <c r="C118" s="718"/>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49"/>
      <c r="O119" s="2149"/>
      <c r="P119" s="2148"/>
      <c r="Q119" s="2141"/>
      <c r="R119" s="2128"/>
      <c r="S119" s="2128"/>
      <c r="T119" s="2128"/>
      <c r="U119" s="2128"/>
      <c r="V119" s="2128"/>
      <c r="W119" s="2128"/>
      <c r="X119" s="2128"/>
      <c r="Y119" s="2128"/>
      <c r="Z119" s="2128"/>
      <c r="AA119" s="2128"/>
      <c r="AB119" s="2128"/>
      <c r="AC119" s="2128"/>
    </row>
    <row r="120" spans="1:29" s="1335" customFormat="1" ht="29.4" thickTop="1">
      <c r="A120" s="728"/>
      <c r="B120" s="673" t="s">
        <v>733</v>
      </c>
      <c r="C120" s="688"/>
      <c r="D120" s="688"/>
      <c r="E120" s="688"/>
      <c r="F120" s="688"/>
      <c r="G120" s="688"/>
      <c r="H120" s="688"/>
      <c r="I120" s="688"/>
      <c r="J120" s="688"/>
      <c r="K120" s="688"/>
      <c r="L120" s="890"/>
      <c r="M120" s="891"/>
      <c r="N120" s="2150"/>
      <c r="O120" s="2150"/>
      <c r="P120" s="2151"/>
      <c r="Q120" s="2152"/>
      <c r="R120" s="2153"/>
      <c r="S120" s="2153"/>
      <c r="T120" s="2153"/>
      <c r="U120" s="2153"/>
      <c r="V120" s="2153"/>
      <c r="W120" s="2153"/>
      <c r="X120" s="2153"/>
      <c r="Y120" s="2153"/>
      <c r="Z120" s="2153"/>
      <c r="AA120" s="2153"/>
      <c r="AB120" s="2153"/>
      <c r="AC120" s="2153"/>
    </row>
    <row r="121" spans="1:29" s="1335" customFormat="1" ht="14.4"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688"/>
      <c r="D122" s="688"/>
      <c r="E122" s="688"/>
      <c r="F122" s="718"/>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5" customFormat="1" ht="14.4"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5" customFormat="1" ht="14.4"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4.4"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4.4"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4.4"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4.4"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2255</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ht="15.6">
      <c r="A137" s="2162"/>
      <c r="B137" s="1901" t="s">
        <v>2256</v>
      </c>
      <c r="C137" s="1902"/>
      <c r="D137" s="1902"/>
      <c r="E137" s="1902"/>
      <c r="F137" s="1902"/>
      <c r="G137" s="1903"/>
      <c r="H137" s="1904"/>
      <c r="I137" s="1905" t="s">
        <v>2257</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ht="15.6">
      <c r="A138" s="2162"/>
      <c r="B138" s="1907"/>
      <c r="C138" s="1908" t="s">
        <v>2258</v>
      </c>
      <c r="D138" s="1908" t="s">
        <v>2259</v>
      </c>
      <c r="E138" s="1909" t="s">
        <v>2260</v>
      </c>
      <c r="F138" s="1910" t="s">
        <v>2261</v>
      </c>
      <c r="G138" s="1908" t="s">
        <v>2262</v>
      </c>
      <c r="H138" s="1911" t="s">
        <v>2263</v>
      </c>
      <c r="I138" s="1912"/>
      <c r="J138" s="1908" t="s">
        <v>2264</v>
      </c>
      <c r="K138" s="1911" t="s">
        <v>2265</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2266</v>
      </c>
      <c r="E139" s="1882">
        <v>100</v>
      </c>
      <c r="F139" s="1883">
        <v>102.5</v>
      </c>
      <c r="G139" s="1913" t="s">
        <v>2267</v>
      </c>
      <c r="H139" s="1884">
        <v>105</v>
      </c>
      <c r="I139" s="1914" t="s">
        <v>2268</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6">
      <c r="A140" s="2162"/>
      <c r="B140" s="1886">
        <v>5</v>
      </c>
      <c r="C140" s="1887">
        <v>100</v>
      </c>
      <c r="D140" s="1915"/>
      <c r="E140" s="1888"/>
      <c r="F140" s="1889">
        <v>102</v>
      </c>
      <c r="G140" s="1915"/>
      <c r="H140" s="1890"/>
      <c r="I140" s="1916" t="s">
        <v>2269</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6">
      <c r="A141" s="2162"/>
      <c r="B141" s="1886">
        <v>4</v>
      </c>
      <c r="C141" s="1887">
        <v>102</v>
      </c>
      <c r="D141" s="1915"/>
      <c r="E141" s="1888"/>
      <c r="F141" s="1889">
        <v>101.5</v>
      </c>
      <c r="G141" s="1915"/>
      <c r="H141" s="1890"/>
      <c r="I141" s="1916" t="s">
        <v>2270</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6">
      <c r="A142" s="2162"/>
      <c r="B142" s="1886">
        <v>3</v>
      </c>
      <c r="C142" s="1887">
        <v>103</v>
      </c>
      <c r="D142" s="1915"/>
      <c r="E142" s="1888"/>
      <c r="F142" s="1889">
        <v>101</v>
      </c>
      <c r="G142" s="1915"/>
      <c r="H142" s="1890"/>
      <c r="I142" s="1916" t="s">
        <v>2271</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6">
      <c r="A143" s="2162"/>
      <c r="B143" s="1886">
        <v>2</v>
      </c>
      <c r="C143" s="1887">
        <v>100</v>
      </c>
      <c r="D143" s="1915"/>
      <c r="E143" s="1888"/>
      <c r="F143" s="1889">
        <v>100.5</v>
      </c>
      <c r="G143" s="1915"/>
      <c r="H143" s="1890"/>
      <c r="I143" s="1916" t="s">
        <v>2272</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2273</v>
      </c>
      <c r="E144" s="1888">
        <v>102</v>
      </c>
      <c r="F144" s="1894">
        <v>100</v>
      </c>
      <c r="G144" s="1917" t="s">
        <v>2273</v>
      </c>
      <c r="H144" s="1890">
        <v>105</v>
      </c>
      <c r="I144" s="1916" t="s">
        <v>2272</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6.2" thickBot="1">
      <c r="A145" s="2162"/>
      <c r="B145" s="1918" t="s">
        <v>2274</v>
      </c>
      <c r="C145" s="1895">
        <f>ROUND(MAX(C139:C144)/MIN(C139:C144)-1,3)</f>
        <v>7.2999999999999995E-2</v>
      </c>
      <c r="D145" s="1919"/>
      <c r="E145" s="1919"/>
      <c r="F145" s="1920" t="s">
        <v>2275</v>
      </c>
      <c r="G145" s="1921"/>
      <c r="H145" s="1922"/>
      <c r="I145" s="1923" t="s">
        <v>2272</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ht="14.4">
      <c r="A147" s="2162"/>
      <c r="B147" s="1942" t="s">
        <v>2284</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ht="14.4">
      <c r="A148" s="2162"/>
      <c r="B148" s="1942" t="s">
        <v>2285</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22" zoomScale="80" zoomScaleNormal="80" workbookViewId="0">
      <selection activeCell="N47" sqref="N47"/>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2"/>
      <c r="E1" s="506"/>
      <c r="F1" s="2760"/>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0"/>
      <c r="D2" s="2110"/>
      <c r="E2" s="2044"/>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4"/>
      <c r="F3" s="2112"/>
      <c r="G3" s="2111"/>
      <c r="H3" s="2111"/>
      <c r="I3" s="2111"/>
      <c r="J3" s="2111"/>
      <c r="K3" s="2113"/>
      <c r="L3" s="2114"/>
      <c r="M3" s="2115"/>
      <c r="N3" s="2115"/>
      <c r="O3" s="2115"/>
      <c r="P3" s="1550"/>
      <c r="Q3" s="1550"/>
      <c r="R3" s="1550"/>
      <c r="S3" s="1550"/>
      <c r="T3" s="1550"/>
      <c r="U3" s="1550"/>
      <c r="V3" s="1550"/>
      <c r="W3" s="1550"/>
      <c r="X3" s="1550"/>
      <c r="Y3" s="1550"/>
      <c r="Z3" s="1550"/>
      <c r="AA3" s="1550"/>
      <c r="AB3" s="1550"/>
      <c r="AC3" s="428"/>
    </row>
    <row r="4" spans="1:29" ht="14.4">
      <c r="A4" s="512" t="s">
        <v>521</v>
      </c>
      <c r="B4" s="513"/>
      <c r="C4" s="3381" t="s">
        <v>522</v>
      </c>
      <c r="D4" s="3382"/>
      <c r="E4" s="3415" t="s">
        <v>523</v>
      </c>
      <c r="F4" s="3416"/>
      <c r="G4" s="3381" t="s">
        <v>524</v>
      </c>
      <c r="H4" s="3382"/>
      <c r="I4" s="3381" t="s">
        <v>525</v>
      </c>
      <c r="J4" s="3382"/>
      <c r="K4" s="514" t="s">
        <v>526</v>
      </c>
      <c r="L4" s="2116"/>
      <c r="M4" s="2117"/>
      <c r="N4" s="2117"/>
      <c r="O4" s="2117"/>
      <c r="P4" s="3383" t="s">
        <v>527</v>
      </c>
      <c r="Q4" s="3384"/>
      <c r="R4" s="3389" t="s">
        <v>523</v>
      </c>
      <c r="S4" s="3390"/>
      <c r="T4" s="3389" t="s">
        <v>524</v>
      </c>
      <c r="U4" s="3390"/>
      <c r="V4" s="3376" t="s">
        <v>525</v>
      </c>
      <c r="W4" s="3376"/>
      <c r="X4" s="1553"/>
      <c r="Y4" s="3389" t="s">
        <v>527</v>
      </c>
      <c r="Z4" s="3390"/>
      <c r="AA4" s="3378" t="s">
        <v>523</v>
      </c>
      <c r="AB4" s="3376" t="s">
        <v>524</v>
      </c>
      <c r="AC4" s="3378" t="s">
        <v>525</v>
      </c>
    </row>
    <row r="5" spans="1:29">
      <c r="A5" s="515"/>
      <c r="B5" s="516"/>
      <c r="C5" s="3397" t="s">
        <v>2923</v>
      </c>
      <c r="D5" s="3398"/>
      <c r="E5" s="3417" t="s">
        <v>2924</v>
      </c>
      <c r="F5" s="3418"/>
      <c r="G5" s="3397" t="s">
        <v>2925</v>
      </c>
      <c r="H5" s="3398"/>
      <c r="I5" s="3397" t="s">
        <v>2926</v>
      </c>
      <c r="J5" s="3398"/>
      <c r="K5" s="514"/>
      <c r="L5" s="2116"/>
      <c r="M5" s="2117"/>
      <c r="N5" s="2117"/>
      <c r="O5" s="2117"/>
      <c r="P5" s="3385"/>
      <c r="Q5" s="3386"/>
      <c r="R5" s="3391"/>
      <c r="S5" s="3392"/>
      <c r="T5" s="3391"/>
      <c r="U5" s="3392"/>
      <c r="V5" s="3376"/>
      <c r="W5" s="3376"/>
      <c r="X5" s="1553"/>
      <c r="Y5" s="3391"/>
      <c r="Z5" s="3392"/>
      <c r="AA5" s="3379"/>
      <c r="AB5" s="3376"/>
      <c r="AC5" s="3379"/>
    </row>
    <row r="6" spans="1:29" ht="15" thickBot="1">
      <c r="A6" s="517"/>
      <c r="B6" s="518"/>
      <c r="C6" s="3395" t="s">
        <v>2927</v>
      </c>
      <c r="D6" s="3396"/>
      <c r="E6" s="3413" t="s">
        <v>2927</v>
      </c>
      <c r="F6" s="3414"/>
      <c r="G6" s="3395" t="s">
        <v>2927</v>
      </c>
      <c r="H6" s="3396"/>
      <c r="I6" s="3395" t="s">
        <v>2927</v>
      </c>
      <c r="J6" s="3396"/>
      <c r="K6" s="514" t="s">
        <v>528</v>
      </c>
      <c r="L6" s="2116"/>
      <c r="M6" s="2117"/>
      <c r="N6" s="2117"/>
      <c r="O6" s="2117"/>
      <c r="P6" s="3387"/>
      <c r="Q6" s="3388"/>
      <c r="R6" s="3391"/>
      <c r="S6" s="3392"/>
      <c r="T6" s="3393"/>
      <c r="U6" s="3394"/>
      <c r="V6" s="3376"/>
      <c r="W6" s="3376"/>
      <c r="X6" s="1553"/>
      <c r="Y6" s="3393"/>
      <c r="Z6" s="3394"/>
      <c r="AA6" s="3380"/>
      <c r="AB6" s="3376"/>
      <c r="AC6" s="3380"/>
    </row>
    <row r="7" spans="1:29" s="1216" customFormat="1" ht="15" thickBot="1">
      <c r="A7" s="2865"/>
      <c r="B7" s="2872" t="s">
        <v>529</v>
      </c>
      <c r="C7" s="519">
        <f>'数据-取费表'!B2</f>
        <v>43889</v>
      </c>
      <c r="D7" s="520">
        <v>100</v>
      </c>
      <c r="E7" s="521"/>
      <c r="F7" s="522">
        <f>SUMIF(58:58,YEAR(E7)&amp;"-"&amp;MONTH(E7),59:59)</f>
        <v>0</v>
      </c>
      <c r="G7" s="521"/>
      <c r="H7" s="520">
        <f>SUMIF(58:58,YEAR(G7)&amp;"-"&amp;MONTH(G7),59:59)</f>
        <v>0</v>
      </c>
      <c r="I7" s="521"/>
      <c r="J7" s="520">
        <f>SUMIF(58:58,YEAR(I7)&amp;"-"&amp;MONTH(I7),59:59)</f>
        <v>0</v>
      </c>
      <c r="K7" s="524"/>
      <c r="L7" s="2118"/>
      <c r="M7" s="2119"/>
      <c r="N7" s="2119"/>
      <c r="O7" s="2119"/>
      <c r="P7" s="3406" t="s">
        <v>530</v>
      </c>
      <c r="Q7" s="3408"/>
      <c r="R7" s="1554" t="s">
        <v>8</v>
      </c>
      <c r="S7" s="1555">
        <f t="shared" ref="S7:S15" si="0">F7</f>
        <v>0</v>
      </c>
      <c r="T7" s="1554" t="s">
        <v>8</v>
      </c>
      <c r="U7" s="1555">
        <f t="shared" ref="U7:U15" si="1">H7</f>
        <v>0</v>
      </c>
      <c r="V7" s="1554" t="s">
        <v>8</v>
      </c>
      <c r="W7" s="1555">
        <f t="shared" ref="W7:W15" si="2">J7</f>
        <v>0</v>
      </c>
      <c r="X7" s="1556"/>
      <c r="Y7" s="3406" t="s">
        <v>530</v>
      </c>
      <c r="Z7" s="3407"/>
      <c r="AA7" s="1557" t="e">
        <f>D7/F7</f>
        <v>#DIV/0!</v>
      </c>
      <c r="AB7" s="1557" t="e">
        <f>D7/H7</f>
        <v>#DIV/0!</v>
      </c>
      <c r="AC7" s="1557" t="e">
        <f>D7/J7</f>
        <v>#DIV/0!</v>
      </c>
    </row>
    <row r="8" spans="1:29" s="1216" customFormat="1" ht="15" thickBot="1">
      <c r="A8" s="2866"/>
      <c r="B8" s="2873" t="s">
        <v>531</v>
      </c>
      <c r="C8" s="525" t="s">
        <v>576</v>
      </c>
      <c r="D8" s="520">
        <v>100</v>
      </c>
      <c r="E8" s="525"/>
      <c r="F8" s="522">
        <f>SUMIF(61:61,E8,62:62)-SUMIF(61:61,C8,62:62)+100</f>
        <v>0</v>
      </c>
      <c r="G8" s="525"/>
      <c r="H8" s="520">
        <f>SUMIF(61:61,G8,62:62)-SUMIF(61:61,C8,62:62)+100</f>
        <v>0</v>
      </c>
      <c r="I8" s="525"/>
      <c r="J8" s="520">
        <f>SUMIF(61:61,I8,62:62)-SUMIF(61:61,C8,62:62)+100</f>
        <v>0</v>
      </c>
      <c r="K8" s="524"/>
      <c r="L8" s="2118"/>
      <c r="M8" s="2119"/>
      <c r="N8" s="2119"/>
      <c r="O8" s="2119"/>
      <c r="P8" s="3406" t="s">
        <v>533</v>
      </c>
      <c r="Q8" s="3407"/>
      <c r="R8" s="1554" t="s">
        <v>8</v>
      </c>
      <c r="S8" s="1555">
        <f t="shared" si="0"/>
        <v>0</v>
      </c>
      <c r="T8" s="1554" t="s">
        <v>8</v>
      </c>
      <c r="U8" s="1555">
        <f t="shared" si="1"/>
        <v>0</v>
      </c>
      <c r="V8" s="1554" t="s">
        <v>8</v>
      </c>
      <c r="W8" s="1555">
        <f t="shared" si="2"/>
        <v>0</v>
      </c>
      <c r="X8" s="1556"/>
      <c r="Y8" s="3406" t="s">
        <v>533</v>
      </c>
      <c r="Z8" s="3407"/>
      <c r="AA8" s="1557" t="e">
        <f t="shared" ref="AA8:AA46" si="3">D8/F8</f>
        <v>#DIV/0!</v>
      </c>
      <c r="AB8" s="1557" t="e">
        <f t="shared" ref="AB8:AB46" si="4">D8/H8</f>
        <v>#DIV/0!</v>
      </c>
      <c r="AC8" s="1557" t="e">
        <f t="shared" ref="AC8:AC46" si="5">D8/J8</f>
        <v>#DIV/0!</v>
      </c>
    </row>
    <row r="9" spans="1:29" s="1216" customFormat="1" ht="14.4">
      <c r="A9" s="2867"/>
      <c r="B9" s="2874" t="s">
        <v>2752</v>
      </c>
      <c r="C9" s="857"/>
      <c r="D9" s="254">
        <v>100</v>
      </c>
      <c r="E9" s="860"/>
      <c r="F9" s="254">
        <f>SUMIF(63:63,E9,64:64)-SUMIF(63:63,C9,64:64)+100</f>
        <v>100</v>
      </c>
      <c r="G9" s="858"/>
      <c r="H9" s="254">
        <f>SUMIF(63:63,G9,64:64)-SUMIF(63:63,C9,64:64)+100</f>
        <v>100</v>
      </c>
      <c r="I9" s="858"/>
      <c r="J9" s="254">
        <f>SUMIF(63:63,I9,64:64)-SUMIF(63:63,C9,64:64)+100</f>
        <v>100</v>
      </c>
      <c r="K9" s="524"/>
      <c r="L9" s="2118"/>
      <c r="M9" s="2119"/>
      <c r="N9" s="2119"/>
      <c r="O9" s="2120"/>
      <c r="P9" s="3375" t="s">
        <v>535</v>
      </c>
      <c r="Q9" s="1147" t="str">
        <f t="shared" ref="Q9:Q15" si="6">B9</f>
        <v>用途</v>
      </c>
      <c r="R9" s="1554" t="s">
        <v>8</v>
      </c>
      <c r="S9" s="1555">
        <f t="shared" si="0"/>
        <v>100</v>
      </c>
      <c r="T9" s="1554" t="s">
        <v>8</v>
      </c>
      <c r="U9" s="1555">
        <f t="shared" si="1"/>
        <v>100</v>
      </c>
      <c r="V9" s="1554" t="s">
        <v>8</v>
      </c>
      <c r="W9" s="1555">
        <f t="shared" si="2"/>
        <v>100</v>
      </c>
      <c r="X9" s="1556"/>
      <c r="Y9" s="3321" t="s">
        <v>536</v>
      </c>
      <c r="Z9" s="1146" t="str">
        <f t="shared" ref="Z9:Z15" si="7">Q9</f>
        <v>用途</v>
      </c>
      <c r="AA9" s="1557">
        <f t="shared" si="3"/>
        <v>1</v>
      </c>
      <c r="AB9" s="1557">
        <f t="shared" si="4"/>
        <v>1</v>
      </c>
      <c r="AC9" s="1557">
        <f t="shared" si="5"/>
        <v>1</v>
      </c>
    </row>
    <row r="10" spans="1:29" s="1334" customFormat="1" ht="28.8">
      <c r="A10" s="2868"/>
      <c r="B10" s="2873" t="s">
        <v>2753</v>
      </c>
      <c r="C10" s="861"/>
      <c r="D10" s="255">
        <v>100</v>
      </c>
      <c r="E10" s="861"/>
      <c r="F10" s="255">
        <f>SUMIF(65:65,E10,66:66)-SUMIF(65:65,C10,66:66)+100</f>
        <v>100</v>
      </c>
      <c r="G10" s="862"/>
      <c r="H10" s="255">
        <f>SUMIF(65:65,G10,66:66)-SUMIF(65:65,C10,66:66)+100</f>
        <v>100</v>
      </c>
      <c r="I10" s="861"/>
      <c r="J10" s="255">
        <f>SUMIF(65:65,I10,66:66)-SUMIF(65:65,C10,66:66)+100</f>
        <v>100</v>
      </c>
      <c r="K10" s="584"/>
      <c r="L10" s="2121"/>
      <c r="M10" s="2161"/>
      <c r="N10" s="2161"/>
      <c r="O10" s="2122"/>
      <c r="P10" s="3375"/>
      <c r="Q10" s="1147" t="str">
        <f t="shared" si="6"/>
        <v>土地使用年限（年）</v>
      </c>
      <c r="R10" s="1554" t="s">
        <v>8</v>
      </c>
      <c r="S10" s="1555">
        <f t="shared" si="0"/>
        <v>100</v>
      </c>
      <c r="T10" s="1554" t="s">
        <v>8</v>
      </c>
      <c r="U10" s="1555">
        <f t="shared" si="1"/>
        <v>100</v>
      </c>
      <c r="V10" s="1554" t="s">
        <v>8</v>
      </c>
      <c r="W10" s="1555">
        <f t="shared" si="2"/>
        <v>100</v>
      </c>
      <c r="X10" s="1556"/>
      <c r="Y10" s="3321"/>
      <c r="Z10" s="1146" t="str">
        <f t="shared" si="7"/>
        <v>土地使用年限（年）</v>
      </c>
      <c r="AA10" s="1557">
        <f t="shared" si="3"/>
        <v>1</v>
      </c>
      <c r="AB10" s="1557">
        <f t="shared" si="4"/>
        <v>1</v>
      </c>
      <c r="AC10" s="1557">
        <f t="shared" si="5"/>
        <v>1</v>
      </c>
    </row>
    <row r="11" spans="1:29" ht="15">
      <c r="A11" s="2869"/>
      <c r="B11" s="2873"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3"/>
      <c r="M11" s="2117"/>
      <c r="N11" s="2117"/>
      <c r="O11" s="2124"/>
      <c r="P11" s="3375"/>
      <c r="Q11" s="1147" t="str">
        <f t="shared" si="6"/>
        <v>容积率</v>
      </c>
      <c r="R11" s="1554" t="s">
        <v>8</v>
      </c>
      <c r="S11" s="1555" t="e">
        <f t="shared" si="0"/>
        <v>#N/A</v>
      </c>
      <c r="T11" s="1554" t="s">
        <v>8</v>
      </c>
      <c r="U11" s="1555" t="e">
        <f t="shared" si="1"/>
        <v>#N/A</v>
      </c>
      <c r="V11" s="1554" t="s">
        <v>8</v>
      </c>
      <c r="W11" s="1555" t="e">
        <f t="shared" si="2"/>
        <v>#N/A</v>
      </c>
      <c r="X11" s="1556"/>
      <c r="Y11" s="3321"/>
      <c r="Z11" s="1146" t="str">
        <f t="shared" si="7"/>
        <v>容积率</v>
      </c>
      <c r="AA11" s="1557" t="e">
        <f t="shared" si="3"/>
        <v>#N/A</v>
      </c>
      <c r="AB11" s="1557" t="e">
        <f t="shared" si="4"/>
        <v>#N/A</v>
      </c>
      <c r="AC11" s="1557" t="e">
        <f t="shared" si="5"/>
        <v>#N/A</v>
      </c>
    </row>
    <row r="12" spans="1:29" s="1216" customFormat="1" ht="15">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18"/>
      <c r="M12" s="2119"/>
      <c r="N12" s="2119"/>
      <c r="O12" s="2120"/>
      <c r="P12" s="3375"/>
      <c r="Q12" s="1147">
        <f t="shared" si="6"/>
        <v>111</v>
      </c>
      <c r="R12" s="1554" t="s">
        <v>8</v>
      </c>
      <c r="S12" s="1555">
        <f t="shared" si="0"/>
        <v>100</v>
      </c>
      <c r="T12" s="1554" t="s">
        <v>8</v>
      </c>
      <c r="U12" s="1555">
        <f t="shared" si="1"/>
        <v>100</v>
      </c>
      <c r="V12" s="1554" t="s">
        <v>8</v>
      </c>
      <c r="W12" s="1555">
        <f t="shared" si="2"/>
        <v>100</v>
      </c>
      <c r="X12" s="1556"/>
      <c r="Y12" s="3321"/>
      <c r="Z12" s="1146">
        <f t="shared" si="7"/>
        <v>111</v>
      </c>
      <c r="AA12" s="1557">
        <f>D12/F12</f>
        <v>1</v>
      </c>
      <c r="AB12" s="1557">
        <f>D12/H12</f>
        <v>1</v>
      </c>
      <c r="AC12" s="1557">
        <f>D12/J12</f>
        <v>1</v>
      </c>
    </row>
    <row r="13" spans="1:29" ht="15">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5"/>
      <c r="M13" s="2117"/>
      <c r="N13" s="2117"/>
      <c r="O13" s="2124"/>
      <c r="P13" s="3375"/>
      <c r="Q13" s="1147">
        <f t="shared" si="6"/>
        <v>111</v>
      </c>
      <c r="R13" s="1554" t="s">
        <v>8</v>
      </c>
      <c r="S13" s="1555">
        <f t="shared" si="0"/>
        <v>100</v>
      </c>
      <c r="T13" s="1554" t="s">
        <v>8</v>
      </c>
      <c r="U13" s="1555">
        <f t="shared" si="1"/>
        <v>100</v>
      </c>
      <c r="V13" s="1554" t="s">
        <v>8</v>
      </c>
      <c r="W13" s="1555">
        <f t="shared" si="2"/>
        <v>100</v>
      </c>
      <c r="X13" s="1556"/>
      <c r="Y13" s="3321"/>
      <c r="Z13" s="1146">
        <f t="shared" si="7"/>
        <v>111</v>
      </c>
      <c r="AA13" s="1557">
        <f t="shared" si="3"/>
        <v>1</v>
      </c>
      <c r="AB13" s="1557">
        <f t="shared" si="4"/>
        <v>1</v>
      </c>
      <c r="AC13" s="1557">
        <f t="shared" si="5"/>
        <v>1</v>
      </c>
    </row>
    <row r="14" spans="1:29" ht="15.6"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5"/>
      <c r="M14" s="2117"/>
      <c r="N14" s="2117"/>
      <c r="O14" s="2124"/>
      <c r="P14" s="3375"/>
      <c r="Q14" s="1147">
        <f t="shared" si="6"/>
        <v>111</v>
      </c>
      <c r="R14" s="1554" t="s">
        <v>8</v>
      </c>
      <c r="S14" s="1555">
        <f t="shared" si="0"/>
        <v>100</v>
      </c>
      <c r="T14" s="1554" t="s">
        <v>8</v>
      </c>
      <c r="U14" s="1555">
        <f t="shared" si="1"/>
        <v>100</v>
      </c>
      <c r="V14" s="1554" t="s">
        <v>8</v>
      </c>
      <c r="W14" s="1555">
        <f t="shared" si="2"/>
        <v>100</v>
      </c>
      <c r="X14" s="1556"/>
      <c r="Y14" s="3321"/>
      <c r="Z14" s="1146">
        <f t="shared" si="7"/>
        <v>111</v>
      </c>
      <c r="AA14" s="1557">
        <f t="shared" si="3"/>
        <v>1</v>
      </c>
      <c r="AB14" s="1557">
        <f t="shared" si="4"/>
        <v>1</v>
      </c>
      <c r="AC14" s="1557">
        <f t="shared" si="5"/>
        <v>1</v>
      </c>
    </row>
    <row r="15" spans="1:29" ht="15">
      <c r="A15" s="2863" t="s">
        <v>2750</v>
      </c>
      <c r="B15" s="166" t="s">
        <v>541</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8"/>
      <c r="L15" s="2125"/>
      <c r="M15" s="2117"/>
      <c r="N15" s="2117"/>
      <c r="O15" s="2124"/>
      <c r="P15" s="3409" t="s">
        <v>540</v>
      </c>
      <c r="Q15" s="1558" t="str">
        <f t="shared" si="6"/>
        <v>商业繁华度</v>
      </c>
      <c r="R15" s="1559" t="s">
        <v>8</v>
      </c>
      <c r="S15" s="1560">
        <f t="shared" si="0"/>
        <v>100</v>
      </c>
      <c r="T15" s="1559" t="s">
        <v>8</v>
      </c>
      <c r="U15" s="1560">
        <f t="shared" si="1"/>
        <v>100</v>
      </c>
      <c r="V15" s="1559" t="s">
        <v>8</v>
      </c>
      <c r="W15" s="1560">
        <f t="shared" si="2"/>
        <v>100</v>
      </c>
      <c r="X15" s="1553"/>
      <c r="Y15" s="3409"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5"/>
      <c r="M16" s="2117"/>
      <c r="N16" s="2117"/>
      <c r="O16" s="2124"/>
      <c r="P16" s="3410"/>
      <c r="Q16" s="1558"/>
      <c r="R16" s="1559"/>
      <c r="S16" s="1560"/>
      <c r="T16" s="1559"/>
      <c r="U16" s="1560"/>
      <c r="V16" s="1559"/>
      <c r="W16" s="1560"/>
      <c r="X16" s="1553"/>
      <c r="Y16" s="3410"/>
      <c r="Z16" s="1561"/>
      <c r="AA16" s="1562">
        <v>1</v>
      </c>
      <c r="AB16" s="1562">
        <v>1</v>
      </c>
      <c r="AC16" s="1562">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25"/>
      <c r="M17" s="2117"/>
      <c r="N17" s="2117"/>
      <c r="O17" s="2124"/>
      <c r="P17" s="3410"/>
      <c r="Q17" s="1558" t="str">
        <f>B17</f>
        <v>交通便捷度</v>
      </c>
      <c r="R17" s="1559" t="s">
        <v>8</v>
      </c>
      <c r="S17" s="1560">
        <f>F17</f>
        <v>100</v>
      </c>
      <c r="T17" s="1559" t="s">
        <v>8</v>
      </c>
      <c r="U17" s="1560">
        <f>H17</f>
        <v>100</v>
      </c>
      <c r="V17" s="1559" t="s">
        <v>8</v>
      </c>
      <c r="W17" s="1560">
        <f>J17</f>
        <v>100</v>
      </c>
      <c r="X17" s="1553"/>
      <c r="Y17" s="3410"/>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5"/>
      <c r="M18" s="2117"/>
      <c r="N18" s="2117"/>
      <c r="O18" s="2124"/>
      <c r="P18" s="3410"/>
      <c r="Q18" s="1558"/>
      <c r="R18" s="1559"/>
      <c r="S18" s="1560"/>
      <c r="T18" s="1559"/>
      <c r="U18" s="1560"/>
      <c r="V18" s="1559"/>
      <c r="W18" s="1560"/>
      <c r="X18" s="1553"/>
      <c r="Y18" s="3410"/>
      <c r="Z18" s="1561"/>
      <c r="AA18" s="1562">
        <v>1</v>
      </c>
      <c r="AB18" s="1562">
        <v>1</v>
      </c>
      <c r="AC18" s="1562">
        <v>1</v>
      </c>
    </row>
    <row r="19" spans="1:29" ht="15">
      <c r="A19" s="532"/>
      <c r="B19" s="2562" t="s">
        <v>2543</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25"/>
      <c r="M19" s="2117"/>
      <c r="N19" s="2117"/>
      <c r="O19" s="2124"/>
      <c r="P19" s="3410"/>
      <c r="Q19" s="1558" t="str">
        <f>B19</f>
        <v>公共配套设施</v>
      </c>
      <c r="R19" s="1559" t="s">
        <v>8</v>
      </c>
      <c r="S19" s="1560">
        <f>F19</f>
        <v>100</v>
      </c>
      <c r="T19" s="1559" t="s">
        <v>8</v>
      </c>
      <c r="U19" s="1560">
        <f>H19</f>
        <v>100</v>
      </c>
      <c r="V19" s="1559" t="s">
        <v>8</v>
      </c>
      <c r="W19" s="1560">
        <f>J19</f>
        <v>100</v>
      </c>
      <c r="X19" s="1553"/>
      <c r="Y19" s="3410"/>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5"/>
      <c r="M20" s="2117"/>
      <c r="N20" s="2117"/>
      <c r="O20" s="2124"/>
      <c r="P20" s="3410"/>
      <c r="Q20" s="1558"/>
      <c r="R20" s="1559"/>
      <c r="S20" s="1560"/>
      <c r="T20" s="1559"/>
      <c r="U20" s="1560"/>
      <c r="V20" s="1559"/>
      <c r="W20" s="1560"/>
      <c r="X20" s="1553"/>
      <c r="Y20" s="3410"/>
      <c r="Z20" s="1561"/>
      <c r="AA20" s="1562">
        <v>1</v>
      </c>
      <c r="AB20" s="1562">
        <v>1</v>
      </c>
      <c r="AC20" s="1562">
        <v>1</v>
      </c>
    </row>
    <row r="21" spans="1:29" ht="15">
      <c r="A21" s="532"/>
      <c r="B21" s="2555"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5"/>
      <c r="M21" s="2117"/>
      <c r="N21" s="2117"/>
      <c r="O21" s="2124"/>
      <c r="P21" s="3410"/>
      <c r="Q21" s="2541" t="str">
        <f>B21</f>
        <v>基础设施水平</v>
      </c>
      <c r="R21" s="1559" t="s">
        <v>8</v>
      </c>
      <c r="S21" s="1560">
        <f>F21</f>
        <v>100</v>
      </c>
      <c r="T21" s="1559" t="s">
        <v>8</v>
      </c>
      <c r="U21" s="1560">
        <f>H21</f>
        <v>100</v>
      </c>
      <c r="V21" s="1559" t="s">
        <v>8</v>
      </c>
      <c r="W21" s="1560">
        <f>J21</f>
        <v>100</v>
      </c>
      <c r="X21" s="2543"/>
      <c r="Y21" s="3410"/>
      <c r="Z21" s="2542"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4"/>
      <c r="L22" s="2125"/>
      <c r="M22" s="2117"/>
      <c r="N22" s="2117"/>
      <c r="O22" s="2124"/>
      <c r="P22" s="3410"/>
      <c r="Q22" s="2541"/>
      <c r="R22" s="1559"/>
      <c r="S22" s="1560"/>
      <c r="T22" s="1559"/>
      <c r="U22" s="1560"/>
      <c r="V22" s="1559"/>
      <c r="W22" s="1560"/>
      <c r="X22" s="2543"/>
      <c r="Y22" s="3410"/>
      <c r="Z22" s="2542"/>
      <c r="AA22" s="1562">
        <v>1</v>
      </c>
      <c r="AB22" s="1562">
        <v>1</v>
      </c>
      <c r="AC22" s="1562">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25"/>
      <c r="M23" s="2117"/>
      <c r="N23" s="2117"/>
      <c r="O23" s="2124"/>
      <c r="P23" s="3410"/>
      <c r="Q23" s="1558" t="str">
        <f>B23</f>
        <v>自然及人文环境</v>
      </c>
      <c r="R23" s="1559" t="s">
        <v>8</v>
      </c>
      <c r="S23" s="1560">
        <f>F23</f>
        <v>100</v>
      </c>
      <c r="T23" s="1559" t="s">
        <v>8</v>
      </c>
      <c r="U23" s="1560">
        <f>H23</f>
        <v>100</v>
      </c>
      <c r="V23" s="1559" t="s">
        <v>8</v>
      </c>
      <c r="W23" s="1560">
        <f>J23</f>
        <v>100</v>
      </c>
      <c r="X23" s="1553"/>
      <c r="Y23" s="3410"/>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5"/>
      <c r="M24" s="2117"/>
      <c r="N24" s="2117"/>
      <c r="O24" s="2124"/>
      <c r="P24" s="3410"/>
      <c r="Q24" s="1558"/>
      <c r="R24" s="1559"/>
      <c r="S24" s="1560"/>
      <c r="T24" s="1559"/>
      <c r="U24" s="1560"/>
      <c r="V24" s="1559"/>
      <c r="W24" s="1560"/>
      <c r="X24" s="1553"/>
      <c r="Y24" s="3410"/>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5"/>
      <c r="M25" s="2117"/>
      <c r="N25" s="2117"/>
      <c r="O25" s="2124"/>
      <c r="P25" s="3410"/>
      <c r="Q25" s="1558" t="str">
        <f t="shared" ref="Q25:Q46" si="11">B25</f>
        <v>临街状况</v>
      </c>
      <c r="R25" s="1559" t="s">
        <v>8</v>
      </c>
      <c r="S25" s="1560">
        <f>F25</f>
        <v>100</v>
      </c>
      <c r="T25" s="1559" t="s">
        <v>8</v>
      </c>
      <c r="U25" s="1560">
        <f>H25</f>
        <v>100</v>
      </c>
      <c r="V25" s="1559" t="s">
        <v>8</v>
      </c>
      <c r="W25" s="1560">
        <f>J25</f>
        <v>100</v>
      </c>
      <c r="X25" s="1553"/>
      <c r="Y25" s="3410"/>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5"/>
      <c r="M26" s="2117"/>
      <c r="N26" s="2117"/>
      <c r="O26" s="2124"/>
      <c r="P26" s="3410"/>
      <c r="Q26" s="1558" t="str">
        <f t="shared" si="11"/>
        <v>平面位置/可视性</v>
      </c>
      <c r="R26" s="1559" t="s">
        <v>8</v>
      </c>
      <c r="S26" s="1560">
        <f>F26</f>
        <v>100</v>
      </c>
      <c r="T26" s="1559" t="s">
        <v>8</v>
      </c>
      <c r="U26" s="1560">
        <f>H26</f>
        <v>100</v>
      </c>
      <c r="V26" s="1559" t="s">
        <v>8</v>
      </c>
      <c r="W26" s="1560">
        <f>J26</f>
        <v>100</v>
      </c>
      <c r="X26" s="1553"/>
      <c r="Y26" s="3410"/>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8"/>
      <c r="M27" s="2119"/>
      <c r="N27" s="2119"/>
      <c r="O27" s="2120"/>
      <c r="P27" s="3410"/>
      <c r="Q27" s="1147" t="str">
        <f t="shared" si="11"/>
        <v>人流量</v>
      </c>
      <c r="R27" s="1554" t="s">
        <v>8</v>
      </c>
      <c r="S27" s="1555">
        <f>F27</f>
        <v>100</v>
      </c>
      <c r="T27" s="1554" t="s">
        <v>8</v>
      </c>
      <c r="U27" s="1555">
        <f>H27</f>
        <v>100</v>
      </c>
      <c r="V27" s="1554" t="s">
        <v>8</v>
      </c>
      <c r="W27" s="1555">
        <f>J27</f>
        <v>100</v>
      </c>
      <c r="X27" s="1556"/>
      <c r="Y27" s="3410"/>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5"/>
      <c r="M28" s="2117"/>
      <c r="N28" s="2117"/>
      <c r="O28" s="2124"/>
      <c r="P28" s="3410"/>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10"/>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410"/>
      <c r="Q29" s="1558">
        <f t="shared" si="11"/>
        <v>111</v>
      </c>
      <c r="R29" s="1559" t="s">
        <v>8</v>
      </c>
      <c r="S29" s="1560">
        <f t="shared" si="12"/>
        <v>100</v>
      </c>
      <c r="T29" s="1559" t="s">
        <v>8</v>
      </c>
      <c r="U29" s="1560">
        <f t="shared" si="13"/>
        <v>100</v>
      </c>
      <c r="V29" s="1559" t="s">
        <v>8</v>
      </c>
      <c r="W29" s="1560">
        <f t="shared" si="14"/>
        <v>100</v>
      </c>
      <c r="X29" s="1553"/>
      <c r="Y29" s="3410"/>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410"/>
      <c r="Q30" s="1558">
        <f t="shared" si="11"/>
        <v>111</v>
      </c>
      <c r="R30" s="1559" t="s">
        <v>8</v>
      </c>
      <c r="S30" s="1560">
        <f t="shared" si="12"/>
        <v>100</v>
      </c>
      <c r="T30" s="1559" t="s">
        <v>8</v>
      </c>
      <c r="U30" s="1560">
        <f t="shared" si="13"/>
        <v>100</v>
      </c>
      <c r="V30" s="1559" t="s">
        <v>8</v>
      </c>
      <c r="W30" s="1560">
        <f t="shared" si="14"/>
        <v>100</v>
      </c>
      <c r="X30" s="1553"/>
      <c r="Y30" s="3410"/>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410"/>
      <c r="Q31" s="1558">
        <f t="shared" si="11"/>
        <v>111</v>
      </c>
      <c r="R31" s="1559" t="s">
        <v>8</v>
      </c>
      <c r="S31" s="1560">
        <f t="shared" si="12"/>
        <v>100</v>
      </c>
      <c r="T31" s="1559" t="s">
        <v>8</v>
      </c>
      <c r="U31" s="1560">
        <f t="shared" si="13"/>
        <v>100</v>
      </c>
      <c r="V31" s="1559" t="s">
        <v>8</v>
      </c>
      <c r="W31" s="1560">
        <f t="shared" si="14"/>
        <v>100</v>
      </c>
      <c r="X31" s="1553"/>
      <c r="Y31" s="3410"/>
      <c r="Z31" s="1561">
        <f t="shared" si="15"/>
        <v>111</v>
      </c>
      <c r="AA31" s="1562">
        <f t="shared" si="3"/>
        <v>1</v>
      </c>
      <c r="AB31" s="1562">
        <f t="shared" si="4"/>
        <v>1</v>
      </c>
      <c r="AC31" s="1562">
        <f t="shared" si="5"/>
        <v>1</v>
      </c>
    </row>
    <row r="32" spans="1:29" ht="15">
      <c r="A32" s="2860"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5"/>
      <c r="M32" s="2117"/>
      <c r="N32" s="2117"/>
      <c r="O32" s="2124"/>
      <c r="P32" s="3411" t="s">
        <v>550</v>
      </c>
      <c r="Q32" s="1558" t="str">
        <f t="shared" si="11"/>
        <v>商业类型</v>
      </c>
      <c r="R32" s="1559" t="s">
        <v>8</v>
      </c>
      <c r="S32" s="1560">
        <f t="shared" si="12"/>
        <v>100</v>
      </c>
      <c r="T32" s="1559" t="s">
        <v>8</v>
      </c>
      <c r="U32" s="1560">
        <f t="shared" si="13"/>
        <v>100</v>
      </c>
      <c r="V32" s="1559" t="s">
        <v>8</v>
      </c>
      <c r="W32" s="1560">
        <f t="shared" si="14"/>
        <v>100</v>
      </c>
      <c r="X32" s="1553"/>
      <c r="Y32" s="3412"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3"/>
      <c r="M33" s="2154"/>
      <c r="N33" s="2154"/>
      <c r="O33" s="2126"/>
      <c r="P33" s="3412"/>
      <c r="Q33" s="1590" t="str">
        <f t="shared" si="11"/>
        <v>项目建筑规模</v>
      </c>
      <c r="R33" s="1563" t="s">
        <v>8</v>
      </c>
      <c r="S33" s="1564" t="e">
        <f t="shared" si="12"/>
        <v>#N/A</v>
      </c>
      <c r="T33" s="1563" t="s">
        <v>8</v>
      </c>
      <c r="U33" s="1564" t="e">
        <f t="shared" si="13"/>
        <v>#N/A</v>
      </c>
      <c r="V33" s="1563" t="s">
        <v>8</v>
      </c>
      <c r="W33" s="1564" t="e">
        <f t="shared" si="14"/>
        <v>#N/A</v>
      </c>
      <c r="X33" s="1565"/>
      <c r="Y33" s="3412"/>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5"/>
      <c r="M34" s="2117"/>
      <c r="N34" s="2117"/>
      <c r="O34" s="2124"/>
      <c r="P34" s="3412"/>
      <c r="Q34" s="1558" t="str">
        <f t="shared" si="11"/>
        <v>建筑结构</v>
      </c>
      <c r="R34" s="1559" t="s">
        <v>8</v>
      </c>
      <c r="S34" s="1560">
        <f t="shared" si="12"/>
        <v>100</v>
      </c>
      <c r="T34" s="1559" t="s">
        <v>8</v>
      </c>
      <c r="U34" s="1560">
        <f t="shared" si="13"/>
        <v>100</v>
      </c>
      <c r="V34" s="1559" t="s">
        <v>8</v>
      </c>
      <c r="W34" s="1560">
        <f t="shared" si="14"/>
        <v>100</v>
      </c>
      <c r="X34" s="1553"/>
      <c r="Y34" s="3412"/>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5"/>
      <c r="M35" s="2117"/>
      <c r="N35" s="2117"/>
      <c r="O35" s="2124"/>
      <c r="P35" s="3412"/>
      <c r="Q35" s="1558" t="str">
        <f t="shared" si="11"/>
        <v>公共部分装修</v>
      </c>
      <c r="R35" s="1559" t="s">
        <v>8</v>
      </c>
      <c r="S35" s="1560">
        <f t="shared" si="12"/>
        <v>100</v>
      </c>
      <c r="T35" s="1559" t="s">
        <v>8</v>
      </c>
      <c r="U35" s="1560">
        <f t="shared" si="13"/>
        <v>100</v>
      </c>
      <c r="V35" s="1559" t="s">
        <v>8</v>
      </c>
      <c r="W35" s="1560">
        <f t="shared" si="14"/>
        <v>100</v>
      </c>
      <c r="X35" s="1553"/>
      <c r="Y35" s="3412"/>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5"/>
      <c r="M36" s="2117"/>
      <c r="N36" s="2117"/>
      <c r="O36" s="2124"/>
      <c r="P36" s="3412"/>
      <c r="Q36" s="1558" t="str">
        <f t="shared" si="11"/>
        <v>成新度</v>
      </c>
      <c r="R36" s="1559" t="s">
        <v>8</v>
      </c>
      <c r="S36" s="1560" t="e">
        <f t="shared" si="12"/>
        <v>#N/A</v>
      </c>
      <c r="T36" s="1559" t="s">
        <v>8</v>
      </c>
      <c r="U36" s="1560" t="e">
        <f t="shared" si="13"/>
        <v>#N/A</v>
      </c>
      <c r="V36" s="1559" t="s">
        <v>8</v>
      </c>
      <c r="W36" s="1560" t="e">
        <f t="shared" si="14"/>
        <v>#N/A</v>
      </c>
      <c r="X36" s="1553"/>
      <c r="Y36" s="3412"/>
      <c r="Z36" s="1561" t="str">
        <f t="shared" si="15"/>
        <v>成新度</v>
      </c>
      <c r="AA36" s="1562" t="e">
        <f t="shared" si="3"/>
        <v>#N/A</v>
      </c>
      <c r="AB36" s="1562" t="e">
        <f t="shared" si="4"/>
        <v>#N/A</v>
      </c>
      <c r="AC36" s="1562" t="e">
        <f t="shared" si="5"/>
        <v>#N/A</v>
      </c>
    </row>
    <row r="37" spans="1:29" s="1216" customFormat="1" ht="15">
      <c r="A37" s="600"/>
      <c r="B37" s="1878"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8"/>
      <c r="M37" s="2119"/>
      <c r="N37" s="2119"/>
      <c r="O37" s="2120"/>
      <c r="P37" s="3412"/>
      <c r="Q37" s="1147" t="str">
        <f t="shared" si="11"/>
        <v>市政基础设施</v>
      </c>
      <c r="R37" s="1554" t="s">
        <v>8</v>
      </c>
      <c r="S37" s="1555">
        <f t="shared" si="12"/>
        <v>100</v>
      </c>
      <c r="T37" s="1554" t="s">
        <v>8</v>
      </c>
      <c r="U37" s="1555">
        <f t="shared" si="13"/>
        <v>100</v>
      </c>
      <c r="V37" s="1554" t="s">
        <v>8</v>
      </c>
      <c r="W37" s="1555">
        <f t="shared" si="14"/>
        <v>100</v>
      </c>
      <c r="X37" s="1556"/>
      <c r="Y37" s="3412"/>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5"/>
      <c r="M38" s="2117"/>
      <c r="N38" s="2117"/>
      <c r="O38" s="2124"/>
      <c r="P38" s="3412" t="s">
        <v>766</v>
      </c>
      <c r="Q38" s="1558" t="str">
        <f t="shared" si="11"/>
        <v>业态</v>
      </c>
      <c r="R38" s="1559" t="s">
        <v>8</v>
      </c>
      <c r="S38" s="1560">
        <f t="shared" si="12"/>
        <v>100</v>
      </c>
      <c r="T38" s="1559" t="s">
        <v>8</v>
      </c>
      <c r="U38" s="1560">
        <f t="shared" si="13"/>
        <v>100</v>
      </c>
      <c r="V38" s="1559" t="s">
        <v>8</v>
      </c>
      <c r="W38" s="1560">
        <f t="shared" si="14"/>
        <v>100</v>
      </c>
      <c r="X38" s="1553"/>
      <c r="Y38" s="3412"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12"/>
      <c r="Q39" s="1558" t="str">
        <f t="shared" si="11"/>
        <v>层高</v>
      </c>
      <c r="R39" s="1559" t="s">
        <v>8</v>
      </c>
      <c r="S39" s="1560">
        <f t="shared" si="12"/>
        <v>100</v>
      </c>
      <c r="T39" s="1559" t="s">
        <v>8</v>
      </c>
      <c r="U39" s="1560">
        <f t="shared" si="13"/>
        <v>100</v>
      </c>
      <c r="V39" s="1559" t="s">
        <v>8</v>
      </c>
      <c r="W39" s="1560">
        <f t="shared" si="14"/>
        <v>100</v>
      </c>
      <c r="X39" s="1553"/>
      <c r="Y39" s="3412"/>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5"/>
      <c r="M40" s="2117"/>
      <c r="N40" s="2117"/>
      <c r="O40" s="2124"/>
      <c r="P40" s="3412"/>
      <c r="Q40" s="1558" t="str">
        <f t="shared" si="11"/>
        <v>单套建筑面积</v>
      </c>
      <c r="R40" s="1559" t="s">
        <v>8</v>
      </c>
      <c r="S40" s="1560">
        <f t="shared" si="12"/>
        <v>100</v>
      </c>
      <c r="T40" s="1559" t="s">
        <v>8</v>
      </c>
      <c r="U40" s="1560">
        <f t="shared" si="13"/>
        <v>100</v>
      </c>
      <c r="V40" s="1559" t="s">
        <v>8</v>
      </c>
      <c r="W40" s="1560">
        <f t="shared" si="14"/>
        <v>100</v>
      </c>
      <c r="X40" s="1553"/>
      <c r="Y40" s="3412"/>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3"/>
      <c r="M41" s="2154"/>
      <c r="N41" s="2154"/>
      <c r="O41" s="2126"/>
      <c r="P41" s="3412"/>
      <c r="Q41" s="1590" t="str">
        <f t="shared" si="11"/>
        <v>进深比</v>
      </c>
      <c r="R41" s="1563" t="s">
        <v>8</v>
      </c>
      <c r="S41" s="1564">
        <f t="shared" si="12"/>
        <v>100</v>
      </c>
      <c r="T41" s="1563" t="s">
        <v>8</v>
      </c>
      <c r="U41" s="1564">
        <f t="shared" si="13"/>
        <v>100</v>
      </c>
      <c r="V41" s="1563" t="s">
        <v>8</v>
      </c>
      <c r="W41" s="1564">
        <f t="shared" si="14"/>
        <v>100</v>
      </c>
      <c r="X41" s="1565"/>
      <c r="Y41" s="3412"/>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5"/>
      <c r="M42" s="2117"/>
      <c r="N42" s="2117"/>
      <c r="O42" s="2124"/>
      <c r="P42" s="3412"/>
      <c r="Q42" s="1558" t="str">
        <f t="shared" si="11"/>
        <v>内部装修</v>
      </c>
      <c r="R42" s="1559" t="s">
        <v>8</v>
      </c>
      <c r="S42" s="1560">
        <f t="shared" si="12"/>
        <v>100</v>
      </c>
      <c r="T42" s="1559" t="s">
        <v>8</v>
      </c>
      <c r="U42" s="1560">
        <f t="shared" si="13"/>
        <v>100</v>
      </c>
      <c r="V42" s="1559" t="s">
        <v>8</v>
      </c>
      <c r="W42" s="1560">
        <f t="shared" si="14"/>
        <v>100</v>
      </c>
      <c r="X42" s="1553"/>
      <c r="Y42" s="3412"/>
      <c r="Z42" s="1561" t="str">
        <f t="shared" si="15"/>
        <v>内部装修</v>
      </c>
      <c r="AA42" s="1562">
        <f t="shared" si="3"/>
        <v>1</v>
      </c>
      <c r="AB42" s="1562">
        <f t="shared" si="4"/>
        <v>1</v>
      </c>
      <c r="AC42" s="1562">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5"/>
      <c r="M43" s="2117"/>
      <c r="N43" s="2117"/>
      <c r="O43" s="2124"/>
      <c r="P43" s="3412"/>
      <c r="Q43" s="1558" t="str">
        <f t="shared" si="11"/>
        <v>内部装修维护情况</v>
      </c>
      <c r="R43" s="1559" t="s">
        <v>8</v>
      </c>
      <c r="S43" s="1560">
        <f t="shared" si="12"/>
        <v>100</v>
      </c>
      <c r="T43" s="1559" t="s">
        <v>8</v>
      </c>
      <c r="U43" s="1560">
        <f t="shared" si="13"/>
        <v>100</v>
      </c>
      <c r="V43" s="1559" t="s">
        <v>8</v>
      </c>
      <c r="W43" s="1560">
        <f t="shared" si="14"/>
        <v>100</v>
      </c>
      <c r="X43" s="1553"/>
      <c r="Y43" s="3412"/>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412"/>
      <c r="Q44" s="1147">
        <f t="shared" si="11"/>
        <v>111</v>
      </c>
      <c r="R44" s="1554" t="s">
        <v>8</v>
      </c>
      <c r="S44" s="1555">
        <f t="shared" si="12"/>
        <v>100</v>
      </c>
      <c r="T44" s="1554" t="s">
        <v>8</v>
      </c>
      <c r="U44" s="1555">
        <f t="shared" si="13"/>
        <v>100</v>
      </c>
      <c r="V44" s="1554" t="s">
        <v>8</v>
      </c>
      <c r="W44" s="1555">
        <f t="shared" si="14"/>
        <v>100</v>
      </c>
      <c r="X44" s="1556"/>
      <c r="Y44" s="3412"/>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412"/>
      <c r="Q45" s="1558">
        <f t="shared" si="11"/>
        <v>111</v>
      </c>
      <c r="R45" s="1559" t="s">
        <v>8</v>
      </c>
      <c r="S45" s="1560">
        <f t="shared" si="12"/>
        <v>100</v>
      </c>
      <c r="T45" s="1559" t="s">
        <v>8</v>
      </c>
      <c r="U45" s="1560">
        <f t="shared" si="13"/>
        <v>100</v>
      </c>
      <c r="V45" s="1559" t="s">
        <v>8</v>
      </c>
      <c r="W45" s="1560">
        <f t="shared" si="14"/>
        <v>100</v>
      </c>
      <c r="X45" s="1553"/>
      <c r="Y45" s="3412"/>
      <c r="Z45" s="1561">
        <f t="shared" si="15"/>
        <v>111</v>
      </c>
      <c r="AA45" s="1562">
        <f t="shared" si="3"/>
        <v>1</v>
      </c>
      <c r="AB45" s="1562">
        <f t="shared" si="4"/>
        <v>1</v>
      </c>
      <c r="AC45" s="1562">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493"/>
      <c r="Q46" s="1558">
        <f t="shared" si="11"/>
        <v>111</v>
      </c>
      <c r="R46" s="1559" t="s">
        <v>8</v>
      </c>
      <c r="S46" s="1560">
        <f t="shared" si="12"/>
        <v>100</v>
      </c>
      <c r="T46" s="1559" t="s">
        <v>8</v>
      </c>
      <c r="U46" s="1560">
        <f t="shared" si="13"/>
        <v>100</v>
      </c>
      <c r="V46" s="1559" t="s">
        <v>8</v>
      </c>
      <c r="W46" s="1560">
        <f t="shared" si="14"/>
        <v>100</v>
      </c>
      <c r="X46" s="1553"/>
      <c r="Y46" s="3493"/>
      <c r="Z46" s="1561">
        <f t="shared" si="15"/>
        <v>111</v>
      </c>
      <c r="AA46" s="1562">
        <f t="shared" si="3"/>
        <v>1</v>
      </c>
      <c r="AB46" s="1562">
        <f t="shared" si="4"/>
        <v>1</v>
      </c>
      <c r="AC46" s="1562">
        <f t="shared" si="5"/>
        <v>1</v>
      </c>
    </row>
    <row r="47" spans="1:29" ht="14.4">
      <c r="A47" s="607" t="s">
        <v>736</v>
      </c>
      <c r="B47" s="887"/>
      <c r="C47" s="2589" t="s">
        <v>1</v>
      </c>
      <c r="D47" s="2590"/>
      <c r="E47" s="2591"/>
      <c r="F47" s="2592"/>
      <c r="G47" s="2593"/>
      <c r="H47" s="2594"/>
      <c r="I47" s="2591"/>
      <c r="J47" s="2594"/>
      <c r="K47" s="1596"/>
      <c r="L47" s="2127"/>
      <c r="M47" s="2128"/>
      <c r="N47" s="2117"/>
      <c r="O47" s="2128"/>
      <c r="P47" s="3375" t="str">
        <f>A47</f>
        <v>成交单价（元/平方米）</v>
      </c>
      <c r="Q47" s="3375"/>
      <c r="R47" s="3492">
        <f>E47</f>
        <v>0</v>
      </c>
      <c r="S47" s="3492"/>
      <c r="T47" s="3492">
        <f>G47</f>
        <v>0</v>
      </c>
      <c r="U47" s="3492"/>
      <c r="V47" s="3492">
        <f>I47</f>
        <v>0</v>
      </c>
      <c r="W47" s="3492"/>
      <c r="X47" s="1545"/>
      <c r="Y47" s="1567"/>
      <c r="Z47" s="1545"/>
      <c r="AA47" s="1545"/>
      <c r="AB47" s="1545"/>
      <c r="AC47" s="1545"/>
    </row>
    <row r="48" spans="1:29" ht="15" thickBot="1">
      <c r="A48" s="615" t="s">
        <v>2756</v>
      </c>
      <c r="B48" s="888"/>
      <c r="C48" s="2595" t="e">
        <f>R49</f>
        <v>#DIV/0!</v>
      </c>
      <c r="D48" s="2596"/>
      <c r="E48" s="2597" t="e">
        <f>R48</f>
        <v>#DIV/0!</v>
      </c>
      <c r="F48" s="2597"/>
      <c r="G48" s="2595" t="e">
        <f>T48</f>
        <v>#DIV/0!</v>
      </c>
      <c r="H48" s="2596"/>
      <c r="I48" s="2597" t="e">
        <f>V48</f>
        <v>#DIV/0!</v>
      </c>
      <c r="J48" s="2596"/>
      <c r="K48" s="1597"/>
      <c r="L48" s="2127"/>
      <c r="M48" s="2128"/>
      <c r="N48" s="2117"/>
      <c r="O48" s="2128"/>
      <c r="P48" s="3375" t="str">
        <f>A48</f>
        <v>比较价格（元/平方米）</v>
      </c>
      <c r="Q48" s="3375"/>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45"/>
      <c r="Y48" s="1545"/>
      <c r="Z48" s="1545"/>
      <c r="AA48" s="1545"/>
      <c r="AB48" s="1545"/>
      <c r="AC48" s="1545"/>
    </row>
    <row r="49" spans="1:29" ht="15" thickBot="1">
      <c r="A49" s="621" t="s">
        <v>2929</v>
      </c>
      <c r="B49" s="622"/>
      <c r="C49" s="2598" t="e">
        <f>R49</f>
        <v>#DIV/0!</v>
      </c>
      <c r="D49" s="2598"/>
      <c r="E49" s="2598"/>
      <c r="F49" s="2598"/>
      <c r="G49" s="2598"/>
      <c r="H49" s="2598"/>
      <c r="I49" s="2598"/>
      <c r="J49" s="2598"/>
      <c r="K49" s="1598"/>
      <c r="L49" s="2127"/>
      <c r="M49" s="2128"/>
      <c r="N49" s="2117"/>
      <c r="O49" s="2128"/>
      <c r="P49" s="3372" t="str">
        <f>A49</f>
        <v>估价对象XX用房的比较价格（楼面单价，元/平方米）</v>
      </c>
      <c r="Q49" s="3373"/>
      <c r="R49" s="3491" t="e">
        <f>IF(F1="售价",ROUND(AVERAGE(R48:V48),0),ROUND(AVERAGE(R48:V48),1))</f>
        <v>#DIV/0!</v>
      </c>
      <c r="S49" s="3491"/>
      <c r="T49" s="3491"/>
      <c r="U49" s="3491"/>
      <c r="V49" s="3491"/>
      <c r="W49" s="3491"/>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1" customFormat="1" ht="13.5" customHeight="1">
      <c r="A54" s="2129"/>
      <c r="B54" s="2129"/>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1"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2.2" thickBot="1">
      <c r="A57" s="1570" t="s">
        <v>574</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3" customFormat="1" ht="14.4">
      <c r="A58" s="645" t="s">
        <v>529</v>
      </c>
      <c r="B58" s="646"/>
      <c r="C58" s="2755" t="str">
        <f>YEAR(C7)&amp;"-"&amp;MONTH(C7)</f>
        <v>2020-2</v>
      </c>
      <c r="D58" s="2757">
        <f>EDATE(C58,-1)</f>
        <v>43831</v>
      </c>
      <c r="E58" s="2757">
        <f t="shared" ref="E58:O58" si="16">EDATE(D58,-1)</f>
        <v>43800</v>
      </c>
      <c r="F58" s="2757">
        <f t="shared" si="16"/>
        <v>43770</v>
      </c>
      <c r="G58" s="2757">
        <f t="shared" si="16"/>
        <v>43739</v>
      </c>
      <c r="H58" s="2757">
        <f t="shared" si="16"/>
        <v>43709</v>
      </c>
      <c r="I58" s="2757">
        <f t="shared" si="16"/>
        <v>43678</v>
      </c>
      <c r="J58" s="2757">
        <f t="shared" si="16"/>
        <v>43647</v>
      </c>
      <c r="K58" s="2757">
        <f t="shared" si="16"/>
        <v>43617</v>
      </c>
      <c r="L58" s="2757">
        <f t="shared" si="16"/>
        <v>43586</v>
      </c>
      <c r="M58" s="2757">
        <f t="shared" si="16"/>
        <v>43556</v>
      </c>
      <c r="N58" s="2757">
        <f t="shared" si="16"/>
        <v>43525</v>
      </c>
      <c r="O58" s="2757">
        <f t="shared" si="16"/>
        <v>43497</v>
      </c>
      <c r="P58" s="2143"/>
      <c r="Q58" s="2144"/>
      <c r="R58" s="2144"/>
      <c r="S58" s="2144"/>
      <c r="T58" s="2144"/>
      <c r="U58" s="2144"/>
      <c r="V58" s="2144"/>
      <c r="W58" s="2144"/>
      <c r="X58" s="2144"/>
      <c r="Y58" s="2144"/>
      <c r="Z58" s="2144"/>
      <c r="AA58" s="2144"/>
      <c r="AB58" s="2144"/>
      <c r="AC58" s="2144"/>
    </row>
    <row r="59" spans="1:29" s="1216" customFormat="1">
      <c r="A59" s="647"/>
      <c r="B59" s="648"/>
      <c r="C59" s="649">
        <v>100</v>
      </c>
      <c r="D59" s="650"/>
      <c r="E59" s="650"/>
      <c r="F59" s="650"/>
      <c r="G59" s="650"/>
      <c r="H59" s="650"/>
      <c r="I59" s="650"/>
      <c r="J59" s="650"/>
      <c r="K59" s="650"/>
      <c r="L59" s="650"/>
      <c r="M59" s="651"/>
      <c r="N59" s="650"/>
      <c r="O59" s="652"/>
      <c r="P59" s="2141"/>
      <c r="Q59" s="1976"/>
      <c r="R59" s="1976"/>
      <c r="S59" s="1976"/>
      <c r="T59" s="1976"/>
      <c r="U59" s="1976"/>
      <c r="V59" s="1976"/>
      <c r="W59" s="1976"/>
      <c r="X59" s="1976"/>
      <c r="Y59" s="1976"/>
      <c r="Z59" s="1976"/>
      <c r="AA59" s="1976"/>
      <c r="AB59" s="1976"/>
      <c r="AC59" s="1976"/>
    </row>
    <row r="60" spans="1:29" s="1216" customFormat="1" ht="1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6" customFormat="1" ht="14.4">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6" customFormat="1" ht="14.4"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201"/>
    </row>
    <row r="63" spans="1:29" ht="14.4">
      <c r="A63" s="664" t="s">
        <v>577</v>
      </c>
      <c r="B63" s="665" t="s">
        <v>534</v>
      </c>
      <c r="C63" s="704">
        <f>C9</f>
        <v>0</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4.4" thickBot="1">
      <c r="A64" s="669"/>
      <c r="B64" s="670"/>
      <c r="C64" s="671"/>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c r="A68" s="669"/>
      <c r="B68" s="683"/>
      <c r="C68" s="541"/>
      <c r="D68" s="541"/>
      <c r="E68" s="541"/>
      <c r="F68" s="541"/>
      <c r="G68" s="541"/>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5" customFormat="1" ht="14.4"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5" customFormat="1" ht="14.4"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5" customFormat="1" ht="14.4"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5" customFormat="1" ht="14.4"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5" customFormat="1" ht="14.4"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5" customFormat="1" ht="14.4"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ht="14.4">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 thickTop="1">
      <c r="A80" s="669"/>
      <c r="B80" s="1879" t="s">
        <v>2554</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 thickTop="1">
      <c r="A82" s="669"/>
      <c r="B82" s="2559" t="s">
        <v>2555</v>
      </c>
      <c r="C82" s="2560" t="s">
        <v>2556</v>
      </c>
      <c r="D82" s="2560" t="s">
        <v>2557</v>
      </c>
      <c r="E82" s="2560" t="s">
        <v>2558</v>
      </c>
      <c r="F82" s="2560" t="s">
        <v>2559</v>
      </c>
      <c r="G82" s="2560" t="s">
        <v>2560</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6" customFormat="1" ht="15" thickTop="1">
      <c r="A86" s="709"/>
      <c r="B86" s="673" t="s">
        <v>771</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1976"/>
      <c r="S87" s="1976"/>
      <c r="T87" s="1976"/>
      <c r="U87" s="1976"/>
      <c r="V87" s="1976"/>
      <c r="W87" s="1976"/>
      <c r="X87" s="1976"/>
      <c r="Y87" s="1976"/>
      <c r="Z87" s="1976"/>
      <c r="AA87" s="1976"/>
      <c r="AB87" s="1976"/>
      <c r="AC87" s="1976"/>
    </row>
    <row r="88" spans="1:29" s="1216" customFormat="1" ht="14.4" thickTop="1">
      <c r="A88" s="709"/>
      <c r="B88" s="673" t="str">
        <f>B26</f>
        <v>平面位置/可视性</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6" customFormat="1" ht="14.4" thickBot="1">
      <c r="A89" s="709"/>
      <c r="B89" s="678"/>
      <c r="C89" s="692"/>
      <c r="D89" s="671"/>
      <c r="E89" s="671"/>
      <c r="F89" s="671"/>
      <c r="G89" s="671"/>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5" customFormat="1" ht="14.4" thickTop="1">
      <c r="A90" s="687"/>
      <c r="B90" s="673" t="str">
        <f>B27</f>
        <v>人流量</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0"/>
      <c r="O91" s="2150"/>
      <c r="P91" s="2151"/>
      <c r="Q91" s="2152"/>
      <c r="R91" s="2153"/>
      <c r="S91" s="2153"/>
      <c r="T91" s="2153"/>
      <c r="U91" s="2153"/>
      <c r="V91" s="2153"/>
      <c r="W91" s="2153"/>
      <c r="X91" s="2153"/>
      <c r="Y91" s="2153"/>
      <c r="Z91" s="2153"/>
      <c r="AA91" s="2153"/>
      <c r="AB91" s="2153"/>
      <c r="AC91" s="2153"/>
    </row>
    <row r="92" spans="1:29" ht="14.4" thickTop="1">
      <c r="A92" s="669"/>
      <c r="B92" s="673" t="str">
        <f>B28</f>
        <v>楼层</v>
      </c>
      <c r="C92" s="688"/>
      <c r="D92" s="688"/>
      <c r="E92" s="688"/>
      <c r="F92" s="688"/>
      <c r="G92" s="688"/>
      <c r="H92" s="688"/>
      <c r="I92" s="688"/>
      <c r="J92" s="688"/>
      <c r="K92" s="688"/>
      <c r="L92" s="890"/>
      <c r="M92" s="891"/>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71"/>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4.4"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4.4"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4.4"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4.4" thickBot="1">
      <c r="A99" s="893"/>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ht="14.4">
      <c r="A100" s="664" t="s">
        <v>551</v>
      </c>
      <c r="B100" s="665" t="s">
        <v>772</v>
      </c>
      <c r="C100" s="598"/>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9"/>
      <c r="O101" s="2149"/>
      <c r="P101" s="2148"/>
      <c r="Q101" s="2141"/>
      <c r="R101" s="2128"/>
      <c r="S101" s="2128"/>
      <c r="T101" s="2128"/>
      <c r="U101" s="2128"/>
      <c r="V101" s="2128"/>
      <c r="W101" s="2128"/>
      <c r="X101" s="2128"/>
      <c r="Y101" s="2128"/>
      <c r="Z101" s="2128"/>
      <c r="AA101" s="2128"/>
      <c r="AB101" s="2128"/>
      <c r="AC101" s="2128"/>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5" customFormat="1">
      <c r="A103" s="728"/>
      <c r="B103" s="729"/>
      <c r="C103" s="730"/>
      <c r="D103" s="730"/>
      <c r="E103" s="730"/>
      <c r="F103" s="730"/>
      <c r="G103" s="730"/>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5" customFormat="1" ht="14.4" thickBot="1">
      <c r="A104" s="687"/>
      <c r="B104" s="678"/>
      <c r="C104" s="692"/>
      <c r="D104" s="671"/>
      <c r="E104" s="671"/>
      <c r="F104" s="671"/>
      <c r="G104" s="671"/>
      <c r="H104" s="671"/>
      <c r="I104" s="671"/>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688"/>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751</v>
      </c>
      <c r="C107" s="688"/>
      <c r="D107" s="688"/>
      <c r="E107" s="68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4">
        <v>0.5</v>
      </c>
      <c r="D110" s="894">
        <v>0.6</v>
      </c>
      <c r="E110" s="894">
        <v>0.7</v>
      </c>
      <c r="F110" s="894">
        <v>0.8</v>
      </c>
      <c r="G110" s="894">
        <v>0.9</v>
      </c>
      <c r="H110" s="894">
        <v>1.0001</v>
      </c>
      <c r="I110" s="905"/>
      <c r="J110" s="905"/>
      <c r="K110" s="906"/>
      <c r="L110" s="907"/>
      <c r="M110" s="908"/>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9"/>
      <c r="O111" s="2149"/>
      <c r="P111" s="2148"/>
      <c r="Q111" s="2141"/>
      <c r="R111" s="2128"/>
      <c r="S111" s="2128"/>
      <c r="T111" s="2128"/>
      <c r="U111" s="2128"/>
      <c r="V111" s="2128"/>
      <c r="W111" s="2128"/>
      <c r="X111" s="2128"/>
      <c r="Y111" s="2128"/>
      <c r="Z111" s="2128"/>
      <c r="AA111" s="2128"/>
      <c r="AB111" s="2128"/>
      <c r="AC111" s="2128"/>
    </row>
    <row r="112" spans="1:29" s="1335" customFormat="1" ht="15" thickTop="1">
      <c r="A112" s="728"/>
      <c r="B112" s="1879" t="s">
        <v>2553</v>
      </c>
      <c r="C112" s="688"/>
      <c r="D112" s="688"/>
      <c r="E112" s="688"/>
      <c r="F112" s="688"/>
      <c r="G112" s="688"/>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773</v>
      </c>
      <c r="C114" s="688"/>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774</v>
      </c>
      <c r="C116" s="688"/>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775</v>
      </c>
      <c r="C118" s="909"/>
      <c r="D118" s="909"/>
      <c r="E118" s="909"/>
      <c r="F118" s="909"/>
      <c r="G118" s="909"/>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5" customFormat="1" ht="15" thickTop="1">
      <c r="A120" s="728"/>
      <c r="B120" s="673" t="s">
        <v>776</v>
      </c>
      <c r="C120" s="718"/>
      <c r="D120" s="718"/>
      <c r="E120" s="718"/>
      <c r="F120" s="718"/>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688"/>
      <c r="D122" s="688"/>
      <c r="E122" s="688"/>
      <c r="F122" s="718"/>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5" customFormat="1" ht="14.4"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5" customFormat="1" ht="14.4"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4.4"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4.4"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4.4"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4.4"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4"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0"/>
      <c r="G1" s="1586" t="s">
        <v>721</v>
      </c>
      <c r="H1" s="506"/>
      <c r="I1" s="506"/>
      <c r="J1" s="506"/>
      <c r="K1" s="507"/>
      <c r="L1" s="1548"/>
      <c r="M1" s="1549"/>
      <c r="N1" s="1549"/>
      <c r="O1" s="1549"/>
      <c r="P1" s="219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0"/>
      <c r="D2" s="2110"/>
      <c r="E2" s="2044"/>
      <c r="F2" s="2112"/>
      <c r="G2" s="2111"/>
      <c r="H2" s="2111"/>
      <c r="I2" s="2111"/>
      <c r="J2" s="2111"/>
      <c r="K2" s="2111"/>
      <c r="L2" s="2114"/>
      <c r="M2" s="2115"/>
      <c r="N2" s="2115"/>
      <c r="O2" s="2115"/>
      <c r="P2" s="2190"/>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4"/>
      <c r="F3" s="2112"/>
      <c r="G3" s="2111"/>
      <c r="H3" s="2111"/>
      <c r="I3" s="2111"/>
      <c r="J3" s="2111"/>
      <c r="K3" s="2113"/>
      <c r="L3" s="2114"/>
      <c r="M3" s="2115"/>
      <c r="N3" s="2115"/>
      <c r="O3" s="2115"/>
      <c r="P3" s="2190"/>
      <c r="Q3" s="1550"/>
      <c r="R3" s="1550"/>
      <c r="S3" s="1550"/>
      <c r="T3" s="1550"/>
      <c r="U3" s="1550"/>
      <c r="V3" s="1550"/>
      <c r="W3" s="1550"/>
      <c r="X3" s="1550"/>
      <c r="Y3" s="1550"/>
      <c r="Z3" s="1550"/>
      <c r="AA3" s="1550"/>
      <c r="AB3" s="1550"/>
      <c r="AC3" s="1551"/>
    </row>
    <row r="4" spans="1:29" ht="14.4">
      <c r="A4" s="512" t="s">
        <v>521</v>
      </c>
      <c r="B4" s="513"/>
      <c r="C4" s="3381" t="s">
        <v>522</v>
      </c>
      <c r="D4" s="3382"/>
      <c r="E4" s="3415" t="s">
        <v>523</v>
      </c>
      <c r="F4" s="3416"/>
      <c r="G4" s="3381" t="s">
        <v>524</v>
      </c>
      <c r="H4" s="3382"/>
      <c r="I4" s="3381" t="s">
        <v>525</v>
      </c>
      <c r="J4" s="3382"/>
      <c r="K4" s="514" t="s">
        <v>526</v>
      </c>
      <c r="L4" s="2116"/>
      <c r="M4" s="2117"/>
      <c r="N4" s="2117"/>
      <c r="O4" s="2117"/>
      <c r="P4" s="3495" t="s">
        <v>527</v>
      </c>
      <c r="Q4" s="3384"/>
      <c r="R4" s="3389" t="s">
        <v>523</v>
      </c>
      <c r="S4" s="3390"/>
      <c r="T4" s="3389" t="s">
        <v>524</v>
      </c>
      <c r="U4" s="3390"/>
      <c r="V4" s="3376" t="s">
        <v>525</v>
      </c>
      <c r="W4" s="3376"/>
      <c r="X4" s="1553"/>
      <c r="Y4" s="3389" t="s">
        <v>527</v>
      </c>
      <c r="Z4" s="3390"/>
      <c r="AA4" s="3378" t="s">
        <v>523</v>
      </c>
      <c r="AB4" s="3378" t="s">
        <v>524</v>
      </c>
      <c r="AC4" s="3378" t="s">
        <v>525</v>
      </c>
    </row>
    <row r="5" spans="1:29">
      <c r="A5" s="515"/>
      <c r="B5" s="516"/>
      <c r="C5" s="3397" t="s">
        <v>2923</v>
      </c>
      <c r="D5" s="3398"/>
      <c r="E5" s="3417" t="s">
        <v>2924</v>
      </c>
      <c r="F5" s="3418"/>
      <c r="G5" s="3397" t="s">
        <v>2925</v>
      </c>
      <c r="H5" s="3398"/>
      <c r="I5" s="3397" t="s">
        <v>2926</v>
      </c>
      <c r="J5" s="3398"/>
      <c r="K5" s="514"/>
      <c r="L5" s="2116"/>
      <c r="M5" s="2117"/>
      <c r="N5" s="2117"/>
      <c r="O5" s="2117"/>
      <c r="P5" s="3496"/>
      <c r="Q5" s="3386"/>
      <c r="R5" s="3391"/>
      <c r="S5" s="3392"/>
      <c r="T5" s="3391"/>
      <c r="U5" s="3392"/>
      <c r="V5" s="3376"/>
      <c r="W5" s="3376"/>
      <c r="X5" s="1553"/>
      <c r="Y5" s="3391"/>
      <c r="Z5" s="3392"/>
      <c r="AA5" s="3379"/>
      <c r="AB5" s="3379"/>
      <c r="AC5" s="3379"/>
    </row>
    <row r="6" spans="1:29" ht="15" thickBot="1">
      <c r="A6" s="517"/>
      <c r="B6" s="518"/>
      <c r="C6" s="3395" t="s">
        <v>2927</v>
      </c>
      <c r="D6" s="3396"/>
      <c r="E6" s="3413" t="s">
        <v>2927</v>
      </c>
      <c r="F6" s="3414"/>
      <c r="G6" s="3395" t="s">
        <v>2927</v>
      </c>
      <c r="H6" s="3396"/>
      <c r="I6" s="3395" t="s">
        <v>2927</v>
      </c>
      <c r="J6" s="3396"/>
      <c r="K6" s="514" t="s">
        <v>528</v>
      </c>
      <c r="L6" s="2116"/>
      <c r="M6" s="2117"/>
      <c r="N6" s="2117"/>
      <c r="O6" s="2117"/>
      <c r="P6" s="3497"/>
      <c r="Q6" s="3388"/>
      <c r="R6" s="3391"/>
      <c r="S6" s="3392"/>
      <c r="T6" s="3393"/>
      <c r="U6" s="3394"/>
      <c r="V6" s="3376"/>
      <c r="W6" s="3376"/>
      <c r="X6" s="1553"/>
      <c r="Y6" s="3393"/>
      <c r="Z6" s="3394"/>
      <c r="AA6" s="3380"/>
      <c r="AB6" s="3380"/>
      <c r="AC6" s="3380"/>
    </row>
    <row r="7" spans="1:29" s="1216" customFormat="1" ht="15" thickBot="1">
      <c r="A7" s="2865"/>
      <c r="B7" s="2872" t="s">
        <v>529</v>
      </c>
      <c r="C7" s="519">
        <f>'数据-取费表'!B2</f>
        <v>43889</v>
      </c>
      <c r="D7" s="520">
        <v>100</v>
      </c>
      <c r="E7" s="521"/>
      <c r="F7" s="522">
        <f>SUMIF(59:59,YEAR(E7)&amp;"-"&amp;MONTH(E7),60:60)</f>
        <v>0</v>
      </c>
      <c r="G7" s="521"/>
      <c r="H7" s="520">
        <f>SUMIF(59:59,YEAR(G7)&amp;"-"&amp;MONTH(G7),60:60)</f>
        <v>0</v>
      </c>
      <c r="I7" s="521"/>
      <c r="J7" s="520">
        <f>SUMIF(59:59,YEAR(I7)&amp;"-"&amp;MONTH(I7),60:60)</f>
        <v>0</v>
      </c>
      <c r="K7" s="524"/>
      <c r="L7" s="2118"/>
      <c r="M7" s="2119"/>
      <c r="N7" s="2119"/>
      <c r="O7" s="2119"/>
      <c r="P7" s="3408" t="s">
        <v>530</v>
      </c>
      <c r="Q7" s="3408"/>
      <c r="R7" s="1554" t="s">
        <v>8</v>
      </c>
      <c r="S7" s="1555">
        <f t="shared" ref="S7:S15" si="0">F7</f>
        <v>0</v>
      </c>
      <c r="T7" s="1554" t="s">
        <v>8</v>
      </c>
      <c r="U7" s="1555">
        <f t="shared" ref="U7:U15" si="1">H7</f>
        <v>0</v>
      </c>
      <c r="V7" s="1554" t="s">
        <v>8</v>
      </c>
      <c r="W7" s="1555">
        <f t="shared" ref="W7:W15" si="2">J7</f>
        <v>0</v>
      </c>
      <c r="X7" s="1556"/>
      <c r="Y7" s="3406" t="s">
        <v>530</v>
      </c>
      <c r="Z7" s="3407"/>
      <c r="AA7" s="1557" t="e">
        <f>D7/F7</f>
        <v>#DIV/0!</v>
      </c>
      <c r="AB7" s="1557" t="e">
        <f>D7/H7</f>
        <v>#DIV/0!</v>
      </c>
      <c r="AC7" s="1557" t="e">
        <f>D7/J7</f>
        <v>#DIV/0!</v>
      </c>
    </row>
    <row r="8" spans="1:29" s="1216" customFormat="1" ht="15" thickBot="1">
      <c r="A8" s="2866"/>
      <c r="B8" s="2873" t="s">
        <v>531</v>
      </c>
      <c r="C8" s="525" t="s">
        <v>576</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408" t="s">
        <v>533</v>
      </c>
      <c r="Q8" s="3407"/>
      <c r="R8" s="1554" t="s">
        <v>8</v>
      </c>
      <c r="S8" s="1555">
        <f t="shared" si="0"/>
        <v>0</v>
      </c>
      <c r="T8" s="1554" t="s">
        <v>8</v>
      </c>
      <c r="U8" s="1555">
        <f t="shared" si="1"/>
        <v>0</v>
      </c>
      <c r="V8" s="1554" t="s">
        <v>8</v>
      </c>
      <c r="W8" s="1555">
        <f t="shared" si="2"/>
        <v>0</v>
      </c>
      <c r="X8" s="1556"/>
      <c r="Y8" s="3406" t="s">
        <v>533</v>
      </c>
      <c r="Z8" s="3407"/>
      <c r="AA8" s="1557" t="e">
        <f t="shared" ref="AA8:AA47" si="3">D8/F8</f>
        <v>#DIV/0!</v>
      </c>
      <c r="AB8" s="1557" t="e">
        <f t="shared" ref="AB8:AB47" si="4">D8/H8</f>
        <v>#DIV/0!</v>
      </c>
      <c r="AC8" s="1557" t="e">
        <f t="shared" ref="AC8:AC47" si="5">D8/J8</f>
        <v>#DIV/0!</v>
      </c>
    </row>
    <row r="9" spans="1:29" s="1216" customFormat="1" ht="14.4">
      <c r="A9" s="2867"/>
      <c r="B9" s="2874" t="s">
        <v>2752</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375" t="s">
        <v>535</v>
      </c>
      <c r="Q9" s="1147" t="str">
        <f t="shared" ref="Q9:Q15" si="6">B9</f>
        <v>用途</v>
      </c>
      <c r="R9" s="1554" t="s">
        <v>8</v>
      </c>
      <c r="S9" s="1555">
        <f t="shared" si="0"/>
        <v>100</v>
      </c>
      <c r="T9" s="1554" t="s">
        <v>8</v>
      </c>
      <c r="U9" s="1555">
        <f t="shared" si="1"/>
        <v>100</v>
      </c>
      <c r="V9" s="1554" t="s">
        <v>8</v>
      </c>
      <c r="W9" s="1555">
        <f t="shared" si="2"/>
        <v>100</v>
      </c>
      <c r="X9" s="1556"/>
      <c r="Y9" s="3321" t="s">
        <v>536</v>
      </c>
      <c r="Z9" s="1146" t="str">
        <f t="shared" ref="Z9:Z15" si="7">Q9</f>
        <v>用途</v>
      </c>
      <c r="AA9" s="1557">
        <f t="shared" si="3"/>
        <v>1</v>
      </c>
      <c r="AB9" s="1557">
        <f t="shared" si="4"/>
        <v>1</v>
      </c>
      <c r="AC9" s="1557">
        <f t="shared" si="5"/>
        <v>1</v>
      </c>
    </row>
    <row r="10" spans="1:29" s="1334" customFormat="1" ht="28.8">
      <c r="A10" s="2868"/>
      <c r="B10" s="2873" t="s">
        <v>2753</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375"/>
      <c r="Q10" s="1147" t="str">
        <f t="shared" si="6"/>
        <v>土地使用年限（年）</v>
      </c>
      <c r="R10" s="1554" t="s">
        <v>8</v>
      </c>
      <c r="S10" s="1555">
        <f t="shared" si="0"/>
        <v>100</v>
      </c>
      <c r="T10" s="1554" t="s">
        <v>8</v>
      </c>
      <c r="U10" s="1555">
        <f t="shared" si="1"/>
        <v>100</v>
      </c>
      <c r="V10" s="1554" t="s">
        <v>8</v>
      </c>
      <c r="W10" s="1555">
        <f t="shared" si="2"/>
        <v>100</v>
      </c>
      <c r="X10" s="1556"/>
      <c r="Y10" s="3321"/>
      <c r="Z10" s="1146" t="str">
        <f t="shared" si="7"/>
        <v>土地使用年限（年）</v>
      </c>
      <c r="AA10" s="1557">
        <f t="shared" si="3"/>
        <v>1</v>
      </c>
      <c r="AB10" s="1557">
        <f t="shared" si="4"/>
        <v>1</v>
      </c>
      <c r="AC10" s="1557">
        <f t="shared" si="5"/>
        <v>1</v>
      </c>
    </row>
    <row r="11" spans="1:29" ht="15">
      <c r="A11" s="2869"/>
      <c r="B11" s="2873"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375"/>
      <c r="Q11" s="1147" t="str">
        <f t="shared" si="6"/>
        <v>容积率</v>
      </c>
      <c r="R11" s="1554" t="s">
        <v>8</v>
      </c>
      <c r="S11" s="1555" t="e">
        <f t="shared" si="0"/>
        <v>#N/A</v>
      </c>
      <c r="T11" s="1554" t="s">
        <v>8</v>
      </c>
      <c r="U11" s="1555" t="e">
        <f t="shared" si="1"/>
        <v>#N/A</v>
      </c>
      <c r="V11" s="1554" t="s">
        <v>8</v>
      </c>
      <c r="W11" s="1555" t="e">
        <f t="shared" si="2"/>
        <v>#N/A</v>
      </c>
      <c r="X11" s="1556"/>
      <c r="Y11" s="3321"/>
      <c r="Z11" s="1146" t="str">
        <f t="shared" si="7"/>
        <v>容积率</v>
      </c>
      <c r="AA11" s="1557" t="e">
        <f t="shared" si="3"/>
        <v>#N/A</v>
      </c>
      <c r="AB11" s="1557" t="e">
        <f t="shared" si="4"/>
        <v>#N/A</v>
      </c>
      <c r="AC11" s="1557" t="e">
        <f t="shared" si="5"/>
        <v>#N/A</v>
      </c>
    </row>
    <row r="12" spans="1:29" s="1216" customFormat="1" ht="15">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18"/>
      <c r="M12" s="2119"/>
      <c r="N12" s="2119"/>
      <c r="O12" s="2119"/>
      <c r="P12" s="3375"/>
      <c r="Q12" s="1147">
        <f t="shared" si="6"/>
        <v>111</v>
      </c>
      <c r="R12" s="1554" t="s">
        <v>8</v>
      </c>
      <c r="S12" s="1555">
        <f t="shared" si="0"/>
        <v>100</v>
      </c>
      <c r="T12" s="1554" t="s">
        <v>8</v>
      </c>
      <c r="U12" s="1555">
        <f t="shared" si="1"/>
        <v>100</v>
      </c>
      <c r="V12" s="1554" t="s">
        <v>8</v>
      </c>
      <c r="W12" s="1555">
        <f t="shared" si="2"/>
        <v>100</v>
      </c>
      <c r="X12" s="1556"/>
      <c r="Y12" s="3321"/>
      <c r="Z12" s="1146">
        <f t="shared" si="7"/>
        <v>111</v>
      </c>
      <c r="AA12" s="1557">
        <f>D12/F12</f>
        <v>1</v>
      </c>
      <c r="AB12" s="1557">
        <f>D12/H12</f>
        <v>1</v>
      </c>
      <c r="AC12" s="1557">
        <f>D12/J12</f>
        <v>1</v>
      </c>
    </row>
    <row r="13" spans="1:29" ht="15">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5"/>
      <c r="M13" s="2117"/>
      <c r="N13" s="2117"/>
      <c r="O13" s="2117"/>
      <c r="P13" s="3375"/>
      <c r="Q13" s="1147">
        <f t="shared" si="6"/>
        <v>111</v>
      </c>
      <c r="R13" s="1554" t="s">
        <v>8</v>
      </c>
      <c r="S13" s="1555">
        <f t="shared" si="0"/>
        <v>100</v>
      </c>
      <c r="T13" s="1554" t="s">
        <v>8</v>
      </c>
      <c r="U13" s="1555">
        <f t="shared" si="1"/>
        <v>100</v>
      </c>
      <c r="V13" s="1554" t="s">
        <v>8</v>
      </c>
      <c r="W13" s="1555">
        <f t="shared" si="2"/>
        <v>100</v>
      </c>
      <c r="X13" s="1556"/>
      <c r="Y13" s="3321"/>
      <c r="Z13" s="1146">
        <f t="shared" si="7"/>
        <v>111</v>
      </c>
      <c r="AA13" s="1557">
        <f t="shared" si="3"/>
        <v>1</v>
      </c>
      <c r="AB13" s="1557">
        <f t="shared" si="4"/>
        <v>1</v>
      </c>
      <c r="AC13" s="1557">
        <f t="shared" si="5"/>
        <v>1</v>
      </c>
    </row>
    <row r="14" spans="1:29" ht="15.6"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5"/>
      <c r="M14" s="2117"/>
      <c r="N14" s="2117"/>
      <c r="O14" s="2117"/>
      <c r="P14" s="3375"/>
      <c r="Q14" s="1147">
        <f t="shared" si="6"/>
        <v>111</v>
      </c>
      <c r="R14" s="1554" t="s">
        <v>8</v>
      </c>
      <c r="S14" s="1555">
        <f t="shared" si="0"/>
        <v>100</v>
      </c>
      <c r="T14" s="1554" t="s">
        <v>8</v>
      </c>
      <c r="U14" s="1555">
        <f t="shared" si="1"/>
        <v>100</v>
      </c>
      <c r="V14" s="1554" t="s">
        <v>8</v>
      </c>
      <c r="W14" s="1555">
        <f t="shared" si="2"/>
        <v>100</v>
      </c>
      <c r="X14" s="1556"/>
      <c r="Y14" s="3321"/>
      <c r="Z14" s="1146">
        <f t="shared" si="7"/>
        <v>111</v>
      </c>
      <c r="AA14" s="1557">
        <f t="shared" si="3"/>
        <v>1</v>
      </c>
      <c r="AB14" s="1557">
        <f t="shared" si="4"/>
        <v>1</v>
      </c>
      <c r="AC14" s="1557">
        <f t="shared" si="5"/>
        <v>1</v>
      </c>
    </row>
    <row r="15" spans="1:29" ht="15">
      <c r="A15" s="2863" t="s">
        <v>2750</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5"/>
      <c r="M15" s="2117"/>
      <c r="N15" s="2117"/>
      <c r="O15" s="2117"/>
      <c r="P15" s="3409" t="s">
        <v>540</v>
      </c>
      <c r="Q15" s="1558" t="str">
        <f t="shared" si="6"/>
        <v>办公集聚程度</v>
      </c>
      <c r="R15" s="1559" t="s">
        <v>8</v>
      </c>
      <c r="S15" s="1560">
        <f t="shared" si="0"/>
        <v>100</v>
      </c>
      <c r="T15" s="1559" t="s">
        <v>8</v>
      </c>
      <c r="U15" s="1560">
        <f t="shared" si="1"/>
        <v>100</v>
      </c>
      <c r="V15" s="1559" t="s">
        <v>8</v>
      </c>
      <c r="W15" s="1560">
        <f t="shared" si="2"/>
        <v>100</v>
      </c>
      <c r="X15" s="1553"/>
      <c r="Y15" s="3409"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5"/>
      <c r="M16" s="2117"/>
      <c r="N16" s="2117"/>
      <c r="O16" s="2117"/>
      <c r="P16" s="3410"/>
      <c r="Q16" s="1558"/>
      <c r="R16" s="1559"/>
      <c r="S16" s="1560"/>
      <c r="T16" s="1559"/>
      <c r="U16" s="1560"/>
      <c r="V16" s="1559"/>
      <c r="W16" s="1560"/>
      <c r="X16" s="1553"/>
      <c r="Y16" s="3410"/>
      <c r="Z16" s="1561"/>
      <c r="AA16" s="1562">
        <v>1</v>
      </c>
      <c r="AB16" s="1562">
        <v>1</v>
      </c>
      <c r="AC16" s="1562">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25"/>
      <c r="M17" s="2117"/>
      <c r="N17" s="2117"/>
      <c r="O17" s="2117"/>
      <c r="P17" s="3410"/>
      <c r="Q17" s="1558" t="str">
        <f>B17</f>
        <v>交通便捷度</v>
      </c>
      <c r="R17" s="1559" t="s">
        <v>8</v>
      </c>
      <c r="S17" s="1560">
        <f>F17</f>
        <v>100</v>
      </c>
      <c r="T17" s="1559" t="s">
        <v>8</v>
      </c>
      <c r="U17" s="1560">
        <f>H17</f>
        <v>100</v>
      </c>
      <c r="V17" s="1559" t="s">
        <v>8</v>
      </c>
      <c r="W17" s="1560">
        <f>J17</f>
        <v>100</v>
      </c>
      <c r="X17" s="1553"/>
      <c r="Y17" s="3410"/>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5"/>
      <c r="M18" s="2117"/>
      <c r="N18" s="2117"/>
      <c r="O18" s="2117"/>
      <c r="P18" s="3410"/>
      <c r="Q18" s="1558"/>
      <c r="R18" s="1559"/>
      <c r="S18" s="1560"/>
      <c r="T18" s="1559"/>
      <c r="U18" s="1560"/>
      <c r="V18" s="1559"/>
      <c r="W18" s="1560"/>
      <c r="X18" s="1553"/>
      <c r="Y18" s="3410"/>
      <c r="Z18" s="1561"/>
      <c r="AA18" s="1562">
        <v>1</v>
      </c>
      <c r="AB18" s="1562">
        <v>1</v>
      </c>
      <c r="AC18" s="1562">
        <v>1</v>
      </c>
    </row>
    <row r="19" spans="1:29" ht="15">
      <c r="A19" s="532"/>
      <c r="B19" s="2565" t="s">
        <v>2543</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25"/>
      <c r="M19" s="2117"/>
      <c r="N19" s="2117"/>
      <c r="O19" s="2117"/>
      <c r="P19" s="3410"/>
      <c r="Q19" s="1558" t="str">
        <f>B19</f>
        <v>公共配套设施</v>
      </c>
      <c r="R19" s="1559" t="s">
        <v>8</v>
      </c>
      <c r="S19" s="1560">
        <f>F19</f>
        <v>100</v>
      </c>
      <c r="T19" s="1559" t="s">
        <v>8</v>
      </c>
      <c r="U19" s="1560">
        <f>H19</f>
        <v>100</v>
      </c>
      <c r="V19" s="1559" t="s">
        <v>8</v>
      </c>
      <c r="W19" s="1560">
        <f>J19</f>
        <v>100</v>
      </c>
      <c r="X19" s="1553"/>
      <c r="Y19" s="3410"/>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5"/>
      <c r="M20" s="2117"/>
      <c r="N20" s="2117"/>
      <c r="O20" s="2117"/>
      <c r="P20" s="3410"/>
      <c r="Q20" s="1558"/>
      <c r="R20" s="1559"/>
      <c r="S20" s="1560"/>
      <c r="T20" s="1559"/>
      <c r="U20" s="1560"/>
      <c r="V20" s="1559"/>
      <c r="W20" s="1560"/>
      <c r="X20" s="1553"/>
      <c r="Y20" s="3410"/>
      <c r="Z20" s="1561"/>
      <c r="AA20" s="1562">
        <v>1</v>
      </c>
      <c r="AB20" s="1562">
        <v>1</v>
      </c>
      <c r="AC20" s="1562">
        <v>1</v>
      </c>
    </row>
    <row r="21" spans="1:29" ht="15">
      <c r="A21" s="532"/>
      <c r="B21" s="2553" t="s">
        <v>2555</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5"/>
      <c r="M21" s="2117"/>
      <c r="N21" s="2117"/>
      <c r="O21" s="2117"/>
      <c r="P21" s="3410"/>
      <c r="Q21" s="2541" t="str">
        <f>B21</f>
        <v>基础设施水平</v>
      </c>
      <c r="R21" s="1559" t="s">
        <v>8</v>
      </c>
      <c r="S21" s="1560">
        <f>F21</f>
        <v>100</v>
      </c>
      <c r="T21" s="1559" t="s">
        <v>8</v>
      </c>
      <c r="U21" s="1560">
        <f>H21</f>
        <v>100</v>
      </c>
      <c r="V21" s="1559" t="s">
        <v>8</v>
      </c>
      <c r="W21" s="1560">
        <f>J21</f>
        <v>100</v>
      </c>
      <c r="X21" s="2543"/>
      <c r="Y21" s="3410"/>
      <c r="Z21" s="2542"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4"/>
      <c r="L22" s="2125"/>
      <c r="M22" s="2117"/>
      <c r="N22" s="2117"/>
      <c r="O22" s="2117"/>
      <c r="P22" s="3410"/>
      <c r="Q22" s="2541"/>
      <c r="R22" s="1559"/>
      <c r="S22" s="1560"/>
      <c r="T22" s="1559"/>
      <c r="U22" s="1560"/>
      <c r="V22" s="1559"/>
      <c r="W22" s="1560"/>
      <c r="X22" s="2543"/>
      <c r="Y22" s="3410"/>
      <c r="Z22" s="2542"/>
      <c r="AA22" s="1562">
        <v>1</v>
      </c>
      <c r="AB22" s="1562">
        <v>1</v>
      </c>
      <c r="AC22" s="1562">
        <v>1</v>
      </c>
    </row>
    <row r="23" spans="1:29" ht="15">
      <c r="A23" s="532"/>
      <c r="B23" s="560" t="s">
        <v>778</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8"/>
      <c r="L23" s="2125"/>
      <c r="M23" s="2117"/>
      <c r="N23" s="2117"/>
      <c r="O23" s="2117"/>
      <c r="P23" s="3410"/>
      <c r="Q23" s="1558" t="str">
        <f>B23</f>
        <v>环境质量</v>
      </c>
      <c r="R23" s="1559" t="s">
        <v>8</v>
      </c>
      <c r="S23" s="1560">
        <f>F23</f>
        <v>100</v>
      </c>
      <c r="T23" s="1559" t="s">
        <v>8</v>
      </c>
      <c r="U23" s="1560">
        <f>H23</f>
        <v>100</v>
      </c>
      <c r="V23" s="1559" t="s">
        <v>8</v>
      </c>
      <c r="W23" s="1560">
        <f>J23</f>
        <v>100</v>
      </c>
      <c r="X23" s="1553"/>
      <c r="Y23" s="3410"/>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5"/>
      <c r="M24" s="2117"/>
      <c r="N24" s="2117"/>
      <c r="O24" s="2117"/>
      <c r="P24" s="3410"/>
      <c r="Q24" s="1558"/>
      <c r="R24" s="1559"/>
      <c r="S24" s="1560"/>
      <c r="T24" s="1559"/>
      <c r="U24" s="1560"/>
      <c r="V24" s="1559"/>
      <c r="W24" s="1560"/>
      <c r="X24" s="1553"/>
      <c r="Y24" s="3410"/>
      <c r="Z24" s="1561"/>
      <c r="AA24" s="1562">
        <v>1</v>
      </c>
      <c r="AB24" s="1562">
        <v>1</v>
      </c>
      <c r="AC24" s="1562">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5"/>
      <c r="M25" s="2117"/>
      <c r="N25" s="2117"/>
      <c r="O25" s="2117"/>
      <c r="P25" s="3410"/>
      <c r="Q25" s="1558" t="str">
        <f>B25</f>
        <v>毗邻道路的类型与等级</v>
      </c>
      <c r="R25" s="1559" t="s">
        <v>8</v>
      </c>
      <c r="S25" s="1560">
        <f>F25</f>
        <v>100</v>
      </c>
      <c r="T25" s="1559" t="s">
        <v>8</v>
      </c>
      <c r="U25" s="1560">
        <f>H25</f>
        <v>100</v>
      </c>
      <c r="V25" s="1559" t="s">
        <v>8</v>
      </c>
      <c r="W25" s="1560">
        <f>J25</f>
        <v>100</v>
      </c>
      <c r="X25" s="1553"/>
      <c r="Y25" s="3410"/>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5"/>
      <c r="M26" s="2117"/>
      <c r="N26" s="2117"/>
      <c r="O26" s="2117"/>
      <c r="P26" s="3410"/>
      <c r="Q26" s="1558"/>
      <c r="R26" s="1559"/>
      <c r="S26" s="1560"/>
      <c r="T26" s="1559"/>
      <c r="U26" s="1560"/>
      <c r="V26" s="1559"/>
      <c r="W26" s="1560"/>
      <c r="X26" s="1553"/>
      <c r="Y26" s="3410"/>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410"/>
      <c r="Q27" s="1558" t="str">
        <f t="shared" ref="Q27:Q47" si="11">B27</f>
        <v>楼层</v>
      </c>
      <c r="R27" s="1559" t="s">
        <v>8</v>
      </c>
      <c r="S27" s="1560">
        <f>F27</f>
        <v>100</v>
      </c>
      <c r="T27" s="1559" t="s">
        <v>8</v>
      </c>
      <c r="U27" s="1560">
        <f>H27</f>
        <v>100</v>
      </c>
      <c r="V27" s="1559" t="s">
        <v>8</v>
      </c>
      <c r="W27" s="1560">
        <f>J27</f>
        <v>100</v>
      </c>
      <c r="X27" s="1553"/>
      <c r="Y27" s="3410"/>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8"/>
      <c r="M28" s="2119"/>
      <c r="N28" s="2119"/>
      <c r="O28" s="2119"/>
      <c r="P28" s="3410"/>
      <c r="Q28" s="1147" t="str">
        <f t="shared" si="11"/>
        <v>朝向</v>
      </c>
      <c r="R28" s="1554" t="s">
        <v>8</v>
      </c>
      <c r="S28" s="1555">
        <f>F28</f>
        <v>100</v>
      </c>
      <c r="T28" s="1554" t="s">
        <v>8</v>
      </c>
      <c r="U28" s="1555">
        <f>H28</f>
        <v>100</v>
      </c>
      <c r="V28" s="1554" t="s">
        <v>8</v>
      </c>
      <c r="W28" s="1555">
        <f>J28</f>
        <v>100</v>
      </c>
      <c r="X28" s="1556"/>
      <c r="Y28" s="3410"/>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5"/>
      <c r="M29" s="2117"/>
      <c r="N29" s="2117"/>
      <c r="O29" s="2117"/>
      <c r="P29" s="3410"/>
      <c r="Q29" s="1558">
        <f t="shared" si="11"/>
        <v>111</v>
      </c>
      <c r="R29" s="1559" t="s">
        <v>8</v>
      </c>
      <c r="S29" s="1560">
        <f t="shared" ref="S29:S47" si="12">F29</f>
        <v>100</v>
      </c>
      <c r="T29" s="1559" t="s">
        <v>8</v>
      </c>
      <c r="U29" s="1560">
        <f t="shared" ref="U29:U47" si="13">H29</f>
        <v>100</v>
      </c>
      <c r="V29" s="1559" t="s">
        <v>8</v>
      </c>
      <c r="W29" s="1560">
        <f t="shared" ref="W29:W47" si="14">J29</f>
        <v>100</v>
      </c>
      <c r="X29" s="1553"/>
      <c r="Y29" s="3410"/>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5"/>
      <c r="M30" s="2117"/>
      <c r="N30" s="2117"/>
      <c r="O30" s="2117"/>
      <c r="P30" s="3410"/>
      <c r="Q30" s="1558">
        <f t="shared" si="11"/>
        <v>111</v>
      </c>
      <c r="R30" s="1559" t="s">
        <v>8</v>
      </c>
      <c r="S30" s="1560">
        <f t="shared" si="12"/>
        <v>100</v>
      </c>
      <c r="T30" s="1559" t="s">
        <v>8</v>
      </c>
      <c r="U30" s="1560">
        <f t="shared" si="13"/>
        <v>100</v>
      </c>
      <c r="V30" s="1559" t="s">
        <v>8</v>
      </c>
      <c r="W30" s="1560">
        <f t="shared" si="14"/>
        <v>100</v>
      </c>
      <c r="X30" s="1553"/>
      <c r="Y30" s="3410"/>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5"/>
      <c r="M31" s="2117"/>
      <c r="N31" s="2117"/>
      <c r="O31" s="2117"/>
      <c r="P31" s="3410"/>
      <c r="Q31" s="1558">
        <f t="shared" si="11"/>
        <v>111</v>
      </c>
      <c r="R31" s="1559" t="s">
        <v>8</v>
      </c>
      <c r="S31" s="1560">
        <f t="shared" si="12"/>
        <v>100</v>
      </c>
      <c r="T31" s="1559" t="s">
        <v>8</v>
      </c>
      <c r="U31" s="1560">
        <f t="shared" si="13"/>
        <v>100</v>
      </c>
      <c r="V31" s="1559" t="s">
        <v>8</v>
      </c>
      <c r="W31" s="1560">
        <f t="shared" si="14"/>
        <v>100</v>
      </c>
      <c r="X31" s="1553"/>
      <c r="Y31" s="3410"/>
      <c r="Z31" s="1561">
        <f t="shared" si="15"/>
        <v>111</v>
      </c>
      <c r="AA31" s="1562">
        <f t="shared" si="3"/>
        <v>1</v>
      </c>
      <c r="AB31" s="1562">
        <f t="shared" si="4"/>
        <v>1</v>
      </c>
      <c r="AC31" s="1562">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5"/>
      <c r="M32" s="2117"/>
      <c r="N32" s="2117"/>
      <c r="O32" s="2117"/>
      <c r="P32" s="3410"/>
      <c r="Q32" s="1558">
        <f t="shared" si="11"/>
        <v>111</v>
      </c>
      <c r="R32" s="1559" t="s">
        <v>8</v>
      </c>
      <c r="S32" s="1560">
        <f t="shared" si="12"/>
        <v>100</v>
      </c>
      <c r="T32" s="1559" t="s">
        <v>8</v>
      </c>
      <c r="U32" s="1560">
        <f t="shared" si="13"/>
        <v>100</v>
      </c>
      <c r="V32" s="1559" t="s">
        <v>8</v>
      </c>
      <c r="W32" s="1560">
        <f t="shared" si="14"/>
        <v>100</v>
      </c>
      <c r="X32" s="1553"/>
      <c r="Y32" s="3410"/>
      <c r="Z32" s="1561">
        <f t="shared" si="15"/>
        <v>111</v>
      </c>
      <c r="AA32" s="1562">
        <f t="shared" si="3"/>
        <v>1</v>
      </c>
      <c r="AB32" s="1562">
        <f t="shared" si="4"/>
        <v>1</v>
      </c>
      <c r="AC32" s="1562">
        <f t="shared" si="5"/>
        <v>1</v>
      </c>
    </row>
    <row r="33" spans="1:29" ht="15">
      <c r="A33" s="2860"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5"/>
      <c r="M33" s="2117"/>
      <c r="N33" s="2117"/>
      <c r="O33" s="2117"/>
      <c r="P33" s="3411" t="s">
        <v>550</v>
      </c>
      <c r="Q33" s="1558" t="str">
        <f t="shared" si="11"/>
        <v>建筑类型</v>
      </c>
      <c r="R33" s="1559" t="s">
        <v>8</v>
      </c>
      <c r="S33" s="1560">
        <f t="shared" si="12"/>
        <v>100</v>
      </c>
      <c r="T33" s="1559" t="s">
        <v>8</v>
      </c>
      <c r="U33" s="1560">
        <f t="shared" si="13"/>
        <v>100</v>
      </c>
      <c r="V33" s="1559" t="s">
        <v>8</v>
      </c>
      <c r="W33" s="1560">
        <f t="shared" si="14"/>
        <v>100</v>
      </c>
      <c r="X33" s="1553"/>
      <c r="Y33" s="3412"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412"/>
      <c r="Q34" s="1590" t="str">
        <f t="shared" si="11"/>
        <v>项目建筑规模</v>
      </c>
      <c r="R34" s="1563" t="s">
        <v>8</v>
      </c>
      <c r="S34" s="1564" t="e">
        <f t="shared" si="12"/>
        <v>#N/A</v>
      </c>
      <c r="T34" s="1563" t="s">
        <v>8</v>
      </c>
      <c r="U34" s="1564" t="e">
        <f t="shared" si="13"/>
        <v>#N/A</v>
      </c>
      <c r="V34" s="1563" t="s">
        <v>8</v>
      </c>
      <c r="W34" s="1564" t="e">
        <f t="shared" si="14"/>
        <v>#N/A</v>
      </c>
      <c r="X34" s="1565"/>
      <c r="Y34" s="3412"/>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412"/>
      <c r="Q35" s="1558" t="str">
        <f t="shared" si="11"/>
        <v>建筑结构</v>
      </c>
      <c r="R35" s="1559" t="s">
        <v>8</v>
      </c>
      <c r="S35" s="1560">
        <f t="shared" si="12"/>
        <v>100</v>
      </c>
      <c r="T35" s="1559" t="s">
        <v>8</v>
      </c>
      <c r="U35" s="1560">
        <f t="shared" si="13"/>
        <v>100</v>
      </c>
      <c r="V35" s="1559" t="s">
        <v>8</v>
      </c>
      <c r="W35" s="1560">
        <f t="shared" si="14"/>
        <v>100</v>
      </c>
      <c r="X35" s="1553"/>
      <c r="Y35" s="3412"/>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412"/>
      <c r="Q36" s="1558" t="str">
        <f t="shared" si="11"/>
        <v>公共部分装修</v>
      </c>
      <c r="R36" s="1559" t="s">
        <v>8</v>
      </c>
      <c r="S36" s="1560">
        <f t="shared" si="12"/>
        <v>100</v>
      </c>
      <c r="T36" s="1559" t="s">
        <v>8</v>
      </c>
      <c r="U36" s="1560">
        <f t="shared" si="13"/>
        <v>100</v>
      </c>
      <c r="V36" s="1559" t="s">
        <v>8</v>
      </c>
      <c r="W36" s="1560">
        <f t="shared" si="14"/>
        <v>100</v>
      </c>
      <c r="X36" s="1553"/>
      <c r="Y36" s="3412"/>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5"/>
      <c r="M37" s="2117"/>
      <c r="N37" s="2117"/>
      <c r="O37" s="2117"/>
      <c r="P37" s="3412"/>
      <c r="Q37" s="1558" t="str">
        <f t="shared" si="11"/>
        <v>成新度</v>
      </c>
      <c r="R37" s="1559" t="s">
        <v>8</v>
      </c>
      <c r="S37" s="1560" t="e">
        <f t="shared" si="12"/>
        <v>#N/A</v>
      </c>
      <c r="T37" s="1559" t="s">
        <v>8</v>
      </c>
      <c r="U37" s="1560" t="e">
        <f t="shared" si="13"/>
        <v>#N/A</v>
      </c>
      <c r="V37" s="1559" t="s">
        <v>8</v>
      </c>
      <c r="W37" s="1560" t="e">
        <f t="shared" si="14"/>
        <v>#N/A</v>
      </c>
      <c r="X37" s="1553"/>
      <c r="Y37" s="3412"/>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412"/>
      <c r="Q38" s="1147" t="str">
        <f t="shared" si="11"/>
        <v>写字楼等级</v>
      </c>
      <c r="R38" s="1554" t="s">
        <v>8</v>
      </c>
      <c r="S38" s="1555">
        <f t="shared" si="12"/>
        <v>100</v>
      </c>
      <c r="T38" s="1554" t="s">
        <v>8</v>
      </c>
      <c r="U38" s="1555">
        <f t="shared" si="13"/>
        <v>100</v>
      </c>
      <c r="V38" s="1554" t="s">
        <v>8</v>
      </c>
      <c r="W38" s="1555">
        <f t="shared" si="14"/>
        <v>100</v>
      </c>
      <c r="X38" s="1556"/>
      <c r="Y38" s="3412"/>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412" t="s">
        <v>550</v>
      </c>
      <c r="Q39" s="1558" t="str">
        <f t="shared" si="11"/>
        <v>物业管理</v>
      </c>
      <c r="R39" s="1559" t="s">
        <v>8</v>
      </c>
      <c r="S39" s="1560">
        <f t="shared" si="12"/>
        <v>100</v>
      </c>
      <c r="T39" s="1559" t="s">
        <v>8</v>
      </c>
      <c r="U39" s="1560">
        <f t="shared" si="13"/>
        <v>100</v>
      </c>
      <c r="V39" s="1559" t="s">
        <v>8</v>
      </c>
      <c r="W39" s="1560">
        <f t="shared" si="14"/>
        <v>100</v>
      </c>
      <c r="X39" s="1553"/>
      <c r="Y39" s="3412" t="s">
        <v>550</v>
      </c>
      <c r="Z39" s="1561" t="str">
        <f t="shared" si="15"/>
        <v>物业管理</v>
      </c>
      <c r="AA39" s="1562">
        <f t="shared" si="3"/>
        <v>1</v>
      </c>
      <c r="AB39" s="1562">
        <f t="shared" si="4"/>
        <v>1</v>
      </c>
      <c r="AC39" s="1562">
        <f t="shared" si="5"/>
        <v>1</v>
      </c>
    </row>
    <row r="40" spans="1:29" ht="15">
      <c r="A40" s="594"/>
      <c r="B40" s="1878"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412"/>
      <c r="Q40" s="1558" t="str">
        <f t="shared" si="11"/>
        <v>市政基础设施</v>
      </c>
      <c r="R40" s="1559" t="s">
        <v>8</v>
      </c>
      <c r="S40" s="1560">
        <f t="shared" si="12"/>
        <v>100</v>
      </c>
      <c r="T40" s="1559" t="s">
        <v>8</v>
      </c>
      <c r="U40" s="1560">
        <f t="shared" si="13"/>
        <v>100</v>
      </c>
      <c r="V40" s="1559" t="s">
        <v>8</v>
      </c>
      <c r="W40" s="1560">
        <f t="shared" si="14"/>
        <v>100</v>
      </c>
      <c r="X40" s="1553"/>
      <c r="Y40" s="3412"/>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412"/>
      <c r="Q41" s="1558" t="str">
        <f t="shared" si="11"/>
        <v>层高</v>
      </c>
      <c r="R41" s="1559" t="s">
        <v>8</v>
      </c>
      <c r="S41" s="1560">
        <f t="shared" si="12"/>
        <v>100</v>
      </c>
      <c r="T41" s="1559" t="s">
        <v>8</v>
      </c>
      <c r="U41" s="1560">
        <f t="shared" si="13"/>
        <v>100</v>
      </c>
      <c r="V41" s="1559" t="s">
        <v>8</v>
      </c>
      <c r="W41" s="1560">
        <f t="shared" si="14"/>
        <v>100</v>
      </c>
      <c r="X41" s="1553"/>
      <c r="Y41" s="3412"/>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412"/>
      <c r="Q42" s="1590" t="str">
        <f t="shared" si="11"/>
        <v>单套建筑面积</v>
      </c>
      <c r="R42" s="1563" t="s">
        <v>8</v>
      </c>
      <c r="S42" s="1564">
        <f t="shared" si="12"/>
        <v>100</v>
      </c>
      <c r="T42" s="1563" t="s">
        <v>8</v>
      </c>
      <c r="U42" s="1564">
        <f t="shared" si="13"/>
        <v>100</v>
      </c>
      <c r="V42" s="1563" t="s">
        <v>8</v>
      </c>
      <c r="W42" s="1564">
        <f t="shared" si="14"/>
        <v>100</v>
      </c>
      <c r="X42" s="1565"/>
      <c r="Y42" s="3412"/>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412"/>
      <c r="Q43" s="1558" t="str">
        <f t="shared" si="11"/>
        <v>内部装修</v>
      </c>
      <c r="R43" s="1559" t="s">
        <v>8</v>
      </c>
      <c r="S43" s="1560">
        <f t="shared" si="12"/>
        <v>100</v>
      </c>
      <c r="T43" s="1559" t="s">
        <v>8</v>
      </c>
      <c r="U43" s="1560">
        <f t="shared" si="13"/>
        <v>100</v>
      </c>
      <c r="V43" s="1559" t="s">
        <v>8</v>
      </c>
      <c r="W43" s="1560">
        <f t="shared" si="14"/>
        <v>100</v>
      </c>
      <c r="X43" s="1553"/>
      <c r="Y43" s="3412"/>
      <c r="Z43" s="1561" t="str">
        <f t="shared" si="15"/>
        <v>内部装修</v>
      </c>
      <c r="AA43" s="1562">
        <f t="shared" si="3"/>
        <v>1</v>
      </c>
      <c r="AB43" s="1562">
        <f t="shared" si="4"/>
        <v>1</v>
      </c>
      <c r="AC43" s="1562">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412"/>
      <c r="Q44" s="1558" t="str">
        <f t="shared" si="11"/>
        <v>内部装修维护情况</v>
      </c>
      <c r="R44" s="1559" t="s">
        <v>8</v>
      </c>
      <c r="S44" s="1560">
        <f t="shared" si="12"/>
        <v>100</v>
      </c>
      <c r="T44" s="1559" t="s">
        <v>8</v>
      </c>
      <c r="U44" s="1560">
        <f t="shared" si="13"/>
        <v>100</v>
      </c>
      <c r="V44" s="1559" t="s">
        <v>8</v>
      </c>
      <c r="W44" s="1560">
        <f t="shared" si="14"/>
        <v>100</v>
      </c>
      <c r="X44" s="1553"/>
      <c r="Y44" s="3412"/>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412"/>
      <c r="Q45" s="1147">
        <f t="shared" si="11"/>
        <v>111</v>
      </c>
      <c r="R45" s="1554" t="s">
        <v>8</v>
      </c>
      <c r="S45" s="1555">
        <f t="shared" si="12"/>
        <v>100</v>
      </c>
      <c r="T45" s="1554" t="s">
        <v>8</v>
      </c>
      <c r="U45" s="1555">
        <f t="shared" si="13"/>
        <v>100</v>
      </c>
      <c r="V45" s="1554" t="s">
        <v>8</v>
      </c>
      <c r="W45" s="1555">
        <f t="shared" si="14"/>
        <v>100</v>
      </c>
      <c r="X45" s="1556"/>
      <c r="Y45" s="3412"/>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412"/>
      <c r="Q46" s="1558">
        <f t="shared" si="11"/>
        <v>111</v>
      </c>
      <c r="R46" s="1559" t="s">
        <v>8</v>
      </c>
      <c r="S46" s="1560">
        <f t="shared" si="12"/>
        <v>100</v>
      </c>
      <c r="T46" s="1559" t="s">
        <v>8</v>
      </c>
      <c r="U46" s="1560">
        <f t="shared" si="13"/>
        <v>100</v>
      </c>
      <c r="V46" s="1559" t="s">
        <v>8</v>
      </c>
      <c r="W46" s="1560">
        <f t="shared" si="14"/>
        <v>100</v>
      </c>
      <c r="X46" s="1553"/>
      <c r="Y46" s="3412"/>
      <c r="Z46" s="1561">
        <f t="shared" si="15"/>
        <v>111</v>
      </c>
      <c r="AA46" s="1562">
        <f t="shared" si="3"/>
        <v>1</v>
      </c>
      <c r="AB46" s="1562">
        <f t="shared" si="4"/>
        <v>1</v>
      </c>
      <c r="AC46" s="1562">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493"/>
      <c r="Q47" s="1558">
        <f t="shared" si="11"/>
        <v>111</v>
      </c>
      <c r="R47" s="1559" t="s">
        <v>8</v>
      </c>
      <c r="S47" s="1560">
        <f t="shared" si="12"/>
        <v>100</v>
      </c>
      <c r="T47" s="1559" t="s">
        <v>8</v>
      </c>
      <c r="U47" s="1560">
        <f t="shared" si="13"/>
        <v>100</v>
      </c>
      <c r="V47" s="1559" t="s">
        <v>8</v>
      </c>
      <c r="W47" s="1560">
        <f t="shared" si="14"/>
        <v>100</v>
      </c>
      <c r="X47" s="1553"/>
      <c r="Y47" s="3493"/>
      <c r="Z47" s="1561">
        <f t="shared" si="15"/>
        <v>111</v>
      </c>
      <c r="AA47" s="1562">
        <f t="shared" si="3"/>
        <v>1</v>
      </c>
      <c r="AB47" s="1562">
        <f t="shared" si="4"/>
        <v>1</v>
      </c>
      <c r="AC47" s="1562">
        <f t="shared" si="5"/>
        <v>1</v>
      </c>
    </row>
    <row r="48" spans="1:29" ht="14.4">
      <c r="A48" s="607" t="s">
        <v>736</v>
      </c>
      <c r="B48" s="887"/>
      <c r="C48" s="2589" t="s">
        <v>1</v>
      </c>
      <c r="D48" s="2590"/>
      <c r="E48" s="2591"/>
      <c r="F48" s="2592"/>
      <c r="G48" s="2593"/>
      <c r="H48" s="2594"/>
      <c r="I48" s="2591"/>
      <c r="J48" s="2594"/>
      <c r="K48" s="1596"/>
      <c r="L48" s="2127"/>
      <c r="M48" s="2117"/>
      <c r="N48" s="2117"/>
      <c r="O48" s="2117"/>
      <c r="P48" s="3373" t="str">
        <f>A48</f>
        <v>成交单价（元/平方米）</v>
      </c>
      <c r="Q48" s="3375"/>
      <c r="R48" s="3492">
        <f>E48</f>
        <v>0</v>
      </c>
      <c r="S48" s="3492"/>
      <c r="T48" s="3492">
        <f>G48</f>
        <v>0</v>
      </c>
      <c r="U48" s="3492"/>
      <c r="V48" s="3492">
        <f>I48</f>
        <v>0</v>
      </c>
      <c r="W48" s="3492"/>
      <c r="X48" s="1545"/>
      <c r="Y48" s="1567"/>
      <c r="Z48" s="1545"/>
      <c r="AA48" s="1545"/>
      <c r="AB48" s="1545"/>
      <c r="AC48" s="1545"/>
    </row>
    <row r="49" spans="1:29" ht="15" thickBot="1">
      <c r="A49" s="615" t="s">
        <v>2756</v>
      </c>
      <c r="B49" s="888"/>
      <c r="C49" s="2595" t="e">
        <f>R50</f>
        <v>#DIV/0!</v>
      </c>
      <c r="D49" s="2596"/>
      <c r="E49" s="2597" t="e">
        <f>R49</f>
        <v>#DIV/0!</v>
      </c>
      <c r="F49" s="2597"/>
      <c r="G49" s="2595" t="e">
        <f>T49</f>
        <v>#DIV/0!</v>
      </c>
      <c r="H49" s="2596"/>
      <c r="I49" s="2597" t="e">
        <f>V49</f>
        <v>#DIV/0!</v>
      </c>
      <c r="J49" s="2596"/>
      <c r="K49" s="1597"/>
      <c r="L49" s="2127"/>
      <c r="M49" s="2117"/>
      <c r="N49" s="2117"/>
      <c r="O49" s="2117"/>
      <c r="P49" s="3373" t="str">
        <f>A49</f>
        <v>比较价格（元/平方米）</v>
      </c>
      <c r="Q49" s="3375"/>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45"/>
      <c r="Y49" s="1545"/>
      <c r="Z49" s="1545"/>
      <c r="AA49" s="1545"/>
      <c r="AB49" s="1545"/>
      <c r="AC49" s="1545"/>
    </row>
    <row r="50" spans="1:29" ht="15" thickBot="1">
      <c r="A50" s="621" t="s">
        <v>2929</v>
      </c>
      <c r="B50" s="622"/>
      <c r="C50" s="2598" t="e">
        <f>R50</f>
        <v>#DIV/0!</v>
      </c>
      <c r="D50" s="2598"/>
      <c r="E50" s="2598"/>
      <c r="F50" s="2598"/>
      <c r="G50" s="2598"/>
      <c r="H50" s="2598"/>
      <c r="I50" s="2598"/>
      <c r="J50" s="2598"/>
      <c r="K50" s="1598"/>
      <c r="L50" s="2127"/>
      <c r="M50" s="2117"/>
      <c r="N50" s="2117"/>
      <c r="O50" s="2117"/>
      <c r="P50" s="3494" t="str">
        <f>A50</f>
        <v>估价对象XX用房的比较价格（楼面单价，元/平方米）</v>
      </c>
      <c r="Q50" s="3373"/>
      <c r="R50" s="3491" t="e">
        <f>IF(F1="售价",ROUND(AVERAGE(R49:V49),0),ROUND(AVERAGE(R49:V49),1))</f>
        <v>#DIV/0!</v>
      </c>
      <c r="S50" s="3491"/>
      <c r="T50" s="3491"/>
      <c r="U50" s="3491"/>
      <c r="V50" s="3491"/>
      <c r="W50" s="3491"/>
      <c r="X50" s="1545"/>
      <c r="Y50" s="1545"/>
      <c r="Z50" s="1545"/>
      <c r="AA50" s="1545"/>
      <c r="AB50" s="1545"/>
      <c r="AC50" s="1545"/>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1" customFormat="1" ht="13.5" customHeight="1">
      <c r="A55" s="2129"/>
      <c r="B55" s="2129"/>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1"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2.2" thickBot="1">
      <c r="A58" s="1570" t="s">
        <v>574</v>
      </c>
      <c r="B58" s="1545"/>
      <c r="C58" s="1569"/>
      <c r="D58" s="1569"/>
      <c r="E58" s="1569"/>
      <c r="F58" s="1571"/>
      <c r="G58" s="1571"/>
      <c r="H58" s="1569"/>
      <c r="I58" s="1569"/>
      <c r="J58" s="1569"/>
      <c r="K58" s="1572"/>
      <c r="L58" s="1568"/>
      <c r="M58" s="1569"/>
      <c r="N58" s="1569"/>
      <c r="O58" s="1569"/>
      <c r="P58" s="2193"/>
      <c r="Q58" s="2141"/>
      <c r="R58" s="2128"/>
      <c r="S58" s="2128"/>
      <c r="T58" s="2128"/>
      <c r="U58" s="2128"/>
      <c r="V58" s="2128"/>
      <c r="W58" s="2128"/>
      <c r="X58" s="2128"/>
      <c r="Y58" s="2128"/>
      <c r="Z58" s="2128"/>
      <c r="AA58" s="2128"/>
      <c r="AB58" s="2128"/>
      <c r="AC58" s="2128"/>
    </row>
    <row r="59" spans="1:29" s="1343" customFormat="1" ht="14.4">
      <c r="A59" s="645" t="s">
        <v>529</v>
      </c>
      <c r="B59" s="646"/>
      <c r="C59" s="2755" t="str">
        <f>YEAR(C7)&amp;"-"&amp;MONTH(C7)</f>
        <v>2020-2</v>
      </c>
      <c r="D59" s="2757">
        <f>EDATE(C59,-1)</f>
        <v>43831</v>
      </c>
      <c r="E59" s="2757">
        <f t="shared" ref="E59:O59" si="16">EDATE(D59,-1)</f>
        <v>43800</v>
      </c>
      <c r="F59" s="2757">
        <f t="shared" si="16"/>
        <v>43770</v>
      </c>
      <c r="G59" s="2757">
        <f t="shared" si="16"/>
        <v>43739</v>
      </c>
      <c r="H59" s="2757">
        <f t="shared" si="16"/>
        <v>43709</v>
      </c>
      <c r="I59" s="2757">
        <f t="shared" si="16"/>
        <v>43678</v>
      </c>
      <c r="J59" s="2757">
        <f t="shared" si="16"/>
        <v>43647</v>
      </c>
      <c r="K59" s="2757">
        <f t="shared" si="16"/>
        <v>43617</v>
      </c>
      <c r="L59" s="2757">
        <f t="shared" si="16"/>
        <v>43586</v>
      </c>
      <c r="M59" s="2757">
        <f t="shared" si="16"/>
        <v>43556</v>
      </c>
      <c r="N59" s="2757">
        <f t="shared" si="16"/>
        <v>43525</v>
      </c>
      <c r="O59" s="2757">
        <f t="shared" si="16"/>
        <v>43497</v>
      </c>
      <c r="P59" s="2194"/>
      <c r="Q59" s="2144"/>
      <c r="R59" s="2144"/>
      <c r="S59" s="2144"/>
      <c r="T59" s="2144"/>
      <c r="U59" s="2144"/>
      <c r="V59" s="2144"/>
      <c r="W59" s="2144"/>
      <c r="X59" s="2144"/>
      <c r="Y59" s="2144"/>
      <c r="Z59" s="2144"/>
      <c r="AA59" s="2144"/>
      <c r="AB59" s="2144"/>
      <c r="AC59" s="2144"/>
    </row>
    <row r="60" spans="1:29" s="1216" customFormat="1">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6" customFormat="1" ht="15" thickBot="1">
      <c r="A61" s="653" t="s">
        <v>575</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6" customFormat="1" ht="14.4">
      <c r="A62" s="659" t="s">
        <v>531</v>
      </c>
      <c r="B62" s="648"/>
      <c r="C62" s="660" t="s">
        <v>576</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6" customFormat="1" ht="14.4" thickBot="1">
      <c r="A63" s="659"/>
      <c r="B63" s="648"/>
      <c r="C63" s="889">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ht="14.4">
      <c r="A64" s="664" t="s">
        <v>577</v>
      </c>
      <c r="B64" s="665" t="s">
        <v>534</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4.4"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5" customFormat="1" ht="14.4"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5" customFormat="1" ht="14.4"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5" customFormat="1" ht="14.4"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5" customFormat="1" ht="14.4"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5" customFormat="1" ht="14.4"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5" customFormat="1" ht="14.4"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ht="14.4">
      <c r="A77" s="664" t="s">
        <v>539</v>
      </c>
      <c r="B77" s="665" t="s">
        <v>585</v>
      </c>
      <c r="C77" s="703" t="s">
        <v>579</v>
      </c>
      <c r="D77" s="703" t="s">
        <v>580</v>
      </c>
      <c r="E77" s="703" t="s">
        <v>581</v>
      </c>
      <c r="F77" s="703" t="s">
        <v>582</v>
      </c>
      <c r="G77" s="703" t="s">
        <v>583</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 thickTop="1">
      <c r="A79" s="669"/>
      <c r="B79" s="673" t="s">
        <v>586</v>
      </c>
      <c r="C79" s="708" t="s">
        <v>579</v>
      </c>
      <c r="D79" s="708" t="s">
        <v>580</v>
      </c>
      <c r="E79" s="708" t="s">
        <v>581</v>
      </c>
      <c r="F79" s="708" t="s">
        <v>582</v>
      </c>
      <c r="G79" s="708" t="s">
        <v>583</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 thickTop="1">
      <c r="A81" s="669"/>
      <c r="B81" s="1879" t="s">
        <v>2554</v>
      </c>
      <c r="C81" s="708" t="s">
        <v>579</v>
      </c>
      <c r="D81" s="708" t="s">
        <v>580</v>
      </c>
      <c r="E81" s="708" t="s">
        <v>581</v>
      </c>
      <c r="F81" s="708" t="s">
        <v>582</v>
      </c>
      <c r="G81" s="708" t="s">
        <v>583</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 thickTop="1">
      <c r="A83" s="669"/>
      <c r="B83" s="2559" t="s">
        <v>2555</v>
      </c>
      <c r="C83" s="2560" t="s">
        <v>2556</v>
      </c>
      <c r="D83" s="2560" t="s">
        <v>2557</v>
      </c>
      <c r="E83" s="2560" t="s">
        <v>2558</v>
      </c>
      <c r="F83" s="2560" t="s">
        <v>2559</v>
      </c>
      <c r="G83" s="2560" t="s">
        <v>2560</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49"/>
      <c r="O84" s="2149"/>
      <c r="P84" s="2197"/>
      <c r="Q84" s="2141"/>
      <c r="R84" s="2128"/>
      <c r="S84" s="2128"/>
      <c r="T84" s="2128"/>
      <c r="U84" s="2128"/>
      <c r="V84" s="2128"/>
      <c r="W84" s="2128"/>
      <c r="X84" s="2128"/>
      <c r="Y84" s="2128"/>
      <c r="Z84" s="2128"/>
      <c r="AA84" s="2128"/>
      <c r="AB84" s="2128"/>
      <c r="AC84" s="2128"/>
    </row>
    <row r="85" spans="1:29" ht="15" thickTop="1">
      <c r="A85" s="669"/>
      <c r="B85" s="673" t="s">
        <v>784</v>
      </c>
      <c r="C85" s="708" t="s">
        <v>579</v>
      </c>
      <c r="D85" s="708" t="s">
        <v>580</v>
      </c>
      <c r="E85" s="708" t="s">
        <v>581</v>
      </c>
      <c r="F85" s="708" t="s">
        <v>582</v>
      </c>
      <c r="G85" s="708" t="s">
        <v>583</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6" customFormat="1" ht="29.4" thickTop="1">
      <c r="A87" s="709"/>
      <c r="B87" s="673" t="s">
        <v>785</v>
      </c>
      <c r="C87" s="688"/>
      <c r="D87" s="688"/>
      <c r="E87" s="688"/>
      <c r="F87" s="688"/>
      <c r="G87" s="688"/>
      <c r="H87" s="688"/>
      <c r="I87" s="688"/>
      <c r="J87" s="688"/>
      <c r="K87" s="688"/>
      <c r="L87" s="890"/>
      <c r="M87" s="891"/>
      <c r="N87" s="2145"/>
      <c r="O87" s="2145"/>
      <c r="P87" s="2197"/>
      <c r="Q87" s="2141"/>
      <c r="R87" s="1976"/>
      <c r="S87" s="1976"/>
      <c r="T87" s="1976"/>
      <c r="U87" s="1976"/>
      <c r="V87" s="1976"/>
      <c r="W87" s="1976"/>
      <c r="X87" s="1976"/>
      <c r="Y87" s="1976"/>
      <c r="Z87" s="1976"/>
      <c r="AA87" s="1976"/>
      <c r="AB87" s="1976"/>
      <c r="AC87" s="1976"/>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6" customFormat="1" ht="14.4" thickTop="1">
      <c r="A89" s="709"/>
      <c r="B89" s="673" t="str">
        <f>B27</f>
        <v>楼层</v>
      </c>
      <c r="C89" s="688"/>
      <c r="D89" s="688"/>
      <c r="E89" s="688"/>
      <c r="F89" s="892"/>
      <c r="G89" s="688"/>
      <c r="H89" s="688"/>
      <c r="I89" s="688"/>
      <c r="J89" s="688"/>
      <c r="K89" s="688"/>
      <c r="L89" s="688"/>
      <c r="M89" s="891"/>
      <c r="N89" s="2145"/>
      <c r="O89" s="2145"/>
      <c r="P89" s="2197"/>
      <c r="Q89" s="2141"/>
      <c r="R89" s="1976"/>
      <c r="S89" s="1976"/>
      <c r="T89" s="1976"/>
      <c r="U89" s="1976"/>
      <c r="V89" s="1976"/>
      <c r="W89" s="1976"/>
      <c r="X89" s="1976"/>
      <c r="Y89" s="1976"/>
      <c r="Z89" s="1976"/>
      <c r="AA89" s="1976"/>
      <c r="AB89" s="1976"/>
      <c r="AC89" s="1976"/>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5" customFormat="1" ht="14.4"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4.4" thickTop="1">
      <c r="A93" s="669"/>
      <c r="B93" s="673">
        <f>B29</f>
        <v>111</v>
      </c>
      <c r="C93" s="688"/>
      <c r="D93" s="688"/>
      <c r="E93" s="688"/>
      <c r="F93" s="688"/>
      <c r="G93" s="688"/>
      <c r="H93" s="688"/>
      <c r="I93" s="688"/>
      <c r="J93" s="688"/>
      <c r="K93" s="688"/>
      <c r="L93" s="890"/>
      <c r="M93" s="891"/>
      <c r="N93" s="2147"/>
      <c r="O93" s="2147"/>
      <c r="P93" s="2197"/>
      <c r="Q93" s="2141"/>
      <c r="R93" s="2128"/>
      <c r="S93" s="2128"/>
      <c r="T93" s="2128"/>
      <c r="U93" s="2128"/>
      <c r="V93" s="2128"/>
      <c r="W93" s="2128"/>
      <c r="X93" s="2128"/>
      <c r="Y93" s="2128"/>
      <c r="Z93" s="2128"/>
      <c r="AA93" s="2128"/>
      <c r="AB93" s="2128"/>
      <c r="AC93" s="2128"/>
    </row>
    <row r="94" spans="1:29" ht="14.4"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4.4"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4.4"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4.4"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4.4"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4.4"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4.4" thickBot="1">
      <c r="A100" s="893"/>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ht="14.4">
      <c r="A101" s="664" t="s">
        <v>551</v>
      </c>
      <c r="B101" s="665" t="s">
        <v>747</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5"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5" customFormat="1" ht="14.4"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749</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751</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4">
        <v>0.5</v>
      </c>
      <c r="D111" s="894">
        <v>0.6</v>
      </c>
      <c r="E111" s="894">
        <v>0.7</v>
      </c>
      <c r="F111" s="894">
        <v>0.8</v>
      </c>
      <c r="G111" s="894">
        <v>0.9</v>
      </c>
      <c r="H111" s="894">
        <v>1.0001</v>
      </c>
      <c r="I111" s="905"/>
      <c r="J111" s="905"/>
      <c r="K111" s="906"/>
      <c r="L111" s="907"/>
      <c r="M111" s="908"/>
      <c r="N111" s="2147"/>
      <c r="O111" s="2147"/>
      <c r="P111" s="2197"/>
      <c r="Q111" s="2141"/>
      <c r="R111" s="2128"/>
      <c r="S111" s="2128"/>
      <c r="T111" s="2128"/>
      <c r="U111" s="2128"/>
      <c r="V111" s="2128"/>
      <c r="W111" s="2128"/>
      <c r="X111" s="2128"/>
      <c r="Y111" s="2128"/>
      <c r="Z111" s="2128"/>
      <c r="AA111" s="2128"/>
      <c r="AB111" s="2128"/>
      <c r="AC111" s="2128"/>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5" customFormat="1" ht="15" thickTop="1">
      <c r="A113" s="728"/>
      <c r="B113" s="673" t="s">
        <v>786</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753</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2553</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7" t="s">
        <v>787</v>
      </c>
      <c r="C119" s="718"/>
      <c r="D119" s="718"/>
      <c r="E119" s="718"/>
      <c r="F119" s="718"/>
      <c r="G119" s="718"/>
      <c r="H119" s="718"/>
      <c r="I119" s="718"/>
      <c r="J119" s="718"/>
      <c r="K119" s="718"/>
      <c r="L119" s="918"/>
      <c r="M119" s="919"/>
      <c r="N119" s="2149"/>
      <c r="O119" s="2149"/>
      <c r="P119" s="2202"/>
      <c r="Q119" s="2189"/>
      <c r="R119" s="2128"/>
      <c r="S119" s="2128"/>
      <c r="T119" s="2128"/>
      <c r="U119" s="2128"/>
      <c r="V119" s="2128"/>
      <c r="W119" s="2128"/>
      <c r="X119" s="2128"/>
      <c r="Y119" s="2128"/>
      <c r="Z119" s="2128"/>
      <c r="AA119" s="2128"/>
      <c r="AB119" s="2128"/>
      <c r="AC119" s="2128"/>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5" customFormat="1" ht="15" thickTop="1">
      <c r="A121" s="728"/>
      <c r="B121" s="673" t="s">
        <v>775</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5" customFormat="1" ht="14.4"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755</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5" customFormat="1" ht="14.4"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5" customFormat="1" ht="14.4"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4.4"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4.4"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4.4"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4.4" thickBot="1">
      <c r="A132" s="893"/>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A500F-5999-45CD-9D04-D2DBDCB9C199}">
  <dimension ref="P9:T12"/>
  <sheetViews>
    <sheetView topLeftCell="A4" workbookViewId="0">
      <selection activeCell="R29" sqref="R29"/>
    </sheetView>
  </sheetViews>
  <sheetFormatPr defaultRowHeight="14.4"/>
  <sheetData>
    <row r="9" spans="16:20">
      <c r="P9" s="3202" t="s">
        <v>3193</v>
      </c>
      <c r="R9" s="3202" t="s">
        <v>3197</v>
      </c>
      <c r="T9" s="3202" t="s">
        <v>3201</v>
      </c>
    </row>
    <row r="10" spans="16:20">
      <c r="P10" s="3202" t="s">
        <v>3198</v>
      </c>
      <c r="R10" s="3202" t="s">
        <v>3194</v>
      </c>
      <c r="T10" s="3202" t="s">
        <v>3194</v>
      </c>
    </row>
    <row r="11" spans="16:20">
      <c r="P11" s="3202" t="s">
        <v>3195</v>
      </c>
      <c r="R11" s="3202" t="s">
        <v>3199</v>
      </c>
    </row>
    <row r="12" spans="16:20">
      <c r="P12" s="3202" t="s">
        <v>3196</v>
      </c>
      <c r="R12" s="3202" t="s">
        <v>3200</v>
      </c>
      <c r="T12" s="3202" t="s">
        <v>3200</v>
      </c>
    </row>
  </sheetData>
  <phoneticPr fontId="229"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9D4EF-FFED-4CE0-9704-F517ADF4DE40}">
  <dimension ref="A1"/>
  <sheetViews>
    <sheetView topLeftCell="A7" workbookViewId="0">
      <selection activeCell="Q40" sqref="Q40"/>
    </sheetView>
  </sheetViews>
  <sheetFormatPr defaultRowHeight="14.4"/>
  <sheetData/>
  <phoneticPr fontId="229"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1903</v>
      </c>
    </row>
    <row r="2" spans="1:4">
      <c r="A2" s="1762"/>
    </row>
    <row r="3" spans="1:4" ht="17.399999999999999">
      <c r="A3" s="1780" t="str">
        <f>项目基本情况!B5&amp;"："</f>
        <v>：</v>
      </c>
    </row>
    <row r="4" spans="1:4" ht="34.799999999999997">
      <c r="A4" s="1774" t="str">
        <f>"受贵公司委托，我公司对"&amp;项目基本情况!K2&amp;项目基本情况!B9&amp;"进行了预评估。"</f>
        <v>受贵公司委托，我公司对重庆市潼南区梓潼街道办凉风垭C2-3-04（1）号地块出让国有建设用地使用权抵押价格进行了预评估。</v>
      </c>
    </row>
    <row r="5" spans="1:4" ht="17.399999999999999">
      <c r="A5" s="1777" t="s">
        <v>1904</v>
      </c>
    </row>
    <row r="6" spans="1:4" ht="87">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盛皇房地产开发有限公司使用的、位于重庆市潼南区梓潼街道办凉风垭C2-3-04（1）号地块出让国有建设用地使用权。根据《国有土地使用证》[]，估价对象（分摊）出让国有建设用地使用权面积为22322.4平方米。根据《建设工程规划许可证》[]、《出让合同》[]，估价对象规划建筑面积为114120平方米。</v>
      </c>
    </row>
    <row r="7" spans="1:4" ht="87">
      <c r="A7" s="2826" t="s">
        <v>2744</v>
      </c>
    </row>
    <row r="8" spans="1:4" ht="17.399999999999999">
      <c r="A8" s="1777" t="s">
        <v>1905</v>
      </c>
    </row>
    <row r="9" spans="1:4" ht="69.599999999999994">
      <c r="A9" s="1779"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0" t="s">
        <v>2023</v>
      </c>
    </row>
    <row r="11" spans="1:4" ht="17.399999999999999">
      <c r="A11" s="1763" t="str">
        <f>TEXT(项目基本情况!D3,"yyyy年m月d日;;")&amp;IF(项目基本情况!B3=项目基本情况!D3,"（评估专业人员勘察现场之日）","")</f>
        <v>2020年2月28日（评估专业人员勘察现场之日）</v>
      </c>
    </row>
    <row r="12" spans="1:4" ht="17.399999999999999">
      <c r="A12" s="1780" t="s">
        <v>2022</v>
      </c>
    </row>
    <row r="13" spans="1:4" ht="17.399999999999999">
      <c r="A13" s="1774" t="s">
        <v>2068</v>
      </c>
    </row>
    <row r="14" spans="1:4" ht="34.799999999999997">
      <c r="A14" s="1774" t="str">
        <f>"根据"&amp;项目基本情况!F12&amp;"，本次评估估价对象证载（地类）用途为"&amp;项目基本情况!B12&amp;"。"</f>
        <v>根据《国有土地使用证》[]，本次评估估价对象证载（地类）用途为住宅。</v>
      </c>
      <c r="C14" s="1764"/>
      <c r="D14" s="1765"/>
    </row>
    <row r="15" spans="1:4" ht="17.399999999999999">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4"/>
      <c r="D15" s="1765"/>
    </row>
    <row r="16" spans="1:4" ht="17.399999999999999">
      <c r="A16" s="1774" t="s">
        <v>2069</v>
      </c>
    </row>
    <row r="17" spans="1:1" ht="52.2">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4" t="s">
        <v>2070</v>
      </c>
    </row>
    <row r="20" spans="1:1" ht="52.2">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根据《国有土地使用证》[]，估价对象（分摊）出让国有建设用地使用权面积为22322.4平方米。根据《建设工程规划许可证》[]、《出让合同》[]，估价对象规划建筑面积为114120平方米。</v>
      </c>
    </row>
    <row r="21" spans="1:1" ht="87">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4" t="s">
        <v>2071</v>
      </c>
    </row>
    <row r="23" spans="1:1" ht="17.399999999999999">
      <c r="A23" s="2828" t="s">
        <v>2745</v>
      </c>
    </row>
    <row r="24" spans="1:1" ht="17.399999999999999">
      <c r="A24" s="1774" t="s">
        <v>2072</v>
      </c>
    </row>
    <row r="25" spans="1:1" ht="87">
      <c r="A25" s="1774" t="str">
        <f>定义!C53</f>
        <v>本次估价的“出让国有建设用地使用权价格”是指在估价对象土地所有权为国家所有，使用权性质为出让，在公开市场条件下、于估价期日2020年2月28日，在规划利用条件下、设定土地开发程度为红线外“七通”、宗地内场地，设定用途为住宅，剩余土地使用年限为的出让国有建设用地使用权价格。</v>
      </c>
    </row>
    <row r="26" spans="1:1" ht="52.2">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0" t="s">
        <v>2024</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2025</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0"/>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0"/>
      <c r="D2" s="2110"/>
      <c r="E2" s="2111"/>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4.4">
      <c r="A4" s="512" t="s">
        <v>521</v>
      </c>
      <c r="B4" s="513"/>
      <c r="C4" s="3381" t="s">
        <v>522</v>
      </c>
      <c r="D4" s="3382"/>
      <c r="E4" s="3415" t="s">
        <v>523</v>
      </c>
      <c r="F4" s="3416"/>
      <c r="G4" s="3381" t="s">
        <v>524</v>
      </c>
      <c r="H4" s="3382"/>
      <c r="I4" s="3381" t="s">
        <v>525</v>
      </c>
      <c r="J4" s="3382"/>
      <c r="K4" s="514" t="s">
        <v>526</v>
      </c>
      <c r="L4" s="2116"/>
      <c r="M4" s="2117"/>
      <c r="N4" s="2117"/>
      <c r="O4" s="2117"/>
      <c r="P4" s="3383" t="s">
        <v>527</v>
      </c>
      <c r="Q4" s="3384"/>
      <c r="R4" s="3389" t="s">
        <v>523</v>
      </c>
      <c r="S4" s="3390"/>
      <c r="T4" s="3389" t="s">
        <v>524</v>
      </c>
      <c r="U4" s="3390"/>
      <c r="V4" s="3376" t="s">
        <v>525</v>
      </c>
      <c r="W4" s="3376"/>
      <c r="X4" s="1553"/>
      <c r="Y4" s="3389" t="s">
        <v>527</v>
      </c>
      <c r="Z4" s="3390"/>
      <c r="AA4" s="3378" t="s">
        <v>523</v>
      </c>
      <c r="AB4" s="3379" t="s">
        <v>524</v>
      </c>
      <c r="AC4" s="3378" t="s">
        <v>525</v>
      </c>
    </row>
    <row r="5" spans="1:29">
      <c r="A5" s="515"/>
      <c r="B5" s="516"/>
      <c r="C5" s="3397" t="s">
        <v>2923</v>
      </c>
      <c r="D5" s="3398"/>
      <c r="E5" s="3417" t="s">
        <v>2924</v>
      </c>
      <c r="F5" s="3418"/>
      <c r="G5" s="3397" t="s">
        <v>2925</v>
      </c>
      <c r="H5" s="3398"/>
      <c r="I5" s="3397" t="s">
        <v>2926</v>
      </c>
      <c r="J5" s="3398"/>
      <c r="K5" s="514"/>
      <c r="L5" s="2116"/>
      <c r="M5" s="2117"/>
      <c r="N5" s="2117"/>
      <c r="O5" s="2117"/>
      <c r="P5" s="3385"/>
      <c r="Q5" s="3386"/>
      <c r="R5" s="3391"/>
      <c r="S5" s="3392"/>
      <c r="T5" s="3391"/>
      <c r="U5" s="3392"/>
      <c r="V5" s="3376"/>
      <c r="W5" s="3376"/>
      <c r="X5" s="1553"/>
      <c r="Y5" s="3391"/>
      <c r="Z5" s="3392"/>
      <c r="AA5" s="3379"/>
      <c r="AB5" s="3379"/>
      <c r="AC5" s="3379"/>
    </row>
    <row r="6" spans="1:29" ht="15" thickBot="1">
      <c r="A6" s="517"/>
      <c r="B6" s="518"/>
      <c r="C6" s="3395" t="s">
        <v>2927</v>
      </c>
      <c r="D6" s="3396"/>
      <c r="E6" s="3413" t="s">
        <v>2927</v>
      </c>
      <c r="F6" s="3414"/>
      <c r="G6" s="3395" t="s">
        <v>2927</v>
      </c>
      <c r="H6" s="3396"/>
      <c r="I6" s="3395" t="s">
        <v>2927</v>
      </c>
      <c r="J6" s="3396"/>
      <c r="K6" s="514" t="s">
        <v>528</v>
      </c>
      <c r="L6" s="2116"/>
      <c r="M6" s="2117"/>
      <c r="N6" s="2117"/>
      <c r="O6" s="2117"/>
      <c r="P6" s="3387"/>
      <c r="Q6" s="3388"/>
      <c r="R6" s="3391"/>
      <c r="S6" s="3392"/>
      <c r="T6" s="3393"/>
      <c r="U6" s="3394"/>
      <c r="V6" s="3376"/>
      <c r="W6" s="3376"/>
      <c r="X6" s="1553"/>
      <c r="Y6" s="3393"/>
      <c r="Z6" s="3394"/>
      <c r="AA6" s="3380"/>
      <c r="AB6" s="3380"/>
      <c r="AC6" s="3380"/>
    </row>
    <row r="7" spans="1:29" s="1216" customFormat="1" ht="15" thickBot="1">
      <c r="A7" s="2865"/>
      <c r="B7" s="2872" t="s">
        <v>529</v>
      </c>
      <c r="C7" s="519">
        <f>'数据-取费表'!B2</f>
        <v>43889</v>
      </c>
      <c r="D7" s="520">
        <v>100</v>
      </c>
      <c r="E7" s="521"/>
      <c r="F7" s="522">
        <f>SUMIF(52:52,YEAR(E7)&amp;"-"&amp;MONTH(E7),53:53)</f>
        <v>0</v>
      </c>
      <c r="G7" s="521"/>
      <c r="H7" s="520">
        <f>SUMIF(52:52,YEAR(G7)&amp;"-"&amp;MONTH(G7),53:53)</f>
        <v>0</v>
      </c>
      <c r="I7" s="521"/>
      <c r="J7" s="520">
        <f>SUMIF(52:52,YEAR(I7)&amp;"-"&amp;MONTH(I7),53:53)</f>
        <v>0</v>
      </c>
      <c r="K7" s="524"/>
      <c r="L7" s="2118"/>
      <c r="M7" s="2119"/>
      <c r="N7" s="2119"/>
      <c r="O7" s="2119"/>
      <c r="P7" s="3406" t="s">
        <v>530</v>
      </c>
      <c r="Q7" s="3408"/>
      <c r="R7" s="1554" t="s">
        <v>8</v>
      </c>
      <c r="S7" s="1555">
        <f t="shared" ref="S7:S15" si="0">F7</f>
        <v>0</v>
      </c>
      <c r="T7" s="1554" t="s">
        <v>8</v>
      </c>
      <c r="U7" s="1555">
        <f t="shared" ref="U7:U15" si="1">H7</f>
        <v>0</v>
      </c>
      <c r="V7" s="1554" t="s">
        <v>8</v>
      </c>
      <c r="W7" s="1555">
        <f t="shared" ref="W7:W15" si="2">J7</f>
        <v>0</v>
      </c>
      <c r="X7" s="1556"/>
      <c r="Y7" s="3406" t="s">
        <v>530</v>
      </c>
      <c r="Z7" s="3407"/>
      <c r="AA7" s="1557" t="e">
        <f>D7/F7</f>
        <v>#DIV/0!</v>
      </c>
      <c r="AB7" s="1557" t="e">
        <f>D7/H7</f>
        <v>#DIV/0!</v>
      </c>
      <c r="AC7" s="1557" t="e">
        <f>D7/J7</f>
        <v>#DIV/0!</v>
      </c>
    </row>
    <row r="8" spans="1:29" s="1216" customFormat="1" ht="15" thickBot="1">
      <c r="A8" s="2866"/>
      <c r="B8" s="2873" t="s">
        <v>531</v>
      </c>
      <c r="C8" s="525" t="s">
        <v>576</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406" t="s">
        <v>533</v>
      </c>
      <c r="Q8" s="3407"/>
      <c r="R8" s="1554" t="s">
        <v>8</v>
      </c>
      <c r="S8" s="1555">
        <f t="shared" si="0"/>
        <v>0</v>
      </c>
      <c r="T8" s="1554" t="s">
        <v>8</v>
      </c>
      <c r="U8" s="1555">
        <f t="shared" si="1"/>
        <v>0</v>
      </c>
      <c r="V8" s="1554" t="s">
        <v>8</v>
      </c>
      <c r="W8" s="1555">
        <f t="shared" si="2"/>
        <v>0</v>
      </c>
      <c r="X8" s="1556"/>
      <c r="Y8" s="3406" t="s">
        <v>533</v>
      </c>
      <c r="Z8" s="3407"/>
      <c r="AA8" s="1557" t="e">
        <f t="shared" ref="AA8:AA40" si="3">D8/F8</f>
        <v>#DIV/0!</v>
      </c>
      <c r="AB8" s="1557" t="e">
        <f t="shared" ref="AB8:AB40" si="4">D8/H8</f>
        <v>#DIV/0!</v>
      </c>
      <c r="AC8" s="1557" t="e">
        <f t="shared" ref="AC8:AC40" si="5">D8/J8</f>
        <v>#DIV/0!</v>
      </c>
    </row>
    <row r="9" spans="1:29" s="1216" customFormat="1" ht="14.4">
      <c r="A9" s="2867"/>
      <c r="B9" s="2874" t="s">
        <v>2752</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375" t="s">
        <v>535</v>
      </c>
      <c r="Q9" s="1147" t="str">
        <f t="shared" ref="Q9:Q15" si="6">B9</f>
        <v>用途</v>
      </c>
      <c r="R9" s="1554" t="s">
        <v>8</v>
      </c>
      <c r="S9" s="1555">
        <f t="shared" si="0"/>
        <v>100</v>
      </c>
      <c r="T9" s="1554" t="s">
        <v>8</v>
      </c>
      <c r="U9" s="1555">
        <f t="shared" si="1"/>
        <v>100</v>
      </c>
      <c r="V9" s="1554" t="s">
        <v>8</v>
      </c>
      <c r="W9" s="1555">
        <f t="shared" si="2"/>
        <v>100</v>
      </c>
      <c r="X9" s="1556"/>
      <c r="Y9" s="3321" t="s">
        <v>536</v>
      </c>
      <c r="Z9" s="1146" t="str">
        <f t="shared" ref="Z9:Z15" si="7">Q9</f>
        <v>用途</v>
      </c>
      <c r="AA9" s="1557">
        <f t="shared" si="3"/>
        <v>1</v>
      </c>
      <c r="AB9" s="1557">
        <f t="shared" si="4"/>
        <v>1</v>
      </c>
      <c r="AC9" s="1557">
        <f t="shared" si="5"/>
        <v>1</v>
      </c>
    </row>
    <row r="10" spans="1:29" s="1334" customFormat="1" ht="28.8">
      <c r="A10" s="2868"/>
      <c r="B10" s="2873" t="s">
        <v>2753</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375"/>
      <c r="Q10" s="1147" t="str">
        <f t="shared" si="6"/>
        <v>土地使用年限（年）</v>
      </c>
      <c r="R10" s="1554" t="s">
        <v>8</v>
      </c>
      <c r="S10" s="1555">
        <f t="shared" si="0"/>
        <v>100</v>
      </c>
      <c r="T10" s="1554" t="s">
        <v>8</v>
      </c>
      <c r="U10" s="1555">
        <f t="shared" si="1"/>
        <v>100</v>
      </c>
      <c r="V10" s="1554" t="s">
        <v>8</v>
      </c>
      <c r="W10" s="1555">
        <f t="shared" si="2"/>
        <v>100</v>
      </c>
      <c r="X10" s="1556"/>
      <c r="Y10" s="3321"/>
      <c r="Z10" s="1146" t="str">
        <f t="shared" si="7"/>
        <v>土地使用年限（年）</v>
      </c>
      <c r="AA10" s="1557">
        <f t="shared" si="3"/>
        <v>1</v>
      </c>
      <c r="AB10" s="1557">
        <f t="shared" si="4"/>
        <v>1</v>
      </c>
      <c r="AC10" s="1557">
        <f t="shared" si="5"/>
        <v>1</v>
      </c>
    </row>
    <row r="11" spans="1:29" ht="15">
      <c r="A11" s="2869"/>
      <c r="B11" s="2873"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375"/>
      <c r="Q11" s="1147" t="str">
        <f t="shared" si="6"/>
        <v>容积率</v>
      </c>
      <c r="R11" s="1554" t="s">
        <v>8</v>
      </c>
      <c r="S11" s="1555" t="e">
        <f t="shared" si="0"/>
        <v>#N/A</v>
      </c>
      <c r="T11" s="1554" t="s">
        <v>8</v>
      </c>
      <c r="U11" s="1555" t="e">
        <f t="shared" si="1"/>
        <v>#N/A</v>
      </c>
      <c r="V11" s="1554" t="s">
        <v>8</v>
      </c>
      <c r="W11" s="1555" t="e">
        <f t="shared" si="2"/>
        <v>#N/A</v>
      </c>
      <c r="X11" s="1556"/>
      <c r="Y11" s="3321"/>
      <c r="Z11" s="1146" t="str">
        <f t="shared" si="7"/>
        <v>容积率</v>
      </c>
      <c r="AA11" s="1557" t="e">
        <f t="shared" si="3"/>
        <v>#N/A</v>
      </c>
      <c r="AB11" s="1557" t="e">
        <f t="shared" si="4"/>
        <v>#N/A</v>
      </c>
      <c r="AC11" s="1557" t="e">
        <f t="shared" si="5"/>
        <v>#N/A</v>
      </c>
    </row>
    <row r="12" spans="1:29" s="1216" customFormat="1" ht="15">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18"/>
      <c r="M12" s="2119"/>
      <c r="N12" s="2119"/>
      <c r="O12" s="2120"/>
      <c r="P12" s="3375"/>
      <c r="Q12" s="1147">
        <f t="shared" si="6"/>
        <v>111</v>
      </c>
      <c r="R12" s="1554" t="s">
        <v>8</v>
      </c>
      <c r="S12" s="1555">
        <f t="shared" si="0"/>
        <v>100</v>
      </c>
      <c r="T12" s="1554" t="s">
        <v>8</v>
      </c>
      <c r="U12" s="1555">
        <f t="shared" si="1"/>
        <v>100</v>
      </c>
      <c r="V12" s="1554" t="s">
        <v>8</v>
      </c>
      <c r="W12" s="1555">
        <f t="shared" si="2"/>
        <v>100</v>
      </c>
      <c r="X12" s="1556"/>
      <c r="Y12" s="3321"/>
      <c r="Z12" s="1146">
        <f t="shared" si="7"/>
        <v>111</v>
      </c>
      <c r="AA12" s="1557">
        <f>D12/F12</f>
        <v>1</v>
      </c>
      <c r="AB12" s="1557">
        <f>D12/H12</f>
        <v>1</v>
      </c>
      <c r="AC12" s="1557">
        <f>D12/J12</f>
        <v>1</v>
      </c>
    </row>
    <row r="13" spans="1:29" ht="15">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5"/>
      <c r="M13" s="2117"/>
      <c r="N13" s="2117"/>
      <c r="O13" s="2124"/>
      <c r="P13" s="3375"/>
      <c r="Q13" s="1147">
        <f t="shared" si="6"/>
        <v>111</v>
      </c>
      <c r="R13" s="1554" t="s">
        <v>8</v>
      </c>
      <c r="S13" s="1555">
        <f t="shared" si="0"/>
        <v>100</v>
      </c>
      <c r="T13" s="1554" t="s">
        <v>8</v>
      </c>
      <c r="U13" s="1555">
        <f t="shared" si="1"/>
        <v>100</v>
      </c>
      <c r="V13" s="1554" t="s">
        <v>8</v>
      </c>
      <c r="W13" s="1555">
        <f t="shared" si="2"/>
        <v>100</v>
      </c>
      <c r="X13" s="1556"/>
      <c r="Y13" s="3321"/>
      <c r="Z13" s="1146">
        <f t="shared" si="7"/>
        <v>111</v>
      </c>
      <c r="AA13" s="1557">
        <f t="shared" si="3"/>
        <v>1</v>
      </c>
      <c r="AB13" s="1557">
        <f t="shared" si="4"/>
        <v>1</v>
      </c>
      <c r="AC13" s="1557">
        <f t="shared" si="5"/>
        <v>1</v>
      </c>
    </row>
    <row r="14" spans="1:29" ht="15.6"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5"/>
      <c r="M14" s="2117"/>
      <c r="N14" s="2117"/>
      <c r="O14" s="2124"/>
      <c r="P14" s="3375"/>
      <c r="Q14" s="1147">
        <f t="shared" si="6"/>
        <v>111</v>
      </c>
      <c r="R14" s="1554" t="s">
        <v>8</v>
      </c>
      <c r="S14" s="1555">
        <f t="shared" si="0"/>
        <v>100</v>
      </c>
      <c r="T14" s="1554" t="s">
        <v>8</v>
      </c>
      <c r="U14" s="1555">
        <f t="shared" si="1"/>
        <v>100</v>
      </c>
      <c r="V14" s="1554" t="s">
        <v>8</v>
      </c>
      <c r="W14" s="1555">
        <f t="shared" si="2"/>
        <v>100</v>
      </c>
      <c r="X14" s="1556"/>
      <c r="Y14" s="3321"/>
      <c r="Z14" s="1146">
        <f t="shared" si="7"/>
        <v>111</v>
      </c>
      <c r="AA14" s="1557">
        <f t="shared" si="3"/>
        <v>1</v>
      </c>
      <c r="AB14" s="1557">
        <f t="shared" si="4"/>
        <v>1</v>
      </c>
      <c r="AC14" s="1557">
        <f t="shared" si="5"/>
        <v>1</v>
      </c>
    </row>
    <row r="15" spans="1:29" ht="69">
      <c r="A15" s="2863"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5"/>
      <c r="M15" s="2117"/>
      <c r="N15" s="2117"/>
      <c r="O15" s="2124"/>
      <c r="P15" s="3409" t="s">
        <v>540</v>
      </c>
      <c r="Q15" s="1558" t="str">
        <f t="shared" si="6"/>
        <v>产业集聚程度</v>
      </c>
      <c r="R15" s="1559" t="s">
        <v>8</v>
      </c>
      <c r="S15" s="1560">
        <f t="shared" si="0"/>
        <v>100</v>
      </c>
      <c r="T15" s="1559" t="s">
        <v>8</v>
      </c>
      <c r="U15" s="1560">
        <f t="shared" si="1"/>
        <v>100</v>
      </c>
      <c r="V15" s="1559" t="s">
        <v>8</v>
      </c>
      <c r="W15" s="1560">
        <f t="shared" si="2"/>
        <v>100</v>
      </c>
      <c r="X15" s="1553"/>
      <c r="Y15" s="3409"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5"/>
      <c r="M16" s="2117"/>
      <c r="N16" s="2117"/>
      <c r="O16" s="2124"/>
      <c r="P16" s="3410"/>
      <c r="Q16" s="1558"/>
      <c r="R16" s="1559"/>
      <c r="S16" s="1560"/>
      <c r="T16" s="1559"/>
      <c r="U16" s="1560"/>
      <c r="V16" s="1559"/>
      <c r="W16" s="1560"/>
      <c r="X16" s="1553"/>
      <c r="Y16" s="3410"/>
      <c r="Z16" s="1561"/>
      <c r="AA16" s="1562">
        <v>1</v>
      </c>
      <c r="AB16" s="1562">
        <v>1</v>
      </c>
      <c r="AC16" s="156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5"/>
      <c r="M17" s="2117"/>
      <c r="N17" s="2117"/>
      <c r="O17" s="2124"/>
      <c r="P17" s="3410"/>
      <c r="Q17" s="1558" t="str">
        <f>B17</f>
        <v>交通便捷度</v>
      </c>
      <c r="R17" s="1559" t="s">
        <v>8</v>
      </c>
      <c r="S17" s="1560">
        <f>F17</f>
        <v>100</v>
      </c>
      <c r="T17" s="1559" t="s">
        <v>8</v>
      </c>
      <c r="U17" s="1560">
        <f>H17</f>
        <v>100</v>
      </c>
      <c r="V17" s="1559" t="s">
        <v>8</v>
      </c>
      <c r="W17" s="1560">
        <f>J17</f>
        <v>100</v>
      </c>
      <c r="X17" s="1553"/>
      <c r="Y17" s="3410"/>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5"/>
      <c r="M18" s="2117"/>
      <c r="N18" s="2117"/>
      <c r="O18" s="2124"/>
      <c r="P18" s="3410"/>
      <c r="Q18" s="1558"/>
      <c r="R18" s="1559"/>
      <c r="S18" s="1560"/>
      <c r="T18" s="1559"/>
      <c r="U18" s="1560"/>
      <c r="V18" s="1559"/>
      <c r="W18" s="1560"/>
      <c r="X18" s="1553"/>
      <c r="Y18" s="3410"/>
      <c r="Z18" s="1561"/>
      <c r="AA18" s="1562">
        <v>1</v>
      </c>
      <c r="AB18" s="1562">
        <v>1</v>
      </c>
      <c r="AC18" s="1562">
        <v>1</v>
      </c>
    </row>
    <row r="19" spans="1:29" ht="41.4">
      <c r="A19" s="532"/>
      <c r="B19" s="2565"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5"/>
      <c r="M19" s="2117"/>
      <c r="N19" s="2117"/>
      <c r="O19" s="2124"/>
      <c r="P19" s="3410"/>
      <c r="Q19" s="1558" t="str">
        <f>B19</f>
        <v>公共配套设施</v>
      </c>
      <c r="R19" s="1559" t="s">
        <v>8</v>
      </c>
      <c r="S19" s="1560">
        <f>F19</f>
        <v>100</v>
      </c>
      <c r="T19" s="1559" t="s">
        <v>8</v>
      </c>
      <c r="U19" s="1560">
        <f>H19</f>
        <v>100</v>
      </c>
      <c r="V19" s="1559" t="s">
        <v>8</v>
      </c>
      <c r="W19" s="1560">
        <f>J19</f>
        <v>100</v>
      </c>
      <c r="X19" s="1553"/>
      <c r="Y19" s="3410"/>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5"/>
      <c r="M20" s="2117"/>
      <c r="N20" s="2117"/>
      <c r="O20" s="2124"/>
      <c r="P20" s="3410"/>
      <c r="Q20" s="1558"/>
      <c r="R20" s="1559"/>
      <c r="S20" s="1560"/>
      <c r="T20" s="1559"/>
      <c r="U20" s="1560"/>
      <c r="V20" s="1559"/>
      <c r="W20" s="1560"/>
      <c r="X20" s="1553"/>
      <c r="Y20" s="3410"/>
      <c r="Z20" s="1561"/>
      <c r="AA20" s="1562">
        <v>1</v>
      </c>
      <c r="AB20" s="1562">
        <v>1</v>
      </c>
      <c r="AC20" s="1562">
        <v>1</v>
      </c>
    </row>
    <row r="21" spans="1:29" ht="41.4">
      <c r="A21" s="532"/>
      <c r="B21" s="2553"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5"/>
      <c r="M21" s="2117"/>
      <c r="N21" s="2117"/>
      <c r="O21" s="2124"/>
      <c r="P21" s="3410"/>
      <c r="Q21" s="2541" t="str">
        <f>B21</f>
        <v>基础设施水平</v>
      </c>
      <c r="R21" s="1559" t="s">
        <v>8</v>
      </c>
      <c r="S21" s="1560">
        <f>F21</f>
        <v>100</v>
      </c>
      <c r="T21" s="1559" t="s">
        <v>8</v>
      </c>
      <c r="U21" s="1560">
        <f>H21</f>
        <v>100</v>
      </c>
      <c r="V21" s="1559" t="s">
        <v>8</v>
      </c>
      <c r="W21" s="1560">
        <f>J21</f>
        <v>100</v>
      </c>
      <c r="X21" s="2543"/>
      <c r="Y21" s="3410"/>
      <c r="Z21" s="2542"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4"/>
      <c r="L22" s="2125"/>
      <c r="M22" s="2117"/>
      <c r="N22" s="2117"/>
      <c r="O22" s="2124"/>
      <c r="P22" s="3410"/>
      <c r="Q22" s="2541"/>
      <c r="R22" s="1559"/>
      <c r="S22" s="1560"/>
      <c r="T22" s="1559"/>
      <c r="U22" s="1560"/>
      <c r="V22" s="1559"/>
      <c r="W22" s="1560"/>
      <c r="X22" s="2543"/>
      <c r="Y22" s="3410"/>
      <c r="Z22" s="2542"/>
      <c r="AA22" s="1562">
        <v>1</v>
      </c>
      <c r="AB22" s="1562">
        <v>1</v>
      </c>
      <c r="AC22" s="1562">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5"/>
      <c r="M23" s="2117"/>
      <c r="N23" s="2117"/>
      <c r="O23" s="2124"/>
      <c r="P23" s="3410"/>
      <c r="Q23" s="1558" t="str">
        <f>B23</f>
        <v>环境质量</v>
      </c>
      <c r="R23" s="1559" t="s">
        <v>8</v>
      </c>
      <c r="S23" s="1560">
        <f>F23</f>
        <v>100</v>
      </c>
      <c r="T23" s="1559" t="s">
        <v>8</v>
      </c>
      <c r="U23" s="1560">
        <f>H23</f>
        <v>100</v>
      </c>
      <c r="V23" s="1559" t="s">
        <v>8</v>
      </c>
      <c r="W23" s="1560">
        <f>J23</f>
        <v>100</v>
      </c>
      <c r="X23" s="1553"/>
      <c r="Y23" s="3410"/>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5"/>
      <c r="M24" s="2117"/>
      <c r="N24" s="2117"/>
      <c r="O24" s="2124"/>
      <c r="P24" s="3410"/>
      <c r="Q24" s="1558"/>
      <c r="R24" s="1559"/>
      <c r="S24" s="1560"/>
      <c r="T24" s="1559"/>
      <c r="U24" s="1560"/>
      <c r="V24" s="1559"/>
      <c r="W24" s="1560"/>
      <c r="X24" s="1553"/>
      <c r="Y24" s="3410"/>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410"/>
      <c r="Q25" s="1558">
        <f>B25</f>
        <v>111</v>
      </c>
      <c r="R25" s="1559" t="s">
        <v>8</v>
      </c>
      <c r="S25" s="1560">
        <f>F25</f>
        <v>100</v>
      </c>
      <c r="T25" s="1559" t="s">
        <v>8</v>
      </c>
      <c r="U25" s="1560">
        <f>H25</f>
        <v>100</v>
      </c>
      <c r="V25" s="1559" t="s">
        <v>8</v>
      </c>
      <c r="W25" s="1560">
        <f>J25</f>
        <v>100</v>
      </c>
      <c r="X25" s="1553"/>
      <c r="Y25" s="3410"/>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410"/>
      <c r="Q26" s="1558">
        <f t="shared" ref="Q26:Q40" si="11">B26</f>
        <v>111</v>
      </c>
      <c r="R26" s="1559" t="s">
        <v>8</v>
      </c>
      <c r="S26" s="1560">
        <f>F26</f>
        <v>100</v>
      </c>
      <c r="T26" s="1559" t="s">
        <v>8</v>
      </c>
      <c r="U26" s="1560">
        <f>H26</f>
        <v>100</v>
      </c>
      <c r="V26" s="1559" t="s">
        <v>8</v>
      </c>
      <c r="W26" s="1560">
        <f>J26</f>
        <v>100</v>
      </c>
      <c r="X26" s="1553"/>
      <c r="Y26" s="3410"/>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410"/>
      <c r="Q27" s="1147">
        <f t="shared" si="11"/>
        <v>111</v>
      </c>
      <c r="R27" s="1554" t="s">
        <v>8</v>
      </c>
      <c r="S27" s="1555">
        <f>F27</f>
        <v>100</v>
      </c>
      <c r="T27" s="1554" t="s">
        <v>8</v>
      </c>
      <c r="U27" s="1555">
        <f>H27</f>
        <v>100</v>
      </c>
      <c r="V27" s="1554" t="s">
        <v>8</v>
      </c>
      <c r="W27" s="1555">
        <f>J27</f>
        <v>100</v>
      </c>
      <c r="X27" s="1556"/>
      <c r="Y27" s="3410"/>
      <c r="Z27" s="1146">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5"/>
      <c r="M28" s="2117"/>
      <c r="N28" s="2117"/>
      <c r="O28" s="2124"/>
      <c r="P28" s="3410"/>
      <c r="Q28" s="1558">
        <f t="shared" si="11"/>
        <v>111</v>
      </c>
      <c r="R28" s="1559" t="s">
        <v>8</v>
      </c>
      <c r="S28" s="1560">
        <f t="shared" ref="S28:S40" si="12">F28</f>
        <v>100</v>
      </c>
      <c r="T28" s="1559" t="s">
        <v>8</v>
      </c>
      <c r="U28" s="1560">
        <f t="shared" ref="U28:U40" si="13">H28</f>
        <v>100</v>
      </c>
      <c r="V28" s="1559" t="s">
        <v>8</v>
      </c>
      <c r="W28" s="1560">
        <f t="shared" ref="W28:W40" si="14">J28</f>
        <v>100</v>
      </c>
      <c r="X28" s="1553"/>
      <c r="Y28" s="3410"/>
      <c r="Z28" s="1561">
        <f t="shared" ref="Z28:Z40" si="15">Q28</f>
        <v>111</v>
      </c>
      <c r="AA28" s="1562">
        <f t="shared" si="3"/>
        <v>1</v>
      </c>
      <c r="AB28" s="1562">
        <f t="shared" si="4"/>
        <v>1</v>
      </c>
      <c r="AC28" s="1562">
        <f t="shared" si="5"/>
        <v>1</v>
      </c>
    </row>
    <row r="29" spans="1:29" ht="15">
      <c r="A29" s="2860"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5"/>
      <c r="M29" s="2117"/>
      <c r="N29" s="2117"/>
      <c r="O29" s="2124"/>
      <c r="P29" s="3411" t="s">
        <v>550</v>
      </c>
      <c r="Q29" s="1558" t="str">
        <f t="shared" si="11"/>
        <v>建筑类型</v>
      </c>
      <c r="R29" s="1559" t="s">
        <v>8</v>
      </c>
      <c r="S29" s="1560">
        <f t="shared" si="12"/>
        <v>100</v>
      </c>
      <c r="T29" s="1559" t="s">
        <v>8</v>
      </c>
      <c r="U29" s="1560">
        <f t="shared" si="13"/>
        <v>100</v>
      </c>
      <c r="V29" s="1559" t="s">
        <v>8</v>
      </c>
      <c r="W29" s="1560">
        <f t="shared" si="14"/>
        <v>100</v>
      </c>
      <c r="X29" s="1553"/>
      <c r="Y29" s="3412"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412"/>
      <c r="Q30" s="1590" t="str">
        <f t="shared" si="11"/>
        <v>项目建筑规模</v>
      </c>
      <c r="R30" s="1563" t="s">
        <v>8</v>
      </c>
      <c r="S30" s="1564" t="e">
        <f t="shared" si="12"/>
        <v>#N/A</v>
      </c>
      <c r="T30" s="1563" t="s">
        <v>8</v>
      </c>
      <c r="U30" s="1564" t="e">
        <f t="shared" si="13"/>
        <v>#N/A</v>
      </c>
      <c r="V30" s="1563" t="s">
        <v>8</v>
      </c>
      <c r="W30" s="1564" t="e">
        <f t="shared" si="14"/>
        <v>#N/A</v>
      </c>
      <c r="X30" s="1565"/>
      <c r="Y30" s="3412"/>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412"/>
      <c r="Q31" s="1558" t="str">
        <f t="shared" si="11"/>
        <v>建筑结构</v>
      </c>
      <c r="R31" s="1559" t="s">
        <v>8</v>
      </c>
      <c r="S31" s="1560">
        <f t="shared" si="12"/>
        <v>100</v>
      </c>
      <c r="T31" s="1559" t="s">
        <v>8</v>
      </c>
      <c r="U31" s="1560">
        <f t="shared" si="13"/>
        <v>100</v>
      </c>
      <c r="V31" s="1559" t="s">
        <v>8</v>
      </c>
      <c r="W31" s="1560">
        <f t="shared" si="14"/>
        <v>100</v>
      </c>
      <c r="X31" s="1553"/>
      <c r="Y31" s="3412"/>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412"/>
      <c r="Q32" s="1558" t="str">
        <f t="shared" si="11"/>
        <v>公共部分装修</v>
      </c>
      <c r="R32" s="1559" t="s">
        <v>8</v>
      </c>
      <c r="S32" s="1560">
        <f t="shared" si="12"/>
        <v>100</v>
      </c>
      <c r="T32" s="1559" t="s">
        <v>8</v>
      </c>
      <c r="U32" s="1560">
        <f t="shared" si="13"/>
        <v>100</v>
      </c>
      <c r="V32" s="1559" t="s">
        <v>8</v>
      </c>
      <c r="W32" s="1560">
        <f t="shared" si="14"/>
        <v>100</v>
      </c>
      <c r="X32" s="1553"/>
      <c r="Y32" s="3412"/>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5"/>
      <c r="M33" s="2117"/>
      <c r="N33" s="2117"/>
      <c r="O33" s="2124"/>
      <c r="P33" s="3412"/>
      <c r="Q33" s="1558" t="str">
        <f t="shared" si="11"/>
        <v>成新度</v>
      </c>
      <c r="R33" s="1559" t="s">
        <v>8</v>
      </c>
      <c r="S33" s="1560" t="e">
        <f t="shared" si="12"/>
        <v>#N/A</v>
      </c>
      <c r="T33" s="1559" t="s">
        <v>8</v>
      </c>
      <c r="U33" s="1560" t="e">
        <f t="shared" si="13"/>
        <v>#N/A</v>
      </c>
      <c r="V33" s="1559" t="s">
        <v>8</v>
      </c>
      <c r="W33" s="1560" t="e">
        <f t="shared" si="14"/>
        <v>#N/A</v>
      </c>
      <c r="X33" s="1553"/>
      <c r="Y33" s="3412"/>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412"/>
      <c r="Q34" s="1147" t="str">
        <f t="shared" si="11"/>
        <v>物业管理</v>
      </c>
      <c r="R34" s="1554" t="s">
        <v>8</v>
      </c>
      <c r="S34" s="1555">
        <f t="shared" si="12"/>
        <v>100</v>
      </c>
      <c r="T34" s="1554" t="s">
        <v>8</v>
      </c>
      <c r="U34" s="1555">
        <f t="shared" si="13"/>
        <v>100</v>
      </c>
      <c r="V34" s="1554" t="s">
        <v>8</v>
      </c>
      <c r="W34" s="1555">
        <f t="shared" si="14"/>
        <v>100</v>
      </c>
      <c r="X34" s="1556"/>
      <c r="Y34" s="3412"/>
      <c r="Z34" s="1146" t="str">
        <f t="shared" si="15"/>
        <v>物业管理</v>
      </c>
      <c r="AA34" s="1557">
        <f t="shared" si="3"/>
        <v>1</v>
      </c>
      <c r="AB34" s="1557">
        <f t="shared" si="4"/>
        <v>1</v>
      </c>
      <c r="AC34" s="1557">
        <f t="shared" si="5"/>
        <v>1</v>
      </c>
    </row>
    <row r="35" spans="1:29" ht="15">
      <c r="A35" s="594"/>
      <c r="B35" s="1878"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412" t="s">
        <v>550</v>
      </c>
      <c r="Q35" s="1558" t="str">
        <f t="shared" si="11"/>
        <v>市政基础设施</v>
      </c>
      <c r="R35" s="1559" t="s">
        <v>8</v>
      </c>
      <c r="S35" s="1560">
        <f t="shared" si="12"/>
        <v>100</v>
      </c>
      <c r="T35" s="1559" t="s">
        <v>8</v>
      </c>
      <c r="U35" s="1560">
        <f t="shared" si="13"/>
        <v>100</v>
      </c>
      <c r="V35" s="1559" t="s">
        <v>8</v>
      </c>
      <c r="W35" s="1560">
        <f t="shared" si="14"/>
        <v>100</v>
      </c>
      <c r="X35" s="1553"/>
      <c r="Y35" s="3412"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412"/>
      <c r="Q36" s="1558" t="str">
        <f t="shared" si="11"/>
        <v>内部装修</v>
      </c>
      <c r="R36" s="1559" t="s">
        <v>8</v>
      </c>
      <c r="S36" s="1560">
        <f t="shared" si="12"/>
        <v>100</v>
      </c>
      <c r="T36" s="1559" t="s">
        <v>8</v>
      </c>
      <c r="U36" s="1560">
        <f t="shared" si="13"/>
        <v>100</v>
      </c>
      <c r="V36" s="1559" t="s">
        <v>8</v>
      </c>
      <c r="W36" s="1560">
        <f t="shared" si="14"/>
        <v>100</v>
      </c>
      <c r="X36" s="1553"/>
      <c r="Y36" s="3412"/>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412"/>
      <c r="Q37" s="1558" t="str">
        <f t="shared" si="11"/>
        <v>内部装修状况</v>
      </c>
      <c r="R37" s="1559" t="s">
        <v>8</v>
      </c>
      <c r="S37" s="1560">
        <f t="shared" si="12"/>
        <v>100</v>
      </c>
      <c r="T37" s="1559" t="s">
        <v>8</v>
      </c>
      <c r="U37" s="1560">
        <f t="shared" si="13"/>
        <v>100</v>
      </c>
      <c r="V37" s="1559" t="s">
        <v>8</v>
      </c>
      <c r="W37" s="1560">
        <f t="shared" si="14"/>
        <v>100</v>
      </c>
      <c r="X37" s="1553"/>
      <c r="Y37" s="3412"/>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3"/>
      <c r="M38" s="2154"/>
      <c r="N38" s="2154"/>
      <c r="O38" s="2126"/>
      <c r="P38" s="3412"/>
      <c r="Q38" s="1590">
        <f t="shared" si="11"/>
        <v>111</v>
      </c>
      <c r="R38" s="1563" t="s">
        <v>8</v>
      </c>
      <c r="S38" s="1564">
        <f t="shared" si="12"/>
        <v>100</v>
      </c>
      <c r="T38" s="1563" t="s">
        <v>8</v>
      </c>
      <c r="U38" s="1564">
        <f t="shared" si="13"/>
        <v>100</v>
      </c>
      <c r="V38" s="1563" t="s">
        <v>8</v>
      </c>
      <c r="W38" s="1564">
        <f t="shared" si="14"/>
        <v>100</v>
      </c>
      <c r="X38" s="1565"/>
      <c r="Y38" s="3412"/>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5"/>
      <c r="M39" s="2117"/>
      <c r="N39" s="2117"/>
      <c r="O39" s="2124"/>
      <c r="P39" s="3412"/>
      <c r="Q39" s="1558">
        <f t="shared" si="11"/>
        <v>111</v>
      </c>
      <c r="R39" s="1559" t="s">
        <v>8</v>
      </c>
      <c r="S39" s="1560">
        <f t="shared" si="12"/>
        <v>100</v>
      </c>
      <c r="T39" s="1559" t="s">
        <v>8</v>
      </c>
      <c r="U39" s="1560">
        <f t="shared" si="13"/>
        <v>100</v>
      </c>
      <c r="V39" s="1559" t="s">
        <v>8</v>
      </c>
      <c r="W39" s="1560">
        <f t="shared" si="14"/>
        <v>100</v>
      </c>
      <c r="X39" s="1553"/>
      <c r="Y39" s="3412"/>
      <c r="Z39" s="1561">
        <f t="shared" si="15"/>
        <v>111</v>
      </c>
      <c r="AA39" s="1562">
        <f t="shared" si="3"/>
        <v>1</v>
      </c>
      <c r="AB39" s="1562">
        <f t="shared" si="4"/>
        <v>1</v>
      </c>
      <c r="AC39" s="1562">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5"/>
      <c r="M40" s="2117"/>
      <c r="N40" s="2117"/>
      <c r="O40" s="2124"/>
      <c r="P40" s="3493"/>
      <c r="Q40" s="1558">
        <f t="shared" si="11"/>
        <v>111</v>
      </c>
      <c r="R40" s="1559" t="s">
        <v>8</v>
      </c>
      <c r="S40" s="1560">
        <f t="shared" si="12"/>
        <v>100</v>
      </c>
      <c r="T40" s="1559" t="s">
        <v>8</v>
      </c>
      <c r="U40" s="1560">
        <f t="shared" si="13"/>
        <v>100</v>
      </c>
      <c r="V40" s="1559" t="s">
        <v>8</v>
      </c>
      <c r="W40" s="1560">
        <f t="shared" si="14"/>
        <v>100</v>
      </c>
      <c r="X40" s="1553"/>
      <c r="Y40" s="3493"/>
      <c r="Z40" s="1561">
        <f t="shared" si="15"/>
        <v>111</v>
      </c>
      <c r="AA40" s="1562">
        <f t="shared" si="3"/>
        <v>1</v>
      </c>
      <c r="AB40" s="1562">
        <f t="shared" si="4"/>
        <v>1</v>
      </c>
      <c r="AC40" s="1562">
        <f t="shared" si="5"/>
        <v>1</v>
      </c>
    </row>
    <row r="41" spans="1:29" ht="14.4">
      <c r="A41" s="607" t="s">
        <v>736</v>
      </c>
      <c r="B41" s="887"/>
      <c r="C41" s="2589" t="s">
        <v>1</v>
      </c>
      <c r="D41" s="2590"/>
      <c r="E41" s="2591"/>
      <c r="F41" s="2592"/>
      <c r="G41" s="2593"/>
      <c r="H41" s="2594"/>
      <c r="I41" s="2591"/>
      <c r="J41" s="2594"/>
      <c r="K41" s="1596"/>
      <c r="L41" s="2127"/>
      <c r="M41" s="2128"/>
      <c r="N41" s="2117"/>
      <c r="O41" s="2128"/>
      <c r="P41" s="3375" t="str">
        <f>A41</f>
        <v>成交单价（元/平方米）</v>
      </c>
      <c r="Q41" s="3375"/>
      <c r="R41" s="3492">
        <f>E41</f>
        <v>0</v>
      </c>
      <c r="S41" s="3492"/>
      <c r="T41" s="3492">
        <f>G41</f>
        <v>0</v>
      </c>
      <c r="U41" s="3492"/>
      <c r="V41" s="3492">
        <f>I41</f>
        <v>0</v>
      </c>
      <c r="W41" s="3492"/>
      <c r="X41" s="1545"/>
      <c r="Y41" s="1567"/>
      <c r="Z41" s="1545"/>
      <c r="AA41" s="1545"/>
      <c r="AB41" s="1545"/>
      <c r="AC41" s="1545"/>
    </row>
    <row r="42" spans="1:29" ht="15" thickBot="1">
      <c r="A42" s="615" t="s">
        <v>2756</v>
      </c>
      <c r="B42" s="888"/>
      <c r="C42" s="2595" t="e">
        <f>R43</f>
        <v>#DIV/0!</v>
      </c>
      <c r="D42" s="2596"/>
      <c r="E42" s="2597" t="e">
        <f>R42</f>
        <v>#DIV/0!</v>
      </c>
      <c r="F42" s="2597"/>
      <c r="G42" s="2595" t="e">
        <f>T42</f>
        <v>#DIV/0!</v>
      </c>
      <c r="H42" s="2596"/>
      <c r="I42" s="2597" t="e">
        <f>V42</f>
        <v>#DIV/0!</v>
      </c>
      <c r="J42" s="2596"/>
      <c r="K42" s="1597"/>
      <c r="L42" s="2127"/>
      <c r="M42" s="2128"/>
      <c r="N42" s="2117"/>
      <c r="O42" s="2128"/>
      <c r="P42" s="3375" t="str">
        <f>A42</f>
        <v>比较价格（元/平方米）</v>
      </c>
      <c r="Q42" s="3375"/>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45"/>
      <c r="Y42" s="1545"/>
      <c r="Z42" s="1545"/>
      <c r="AA42" s="1545"/>
      <c r="AB42" s="1545"/>
      <c r="AC42" s="1545"/>
    </row>
    <row r="43" spans="1:29" ht="15" thickBot="1">
      <c r="A43" s="621" t="s">
        <v>2929</v>
      </c>
      <c r="B43" s="622"/>
      <c r="C43" s="2598" t="e">
        <f>R43</f>
        <v>#DIV/0!</v>
      </c>
      <c r="D43" s="2598"/>
      <c r="E43" s="2598"/>
      <c r="F43" s="2598"/>
      <c r="G43" s="2598"/>
      <c r="H43" s="2598"/>
      <c r="I43" s="2598"/>
      <c r="J43" s="2598"/>
      <c r="K43" s="1598"/>
      <c r="L43" s="2127"/>
      <c r="M43" s="2128"/>
      <c r="N43" s="2128"/>
      <c r="O43" s="2128"/>
      <c r="P43" s="3372" t="str">
        <f>A43</f>
        <v>估价对象XX用房的比较价格（楼面单价，元/平方米）</v>
      </c>
      <c r="Q43" s="3373"/>
      <c r="R43" s="3491" t="e">
        <f>IF(F1="售价",ROUND(AVERAGE(R42:V42),0),ROUND(AVERAGE(R42:V42),1))</f>
        <v>#DIV/0!</v>
      </c>
      <c r="S43" s="3491"/>
      <c r="T43" s="3491"/>
      <c r="U43" s="3491"/>
      <c r="V43" s="3491"/>
      <c r="W43" s="3491"/>
      <c r="X43" s="1545"/>
      <c r="Y43" s="1545"/>
      <c r="Z43" s="1545"/>
      <c r="AA43" s="1545"/>
      <c r="AB43" s="1545"/>
      <c r="AC43" s="1545"/>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1" customFormat="1" ht="13.5" customHeight="1">
      <c r="A48" s="2129"/>
      <c r="B48" s="2129"/>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1"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2.2" thickBot="1">
      <c r="A51" s="1570" t="s">
        <v>574</v>
      </c>
      <c r="B51" s="1545"/>
      <c r="C51" s="1569"/>
      <c r="D51" s="1569"/>
      <c r="E51" s="1569"/>
      <c r="F51" s="1571"/>
      <c r="G51" s="1571"/>
      <c r="H51" s="1569"/>
      <c r="I51" s="1569"/>
      <c r="J51" s="1569"/>
      <c r="K51" s="1572"/>
      <c r="L51" s="1568"/>
      <c r="M51" s="1569"/>
      <c r="N51" s="1569"/>
      <c r="O51" s="1569"/>
      <c r="P51" s="2140"/>
      <c r="Q51" s="2141"/>
      <c r="R51" s="2128"/>
      <c r="S51" s="2128"/>
      <c r="T51" s="2128"/>
      <c r="U51" s="2128"/>
      <c r="V51" s="2128"/>
      <c r="W51" s="2128"/>
      <c r="X51" s="2128"/>
      <c r="Y51" s="2128"/>
      <c r="Z51" s="2128"/>
      <c r="AA51" s="2128"/>
      <c r="AB51" s="2128"/>
      <c r="AC51" s="2128"/>
    </row>
    <row r="52" spans="1:29" s="1343" customFormat="1" ht="14.4">
      <c r="A52" s="645" t="s">
        <v>529</v>
      </c>
      <c r="B52" s="646"/>
      <c r="C52" s="2755" t="str">
        <f>YEAR(C7)&amp;"-"&amp;MONTH(C7)</f>
        <v>2020-2</v>
      </c>
      <c r="D52" s="2757">
        <f>EDATE(C52,-1)</f>
        <v>43831</v>
      </c>
      <c r="E52" s="2757">
        <f t="shared" ref="E52:O52" si="16">EDATE(D52,-1)</f>
        <v>43800</v>
      </c>
      <c r="F52" s="2757">
        <f t="shared" si="16"/>
        <v>43770</v>
      </c>
      <c r="G52" s="2757">
        <f t="shared" si="16"/>
        <v>43739</v>
      </c>
      <c r="H52" s="2757">
        <f t="shared" si="16"/>
        <v>43709</v>
      </c>
      <c r="I52" s="2757">
        <f t="shared" si="16"/>
        <v>43678</v>
      </c>
      <c r="J52" s="2757">
        <f t="shared" si="16"/>
        <v>43647</v>
      </c>
      <c r="K52" s="2757">
        <f t="shared" si="16"/>
        <v>43617</v>
      </c>
      <c r="L52" s="2757">
        <f t="shared" si="16"/>
        <v>43586</v>
      </c>
      <c r="M52" s="2757">
        <f t="shared" si="16"/>
        <v>43556</v>
      </c>
      <c r="N52" s="2757">
        <f t="shared" si="16"/>
        <v>43525</v>
      </c>
      <c r="O52" s="2757">
        <f t="shared" si="16"/>
        <v>43497</v>
      </c>
      <c r="P52" s="2143"/>
      <c r="Q52" s="2144"/>
      <c r="R52" s="2144"/>
      <c r="S52" s="2144"/>
      <c r="T52" s="2144"/>
      <c r="U52" s="2144"/>
      <c r="V52" s="2144"/>
      <c r="W52" s="2144"/>
      <c r="X52" s="2144"/>
      <c r="Y52" s="2144"/>
      <c r="Z52" s="2144"/>
      <c r="AA52" s="2144"/>
      <c r="AB52" s="2144"/>
      <c r="AC52" s="2144"/>
    </row>
    <row r="53" spans="1:29" s="1216" customFormat="1">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6" customFormat="1" ht="15" thickBot="1">
      <c r="A54" s="653" t="s">
        <v>575</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6" customFormat="1" ht="14.4">
      <c r="A55" s="659" t="s">
        <v>531</v>
      </c>
      <c r="B55" s="648"/>
      <c r="C55" s="660" t="s">
        <v>576</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6" customFormat="1" ht="14.4"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ht="14.4">
      <c r="A57" s="664" t="s">
        <v>577</v>
      </c>
      <c r="B57" s="665" t="s">
        <v>534</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4.4"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5" customFormat="1" ht="14.4"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5" customFormat="1" ht="14.4"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5" customFormat="1" ht="14.4"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5" customFormat="1" ht="14.4"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5" customFormat="1" ht="14.4"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5" customFormat="1" ht="14.4"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ht="14.4">
      <c r="A70" s="664" t="s">
        <v>539</v>
      </c>
      <c r="B70" s="665" t="s">
        <v>585</v>
      </c>
      <c r="C70" s="703" t="s">
        <v>579</v>
      </c>
      <c r="D70" s="703" t="s">
        <v>580</v>
      </c>
      <c r="E70" s="703" t="s">
        <v>581</v>
      </c>
      <c r="F70" s="703" t="s">
        <v>582</v>
      </c>
      <c r="G70" s="703" t="s">
        <v>583</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 thickTop="1">
      <c r="A72" s="669"/>
      <c r="B72" s="673" t="s">
        <v>586</v>
      </c>
      <c r="C72" s="708" t="s">
        <v>579</v>
      </c>
      <c r="D72" s="708" t="s">
        <v>580</v>
      </c>
      <c r="E72" s="708" t="s">
        <v>581</v>
      </c>
      <c r="F72" s="708" t="s">
        <v>582</v>
      </c>
      <c r="G72" s="708" t="s">
        <v>583</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 thickTop="1">
      <c r="A74" s="669"/>
      <c r="B74" s="1879" t="s">
        <v>2554</v>
      </c>
      <c r="C74" s="708" t="s">
        <v>579</v>
      </c>
      <c r="D74" s="708" t="s">
        <v>580</v>
      </c>
      <c r="E74" s="708" t="s">
        <v>581</v>
      </c>
      <c r="F74" s="708" t="s">
        <v>582</v>
      </c>
      <c r="G74" s="708" t="s">
        <v>583</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 thickTop="1">
      <c r="A76" s="669"/>
      <c r="B76" s="2559" t="s">
        <v>2555</v>
      </c>
      <c r="C76" s="2560" t="s">
        <v>2556</v>
      </c>
      <c r="D76" s="2560" t="s">
        <v>2557</v>
      </c>
      <c r="E76" s="2560" t="s">
        <v>2558</v>
      </c>
      <c r="F76" s="2560" t="s">
        <v>2559</v>
      </c>
      <c r="G76" s="2560" t="s">
        <v>2560</v>
      </c>
      <c r="H76" s="935"/>
      <c r="I76" s="935"/>
      <c r="J76" s="935"/>
      <c r="K76" s="935"/>
      <c r="L76" s="935"/>
      <c r="M76" s="559"/>
      <c r="N76" s="2149"/>
      <c r="O76" s="2149"/>
      <c r="P76" s="2148"/>
      <c r="Q76" s="2141"/>
      <c r="R76" s="2128"/>
      <c r="S76" s="2128"/>
      <c r="T76" s="2128"/>
      <c r="U76" s="2128"/>
      <c r="V76" s="2128"/>
      <c r="W76" s="2128"/>
      <c r="X76" s="2128"/>
      <c r="Y76" s="2128"/>
      <c r="Z76" s="2128"/>
      <c r="AA76" s="2128"/>
      <c r="AB76" s="2128"/>
      <c r="AC76" s="2128"/>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784</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6" customFormat="1" ht="14.4" thickTop="1">
      <c r="A80" s="709"/>
      <c r="B80" s="673">
        <f>B25</f>
        <v>111</v>
      </c>
      <c r="C80" s="688"/>
      <c r="D80" s="688"/>
      <c r="E80" s="688"/>
      <c r="F80" s="688"/>
      <c r="G80" s="688"/>
      <c r="H80" s="688"/>
      <c r="I80" s="688"/>
      <c r="J80" s="688"/>
      <c r="K80" s="688"/>
      <c r="L80" s="890"/>
      <c r="M80" s="891"/>
      <c r="N80" s="2145"/>
      <c r="O80" s="2145"/>
      <c r="P80" s="2148"/>
      <c r="Q80" s="2141"/>
      <c r="R80" s="1976"/>
      <c r="S80" s="1976"/>
      <c r="T80" s="1976"/>
      <c r="U80" s="1976"/>
      <c r="V80" s="1976"/>
      <c r="W80" s="1976"/>
      <c r="X80" s="1976"/>
      <c r="Y80" s="1976"/>
      <c r="Z80" s="1976"/>
      <c r="AA80" s="1976"/>
      <c r="AB80" s="1976"/>
      <c r="AC80" s="1976"/>
    </row>
    <row r="81" spans="1:29" s="1216" customFormat="1" ht="14.4"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6" customFormat="1" ht="14.4" thickTop="1">
      <c r="A82" s="709"/>
      <c r="B82" s="673">
        <f>B26</f>
        <v>111</v>
      </c>
      <c r="C82" s="688"/>
      <c r="D82" s="688"/>
      <c r="E82" s="688"/>
      <c r="F82" s="688"/>
      <c r="G82" s="688"/>
      <c r="H82" s="688"/>
      <c r="I82" s="688"/>
      <c r="J82" s="688"/>
      <c r="K82" s="688"/>
      <c r="L82" s="890"/>
      <c r="M82" s="891"/>
      <c r="N82" s="2145"/>
      <c r="O82" s="2145"/>
      <c r="P82" s="2148"/>
      <c r="Q82" s="2141"/>
      <c r="R82" s="1976"/>
      <c r="S82" s="1976"/>
      <c r="T82" s="1976"/>
      <c r="U82" s="1976"/>
      <c r="V82" s="1976"/>
      <c r="W82" s="1976"/>
      <c r="X82" s="1976"/>
      <c r="Y82" s="1976"/>
      <c r="Z82" s="1976"/>
      <c r="AA82" s="1976"/>
      <c r="AB82" s="1976"/>
      <c r="AC82" s="1976"/>
    </row>
    <row r="83" spans="1:29" s="1216" customFormat="1" ht="14.4"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5" customFormat="1" ht="14.4" thickTop="1">
      <c r="A84" s="687"/>
      <c r="B84" s="673">
        <f>B27</f>
        <v>111</v>
      </c>
      <c r="C84" s="688"/>
      <c r="D84" s="688"/>
      <c r="E84" s="688"/>
      <c r="F84" s="688"/>
      <c r="G84" s="688"/>
      <c r="H84" s="688"/>
      <c r="I84" s="688"/>
      <c r="J84" s="688"/>
      <c r="K84" s="688"/>
      <c r="L84" s="890"/>
      <c r="M84" s="891"/>
      <c r="N84" s="2150"/>
      <c r="O84" s="2150"/>
      <c r="P84" s="2151"/>
      <c r="Q84" s="2152"/>
      <c r="R84" s="2153"/>
      <c r="S84" s="2153"/>
      <c r="T84" s="2153"/>
      <c r="U84" s="2153"/>
      <c r="V84" s="2153"/>
      <c r="W84" s="2153"/>
      <c r="X84" s="2153"/>
      <c r="Y84" s="2153"/>
      <c r="Z84" s="2153"/>
      <c r="AA84" s="2153"/>
      <c r="AB84" s="2153"/>
      <c r="AC84" s="2153"/>
    </row>
    <row r="85" spans="1:29" s="1335" customFormat="1" ht="14.4"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4.4"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4.4" thickBot="1">
      <c r="A87" s="893"/>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ht="14.4">
      <c r="A88" s="664" t="s">
        <v>551</v>
      </c>
      <c r="B88" s="665" t="s">
        <v>747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5"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5" customFormat="1" ht="14.4"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751</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4">
        <v>0.5</v>
      </c>
      <c r="D98" s="894">
        <v>0.6</v>
      </c>
      <c r="E98" s="894">
        <v>0.7</v>
      </c>
      <c r="F98" s="894">
        <v>0.8</v>
      </c>
      <c r="G98" s="894">
        <v>0.9</v>
      </c>
      <c r="H98" s="894">
        <v>1.0001</v>
      </c>
      <c r="I98" s="905"/>
      <c r="J98" s="905"/>
      <c r="K98" s="906"/>
      <c r="L98" s="907"/>
      <c r="M98" s="908"/>
      <c r="N98" s="2147"/>
      <c r="O98" s="2147"/>
      <c r="P98" s="2148"/>
      <c r="Q98" s="2141"/>
      <c r="R98" s="2128"/>
      <c r="S98" s="2128"/>
      <c r="T98" s="2128"/>
      <c r="U98" s="2128"/>
      <c r="V98" s="2128"/>
      <c r="W98" s="2128"/>
      <c r="X98" s="2128"/>
      <c r="Y98" s="2128"/>
      <c r="Z98" s="2128"/>
      <c r="AA98" s="2128"/>
      <c r="AB98" s="2128"/>
      <c r="AC98" s="2128"/>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5" customFormat="1" ht="15" thickTop="1">
      <c r="A100" s="728"/>
      <c r="B100" s="673" t="s">
        <v>753</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2553</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755</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5" customFormat="1" ht="14.4"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5" customFormat="1" ht="14.4"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4.4"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4.4"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4.4" thickBot="1">
      <c r="A113" s="893"/>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0"/>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1" t="s">
        <v>2073</v>
      </c>
      <c r="F3" s="851">
        <f>SUMIF('数据-取费表'!A5:A15,D1,'数据-取费表'!AH5:AH15)</f>
        <v>0</v>
      </c>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4.4">
      <c r="A4" s="512" t="s">
        <v>797</v>
      </c>
      <c r="B4" s="513"/>
      <c r="C4" s="3381" t="s">
        <v>798</v>
      </c>
      <c r="D4" s="3382"/>
      <c r="E4" s="3381" t="s">
        <v>799</v>
      </c>
      <c r="F4" s="3382"/>
      <c r="G4" s="3381" t="s">
        <v>800</v>
      </c>
      <c r="H4" s="3382"/>
      <c r="I4" s="3381" t="s">
        <v>801</v>
      </c>
      <c r="J4" s="3382"/>
      <c r="K4" s="514" t="s">
        <v>802</v>
      </c>
      <c r="L4" s="2116"/>
      <c r="M4" s="2117"/>
      <c r="N4" s="2117"/>
      <c r="O4" s="2117"/>
      <c r="P4" s="3383" t="s">
        <v>803</v>
      </c>
      <c r="Q4" s="3384"/>
      <c r="R4" s="3389" t="s">
        <v>799</v>
      </c>
      <c r="S4" s="3390"/>
      <c r="T4" s="3389" t="s">
        <v>800</v>
      </c>
      <c r="U4" s="3390"/>
      <c r="V4" s="3376" t="s">
        <v>801</v>
      </c>
      <c r="W4" s="3376"/>
      <c r="X4" s="1553"/>
      <c r="Y4" s="3389" t="s">
        <v>803</v>
      </c>
      <c r="Z4" s="3390"/>
      <c r="AA4" s="3378" t="s">
        <v>799</v>
      </c>
      <c r="AB4" s="3379" t="s">
        <v>800</v>
      </c>
      <c r="AC4" s="3378" t="s">
        <v>801</v>
      </c>
    </row>
    <row r="5" spans="1:29">
      <c r="A5" s="515"/>
      <c r="B5" s="516"/>
      <c r="C5" s="3397" t="s">
        <v>2923</v>
      </c>
      <c r="D5" s="3398"/>
      <c r="E5" s="3397" t="s">
        <v>2924</v>
      </c>
      <c r="F5" s="3398"/>
      <c r="G5" s="3397" t="s">
        <v>2925</v>
      </c>
      <c r="H5" s="3398"/>
      <c r="I5" s="3397" t="s">
        <v>2926</v>
      </c>
      <c r="J5" s="3398"/>
      <c r="K5" s="514"/>
      <c r="L5" s="2116"/>
      <c r="M5" s="2117"/>
      <c r="N5" s="2117"/>
      <c r="O5" s="2117"/>
      <c r="P5" s="3385"/>
      <c r="Q5" s="3386"/>
      <c r="R5" s="3391"/>
      <c r="S5" s="3392"/>
      <c r="T5" s="3391"/>
      <c r="U5" s="3392"/>
      <c r="V5" s="3376"/>
      <c r="W5" s="3376"/>
      <c r="X5" s="1553"/>
      <c r="Y5" s="3391"/>
      <c r="Z5" s="3392"/>
      <c r="AA5" s="3379"/>
      <c r="AB5" s="3379"/>
      <c r="AC5" s="3379"/>
    </row>
    <row r="6" spans="1:29" ht="15" thickBot="1">
      <c r="A6" s="517"/>
      <c r="B6" s="518"/>
      <c r="C6" s="3395" t="s">
        <v>2927</v>
      </c>
      <c r="D6" s="3396"/>
      <c r="E6" s="3399" t="s">
        <v>2927</v>
      </c>
      <c r="F6" s="3400"/>
      <c r="G6" s="3395" t="s">
        <v>2927</v>
      </c>
      <c r="H6" s="3396"/>
      <c r="I6" s="3395" t="s">
        <v>2927</v>
      </c>
      <c r="J6" s="3396"/>
      <c r="K6" s="514" t="s">
        <v>528</v>
      </c>
      <c r="L6" s="2116"/>
      <c r="M6" s="2117"/>
      <c r="N6" s="2117"/>
      <c r="O6" s="2117"/>
      <c r="P6" s="3387"/>
      <c r="Q6" s="3388"/>
      <c r="R6" s="3391"/>
      <c r="S6" s="3392"/>
      <c r="T6" s="3393"/>
      <c r="U6" s="3394"/>
      <c r="V6" s="3376"/>
      <c r="W6" s="3376"/>
      <c r="X6" s="1553"/>
      <c r="Y6" s="3393"/>
      <c r="Z6" s="3394"/>
      <c r="AA6" s="3380"/>
      <c r="AB6" s="3380"/>
      <c r="AC6" s="3380"/>
    </row>
    <row r="7" spans="1:29" s="1216" customFormat="1" ht="15" thickBot="1">
      <c r="A7" s="2865"/>
      <c r="B7" s="2872" t="s">
        <v>529</v>
      </c>
      <c r="C7" s="519">
        <f>'数据-取费表'!B2</f>
        <v>43889</v>
      </c>
      <c r="D7" s="520">
        <v>100</v>
      </c>
      <c r="E7" s="521"/>
      <c r="F7" s="522">
        <f>SUMIF(48:48,YEAR(E7)&amp;"-"&amp;MONTH(E7),49:49)</f>
        <v>0</v>
      </c>
      <c r="G7" s="523"/>
      <c r="H7" s="520">
        <f>SUMIF(48:48,YEAR(G7)&amp;"-"&amp;MONTH(G7),49:49)</f>
        <v>0</v>
      </c>
      <c r="I7" s="523"/>
      <c r="J7" s="520">
        <f>SUMIF(48:48,YEAR(I7)&amp;"-"&amp;MONTH(I7),49:49)</f>
        <v>0</v>
      </c>
      <c r="K7" s="524"/>
      <c r="L7" s="2118"/>
      <c r="M7" s="2119"/>
      <c r="N7" s="2119"/>
      <c r="O7" s="2119"/>
      <c r="P7" s="3406" t="s">
        <v>530</v>
      </c>
      <c r="Q7" s="3408"/>
      <c r="R7" s="1554" t="s">
        <v>8</v>
      </c>
      <c r="S7" s="1555">
        <f t="shared" ref="S7:S14" si="0">F7</f>
        <v>0</v>
      </c>
      <c r="T7" s="1554" t="s">
        <v>8</v>
      </c>
      <c r="U7" s="1555">
        <f t="shared" ref="U7:U14" si="1">H7</f>
        <v>0</v>
      </c>
      <c r="V7" s="1554" t="s">
        <v>8</v>
      </c>
      <c r="W7" s="1555">
        <f t="shared" ref="W7:W14" si="2">J7</f>
        <v>0</v>
      </c>
      <c r="X7" s="1556"/>
      <c r="Y7" s="3406" t="s">
        <v>530</v>
      </c>
      <c r="Z7" s="3407"/>
      <c r="AA7" s="1557" t="e">
        <f>D7/F7</f>
        <v>#DIV/0!</v>
      </c>
      <c r="AB7" s="1557" t="e">
        <f>D7/H7</f>
        <v>#DIV/0!</v>
      </c>
      <c r="AC7" s="1557" t="e">
        <f>D7/J7</f>
        <v>#DIV/0!</v>
      </c>
    </row>
    <row r="8" spans="1:29" s="1216" customFormat="1" ht="15" thickBot="1">
      <c r="A8" s="2866"/>
      <c r="B8" s="2873" t="s">
        <v>531</v>
      </c>
      <c r="C8" s="525" t="s">
        <v>576</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406" t="s">
        <v>533</v>
      </c>
      <c r="Q8" s="3407"/>
      <c r="R8" s="1554" t="s">
        <v>8</v>
      </c>
      <c r="S8" s="1555">
        <f t="shared" si="0"/>
        <v>0</v>
      </c>
      <c r="T8" s="1554" t="s">
        <v>8</v>
      </c>
      <c r="U8" s="1555">
        <f t="shared" si="1"/>
        <v>0</v>
      </c>
      <c r="V8" s="1554" t="s">
        <v>8</v>
      </c>
      <c r="W8" s="1555">
        <f t="shared" si="2"/>
        <v>0</v>
      </c>
      <c r="X8" s="1556"/>
      <c r="Y8" s="3406" t="s">
        <v>533</v>
      </c>
      <c r="Z8" s="3407"/>
      <c r="AA8" s="1557" t="e">
        <f t="shared" ref="AA8:AA36" si="3">D8/F8</f>
        <v>#DIV/0!</v>
      </c>
      <c r="AB8" s="1557" t="e">
        <f t="shared" ref="AB8:AB36" si="4">D8/H8</f>
        <v>#DIV/0!</v>
      </c>
      <c r="AC8" s="1557" t="e">
        <f t="shared" ref="AC8:AC36" si="5">D8/J8</f>
        <v>#DIV/0!</v>
      </c>
    </row>
    <row r="9" spans="1:29" s="1216" customFormat="1" ht="14.4">
      <c r="A9" s="2867"/>
      <c r="B9" s="2874" t="s">
        <v>2752</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375" t="s">
        <v>535</v>
      </c>
      <c r="Q9" s="1147" t="str">
        <f t="shared" ref="Q9:Q14" si="6">B9</f>
        <v>用途</v>
      </c>
      <c r="R9" s="1554" t="s">
        <v>8</v>
      </c>
      <c r="S9" s="1555">
        <f t="shared" si="0"/>
        <v>100</v>
      </c>
      <c r="T9" s="1554" t="s">
        <v>8</v>
      </c>
      <c r="U9" s="1555">
        <f t="shared" si="1"/>
        <v>100</v>
      </c>
      <c r="V9" s="1554" t="s">
        <v>8</v>
      </c>
      <c r="W9" s="1555">
        <f t="shared" si="2"/>
        <v>100</v>
      </c>
      <c r="X9" s="1556"/>
      <c r="Y9" s="3321" t="s">
        <v>536</v>
      </c>
      <c r="Z9" s="1146" t="str">
        <f t="shared" ref="Z9:Z14" si="7">Q9</f>
        <v>用途</v>
      </c>
      <c r="AA9" s="1557">
        <f t="shared" si="3"/>
        <v>1</v>
      </c>
      <c r="AB9" s="1557">
        <f t="shared" si="4"/>
        <v>1</v>
      </c>
      <c r="AC9" s="1557">
        <f t="shared" si="5"/>
        <v>1</v>
      </c>
    </row>
    <row r="10" spans="1:29" s="1334" customFormat="1" ht="28.8">
      <c r="A10" s="2868"/>
      <c r="B10" s="2873" t="s">
        <v>2753</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375"/>
      <c r="Q10" s="1147" t="str">
        <f t="shared" si="6"/>
        <v>土地使用年限（年）</v>
      </c>
      <c r="R10" s="1554" t="s">
        <v>8</v>
      </c>
      <c r="S10" s="1555">
        <f t="shared" si="0"/>
        <v>100</v>
      </c>
      <c r="T10" s="1554" t="s">
        <v>8</v>
      </c>
      <c r="U10" s="1555">
        <f t="shared" si="1"/>
        <v>100</v>
      </c>
      <c r="V10" s="1554" t="s">
        <v>8</v>
      </c>
      <c r="W10" s="1555">
        <f t="shared" si="2"/>
        <v>100</v>
      </c>
      <c r="X10" s="1556"/>
      <c r="Y10" s="3321"/>
      <c r="Z10" s="1146" t="str">
        <f t="shared" si="7"/>
        <v>土地使用年限（年）</v>
      </c>
      <c r="AA10" s="1557">
        <f t="shared" si="3"/>
        <v>1</v>
      </c>
      <c r="AB10" s="1557">
        <f t="shared" si="4"/>
        <v>1</v>
      </c>
      <c r="AC10" s="1557">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375"/>
      <c r="Q11" s="1147">
        <f t="shared" si="6"/>
        <v>111</v>
      </c>
      <c r="R11" s="1554" t="s">
        <v>8</v>
      </c>
      <c r="S11" s="1555">
        <f t="shared" si="0"/>
        <v>100</v>
      </c>
      <c r="T11" s="1554" t="s">
        <v>8</v>
      </c>
      <c r="U11" s="1555">
        <f t="shared" si="1"/>
        <v>100</v>
      </c>
      <c r="V11" s="1554" t="s">
        <v>8</v>
      </c>
      <c r="W11" s="1555">
        <f t="shared" si="2"/>
        <v>100</v>
      </c>
      <c r="X11" s="1556"/>
      <c r="Y11" s="3321"/>
      <c r="Z11" s="1146">
        <f t="shared" si="7"/>
        <v>111</v>
      </c>
      <c r="AA11" s="1557">
        <f t="shared" si="3"/>
        <v>1</v>
      </c>
      <c r="AB11" s="1557">
        <f t="shared" si="4"/>
        <v>1</v>
      </c>
      <c r="AC11" s="1557">
        <f t="shared" si="5"/>
        <v>1</v>
      </c>
    </row>
    <row r="12" spans="1:29" s="1216"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375"/>
      <c r="Q12" s="1147">
        <f t="shared" si="6"/>
        <v>111</v>
      </c>
      <c r="R12" s="1554" t="s">
        <v>8</v>
      </c>
      <c r="S12" s="1555">
        <f t="shared" si="0"/>
        <v>100</v>
      </c>
      <c r="T12" s="1554" t="s">
        <v>8</v>
      </c>
      <c r="U12" s="1555">
        <f t="shared" si="1"/>
        <v>100</v>
      </c>
      <c r="V12" s="1554" t="s">
        <v>8</v>
      </c>
      <c r="W12" s="1555">
        <f t="shared" si="2"/>
        <v>100</v>
      </c>
      <c r="X12" s="1556"/>
      <c r="Y12" s="3321"/>
      <c r="Z12" s="1146">
        <f t="shared" si="7"/>
        <v>111</v>
      </c>
      <c r="AA12" s="1557">
        <f>D12/F12</f>
        <v>1</v>
      </c>
      <c r="AB12" s="1557">
        <f>D12/H12</f>
        <v>1</v>
      </c>
      <c r="AC12" s="1557">
        <f>D12/J12</f>
        <v>1</v>
      </c>
    </row>
    <row r="13" spans="1:29" ht="15.6"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375"/>
      <c r="Q13" s="1147">
        <f t="shared" si="6"/>
        <v>111</v>
      </c>
      <c r="R13" s="1554" t="s">
        <v>8</v>
      </c>
      <c r="S13" s="1555">
        <f t="shared" si="0"/>
        <v>100</v>
      </c>
      <c r="T13" s="1554" t="s">
        <v>8</v>
      </c>
      <c r="U13" s="1555">
        <f t="shared" si="1"/>
        <v>100</v>
      </c>
      <c r="V13" s="1554" t="s">
        <v>8</v>
      </c>
      <c r="W13" s="1555">
        <f t="shared" si="2"/>
        <v>100</v>
      </c>
      <c r="X13" s="1556"/>
      <c r="Y13" s="3321"/>
      <c r="Z13" s="1146">
        <f t="shared" si="7"/>
        <v>111</v>
      </c>
      <c r="AA13" s="1557">
        <f t="shared" si="3"/>
        <v>1</v>
      </c>
      <c r="AB13" s="1557">
        <f t="shared" si="4"/>
        <v>1</v>
      </c>
      <c r="AC13" s="1557">
        <f t="shared" si="5"/>
        <v>1</v>
      </c>
    </row>
    <row r="14" spans="1:29" ht="15">
      <c r="A14" s="2863" t="s">
        <v>2750</v>
      </c>
      <c r="B14" s="547" t="s">
        <v>543</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25"/>
      <c r="M14" s="2117"/>
      <c r="N14" s="2117"/>
      <c r="O14" s="2124"/>
      <c r="P14" s="3409" t="s">
        <v>540</v>
      </c>
      <c r="Q14" s="1558" t="str">
        <f t="shared" si="6"/>
        <v>交通便捷度</v>
      </c>
      <c r="R14" s="1559" t="s">
        <v>8</v>
      </c>
      <c r="S14" s="1560">
        <f t="shared" si="0"/>
        <v>100</v>
      </c>
      <c r="T14" s="1559" t="s">
        <v>8</v>
      </c>
      <c r="U14" s="1560">
        <f t="shared" si="1"/>
        <v>100</v>
      </c>
      <c r="V14" s="1559" t="s">
        <v>8</v>
      </c>
      <c r="W14" s="1560">
        <f t="shared" si="2"/>
        <v>100</v>
      </c>
      <c r="X14" s="1553"/>
      <c r="Y14" s="3409"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5"/>
      <c r="M15" s="2117"/>
      <c r="N15" s="2117"/>
      <c r="O15" s="2124"/>
      <c r="P15" s="3410"/>
      <c r="Q15" s="1558"/>
      <c r="R15" s="1559"/>
      <c r="S15" s="1560"/>
      <c r="T15" s="1559"/>
      <c r="U15" s="1560"/>
      <c r="V15" s="1559"/>
      <c r="W15" s="1560"/>
      <c r="X15" s="1553"/>
      <c r="Y15" s="3410"/>
      <c r="Z15" s="1561"/>
      <c r="AA15" s="1562">
        <v>1</v>
      </c>
      <c r="AB15" s="1562">
        <v>1</v>
      </c>
      <c r="AC15" s="1562">
        <v>1</v>
      </c>
    </row>
    <row r="16" spans="1:29" ht="15">
      <c r="A16" s="515"/>
      <c r="B16" s="2565" t="s">
        <v>2543</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25"/>
      <c r="M16" s="2117"/>
      <c r="N16" s="2117"/>
      <c r="O16" s="2124"/>
      <c r="P16" s="3410"/>
      <c r="Q16" s="1558" t="str">
        <f>B16</f>
        <v>公共配套设施</v>
      </c>
      <c r="R16" s="1559" t="s">
        <v>8</v>
      </c>
      <c r="S16" s="1560">
        <f>F16</f>
        <v>100</v>
      </c>
      <c r="T16" s="1559" t="s">
        <v>8</v>
      </c>
      <c r="U16" s="1560">
        <f>H16</f>
        <v>100</v>
      </c>
      <c r="V16" s="1559" t="s">
        <v>8</v>
      </c>
      <c r="W16" s="1560">
        <f>J16</f>
        <v>100</v>
      </c>
      <c r="X16" s="1553"/>
      <c r="Y16" s="3410"/>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5"/>
      <c r="M17" s="2117"/>
      <c r="N17" s="2117"/>
      <c r="O17" s="2124"/>
      <c r="P17" s="3410"/>
      <c r="Q17" s="1558"/>
      <c r="R17" s="1559"/>
      <c r="S17" s="1560"/>
      <c r="T17" s="1559"/>
      <c r="U17" s="1560"/>
      <c r="V17" s="1559"/>
      <c r="W17" s="1560"/>
      <c r="X17" s="1553"/>
      <c r="Y17" s="3410"/>
      <c r="Z17" s="1561"/>
      <c r="AA17" s="1562">
        <v>1</v>
      </c>
      <c r="AB17" s="1562">
        <v>1</v>
      </c>
      <c r="AC17" s="1562">
        <v>1</v>
      </c>
    </row>
    <row r="18" spans="1:29" ht="15">
      <c r="A18" s="515"/>
      <c r="B18" s="2553" t="s">
        <v>2555</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5"/>
      <c r="M18" s="2117"/>
      <c r="N18" s="2117"/>
      <c r="O18" s="2124"/>
      <c r="P18" s="3410"/>
      <c r="Q18" s="2541" t="str">
        <f>B18</f>
        <v>基础设施水平</v>
      </c>
      <c r="R18" s="1559" t="s">
        <v>8</v>
      </c>
      <c r="S18" s="1560">
        <f>F18</f>
        <v>100</v>
      </c>
      <c r="T18" s="1559" t="s">
        <v>8</v>
      </c>
      <c r="U18" s="1560">
        <f>H18</f>
        <v>100</v>
      </c>
      <c r="V18" s="1559" t="s">
        <v>8</v>
      </c>
      <c r="W18" s="1560">
        <f>J18</f>
        <v>100</v>
      </c>
      <c r="X18" s="2543"/>
      <c r="Y18" s="3410"/>
      <c r="Z18" s="2542"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4"/>
      <c r="L19" s="2125"/>
      <c r="M19" s="2117"/>
      <c r="N19" s="2117"/>
      <c r="O19" s="2124"/>
      <c r="P19" s="3410"/>
      <c r="Q19" s="2541"/>
      <c r="R19" s="1559"/>
      <c r="S19" s="1560"/>
      <c r="T19" s="1559"/>
      <c r="U19" s="1560"/>
      <c r="V19" s="1559"/>
      <c r="W19" s="1560"/>
      <c r="X19" s="2543"/>
      <c r="Y19" s="3410"/>
      <c r="Z19" s="2542"/>
      <c r="AA19" s="1562">
        <v>1</v>
      </c>
      <c r="AB19" s="1562">
        <v>1</v>
      </c>
      <c r="AC19" s="1562">
        <v>1</v>
      </c>
    </row>
    <row r="20" spans="1:29" ht="15">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25"/>
      <c r="M20" s="2117"/>
      <c r="N20" s="2117"/>
      <c r="O20" s="2124"/>
      <c r="P20" s="3410"/>
      <c r="Q20" s="1558" t="str">
        <f>B20</f>
        <v>自然及人文环境</v>
      </c>
      <c r="R20" s="1559" t="s">
        <v>8</v>
      </c>
      <c r="S20" s="1560">
        <f>F20</f>
        <v>100</v>
      </c>
      <c r="T20" s="1559" t="s">
        <v>8</v>
      </c>
      <c r="U20" s="1560">
        <f>H20</f>
        <v>100</v>
      </c>
      <c r="V20" s="1559" t="s">
        <v>8</v>
      </c>
      <c r="W20" s="1560">
        <f>J20</f>
        <v>100</v>
      </c>
      <c r="X20" s="1553"/>
      <c r="Y20" s="3410"/>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5"/>
      <c r="M21" s="2117"/>
      <c r="N21" s="2117"/>
      <c r="O21" s="2124"/>
      <c r="P21" s="3410"/>
      <c r="Q21" s="1558"/>
      <c r="R21" s="1559"/>
      <c r="S21" s="1560"/>
      <c r="T21" s="1559"/>
      <c r="U21" s="1560"/>
      <c r="V21" s="1559"/>
      <c r="W21" s="1560"/>
      <c r="X21" s="1553"/>
      <c r="Y21" s="3410"/>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410"/>
      <c r="Q22" s="1558" t="str">
        <f>B22</f>
        <v>楼层</v>
      </c>
      <c r="R22" s="1559" t="s">
        <v>8</v>
      </c>
      <c r="S22" s="1560">
        <f>F22</f>
        <v>100</v>
      </c>
      <c r="T22" s="1559" t="s">
        <v>8</v>
      </c>
      <c r="U22" s="1560">
        <f>H22</f>
        <v>100</v>
      </c>
      <c r="V22" s="1559" t="s">
        <v>8</v>
      </c>
      <c r="W22" s="1560">
        <f>J22</f>
        <v>100</v>
      </c>
      <c r="X22" s="1553"/>
      <c r="Y22" s="3410"/>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410"/>
      <c r="Q23" s="1558">
        <f>B23</f>
        <v>111</v>
      </c>
      <c r="R23" s="1559" t="s">
        <v>8</v>
      </c>
      <c r="S23" s="1560">
        <f>F23</f>
        <v>100</v>
      </c>
      <c r="T23" s="1559" t="s">
        <v>8</v>
      </c>
      <c r="U23" s="1560">
        <f>H23</f>
        <v>100</v>
      </c>
      <c r="V23" s="1559" t="s">
        <v>8</v>
      </c>
      <c r="W23" s="1560">
        <f>J23</f>
        <v>100</v>
      </c>
      <c r="X23" s="1553"/>
      <c r="Y23" s="3410"/>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410"/>
      <c r="Q24" s="1558">
        <f t="shared" ref="Q24:Q36" si="11">B24</f>
        <v>111</v>
      </c>
      <c r="R24" s="1559" t="s">
        <v>8</v>
      </c>
      <c r="S24" s="1560">
        <f>F24</f>
        <v>100</v>
      </c>
      <c r="T24" s="1559" t="s">
        <v>8</v>
      </c>
      <c r="U24" s="1560">
        <f>H24</f>
        <v>100</v>
      </c>
      <c r="V24" s="1559" t="s">
        <v>8</v>
      </c>
      <c r="W24" s="1560">
        <f>J24</f>
        <v>100</v>
      </c>
      <c r="X24" s="1553"/>
      <c r="Y24" s="3410"/>
      <c r="Z24" s="1561">
        <f>Q24</f>
        <v>111</v>
      </c>
      <c r="AA24" s="1562">
        <f t="shared" si="3"/>
        <v>1</v>
      </c>
      <c r="AB24" s="1562">
        <f t="shared" si="4"/>
        <v>1</v>
      </c>
      <c r="AC24" s="1562">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8"/>
      <c r="M25" s="2119"/>
      <c r="N25" s="2119"/>
      <c r="O25" s="2120"/>
      <c r="P25" s="3410"/>
      <c r="Q25" s="1147">
        <f t="shared" si="11"/>
        <v>111</v>
      </c>
      <c r="R25" s="1554" t="s">
        <v>8</v>
      </c>
      <c r="S25" s="1555">
        <f>F25</f>
        <v>100</v>
      </c>
      <c r="T25" s="1554" t="s">
        <v>8</v>
      </c>
      <c r="U25" s="1555">
        <f>H25</f>
        <v>100</v>
      </c>
      <c r="V25" s="1554" t="s">
        <v>8</v>
      </c>
      <c r="W25" s="1555">
        <f>J25</f>
        <v>100</v>
      </c>
      <c r="X25" s="1556"/>
      <c r="Y25" s="3410"/>
      <c r="Z25" s="1146">
        <f>Q25</f>
        <v>111</v>
      </c>
      <c r="AA25" s="1562">
        <f>D25/F25</f>
        <v>1</v>
      </c>
      <c r="AB25" s="1562">
        <f>D25/H25</f>
        <v>1</v>
      </c>
      <c r="AC25" s="1562">
        <f>D25/J25</f>
        <v>1</v>
      </c>
    </row>
    <row r="26" spans="1:29" ht="15">
      <c r="A26" s="2860"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411"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2"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3"/>
      <c r="M27" s="2154"/>
      <c r="N27" s="2154"/>
      <c r="O27" s="2126"/>
      <c r="P27" s="3412"/>
      <c r="Q27" s="1590" t="str">
        <f t="shared" si="11"/>
        <v>项目停车位配比</v>
      </c>
      <c r="R27" s="1563" t="s">
        <v>8</v>
      </c>
      <c r="S27" s="1564">
        <f t="shared" si="12"/>
        <v>100</v>
      </c>
      <c r="T27" s="1563" t="s">
        <v>8</v>
      </c>
      <c r="U27" s="1564">
        <f t="shared" si="13"/>
        <v>100</v>
      </c>
      <c r="V27" s="1563" t="s">
        <v>8</v>
      </c>
      <c r="W27" s="1564">
        <f t="shared" si="14"/>
        <v>100</v>
      </c>
      <c r="X27" s="1565"/>
      <c r="Y27" s="3412"/>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412"/>
      <c r="Q28" s="1558" t="str">
        <f t="shared" si="11"/>
        <v>公共部分装修</v>
      </c>
      <c r="R28" s="1559" t="s">
        <v>8</v>
      </c>
      <c r="S28" s="1560">
        <f t="shared" si="12"/>
        <v>100</v>
      </c>
      <c r="T28" s="1559" t="s">
        <v>8</v>
      </c>
      <c r="U28" s="1560">
        <f t="shared" si="13"/>
        <v>100</v>
      </c>
      <c r="V28" s="1559" t="s">
        <v>8</v>
      </c>
      <c r="W28" s="1560">
        <f t="shared" si="14"/>
        <v>100</v>
      </c>
      <c r="X28" s="1553"/>
      <c r="Y28" s="3412"/>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5"/>
      <c r="M29" s="2117"/>
      <c r="N29" s="2117"/>
      <c r="O29" s="2124"/>
      <c r="P29" s="3412"/>
      <c r="Q29" s="1558" t="str">
        <f t="shared" si="11"/>
        <v>成新率</v>
      </c>
      <c r="R29" s="1559" t="s">
        <v>8</v>
      </c>
      <c r="S29" s="1560" t="e">
        <f t="shared" si="12"/>
        <v>#N/A</v>
      </c>
      <c r="T29" s="1559" t="s">
        <v>8</v>
      </c>
      <c r="U29" s="1560" t="e">
        <f t="shared" si="13"/>
        <v>#N/A</v>
      </c>
      <c r="V29" s="1559" t="s">
        <v>8</v>
      </c>
      <c r="W29" s="1560" t="e">
        <f t="shared" si="14"/>
        <v>#N/A</v>
      </c>
      <c r="X29" s="1553"/>
      <c r="Y29" s="3412"/>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5"/>
      <c r="M30" s="2117"/>
      <c r="N30" s="2117"/>
      <c r="O30" s="2124"/>
      <c r="P30" s="3412"/>
      <c r="Q30" s="1558" t="str">
        <f t="shared" si="11"/>
        <v>物业等级</v>
      </c>
      <c r="R30" s="1559" t="s">
        <v>8</v>
      </c>
      <c r="S30" s="1560">
        <f t="shared" si="12"/>
        <v>100</v>
      </c>
      <c r="T30" s="1559" t="s">
        <v>8</v>
      </c>
      <c r="U30" s="1560">
        <f t="shared" si="13"/>
        <v>100</v>
      </c>
      <c r="V30" s="1559" t="s">
        <v>8</v>
      </c>
      <c r="W30" s="1560">
        <f t="shared" si="14"/>
        <v>100</v>
      </c>
      <c r="X30" s="1553"/>
      <c r="Y30" s="3412"/>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8"/>
      <c r="M31" s="2119"/>
      <c r="N31" s="2119"/>
      <c r="O31" s="2120"/>
      <c r="P31" s="3412"/>
      <c r="Q31" s="1147" t="str">
        <f t="shared" si="11"/>
        <v>停车位面积</v>
      </c>
      <c r="R31" s="1554" t="s">
        <v>8</v>
      </c>
      <c r="S31" s="1555" t="e">
        <f t="shared" si="12"/>
        <v>#N/A</v>
      </c>
      <c r="T31" s="1554" t="s">
        <v>8</v>
      </c>
      <c r="U31" s="1555" t="e">
        <f t="shared" si="13"/>
        <v>#N/A</v>
      </c>
      <c r="V31" s="1554" t="s">
        <v>8</v>
      </c>
      <c r="W31" s="1555" t="e">
        <f t="shared" si="14"/>
        <v>#N/A</v>
      </c>
      <c r="X31" s="1556"/>
      <c r="Y31" s="3412"/>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412" t="s">
        <v>550</v>
      </c>
      <c r="Q32" s="1558" t="str">
        <f t="shared" si="11"/>
        <v>车位类型</v>
      </c>
      <c r="R32" s="1559" t="s">
        <v>8</v>
      </c>
      <c r="S32" s="1560">
        <f t="shared" si="12"/>
        <v>100</v>
      </c>
      <c r="T32" s="1559" t="s">
        <v>8</v>
      </c>
      <c r="U32" s="1560">
        <f t="shared" si="13"/>
        <v>100</v>
      </c>
      <c r="V32" s="1559" t="s">
        <v>8</v>
      </c>
      <c r="W32" s="1560">
        <f t="shared" si="14"/>
        <v>100</v>
      </c>
      <c r="X32" s="1553"/>
      <c r="Y32" s="3412"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412"/>
      <c r="Q33" s="1558" t="str">
        <f t="shared" si="11"/>
        <v>是否直接入户</v>
      </c>
      <c r="R33" s="1559" t="s">
        <v>8</v>
      </c>
      <c r="S33" s="1560">
        <f t="shared" si="12"/>
        <v>100</v>
      </c>
      <c r="T33" s="1559" t="s">
        <v>8</v>
      </c>
      <c r="U33" s="1560">
        <f t="shared" si="13"/>
        <v>100</v>
      </c>
      <c r="V33" s="1559" t="s">
        <v>8</v>
      </c>
      <c r="W33" s="1560">
        <f t="shared" si="14"/>
        <v>100</v>
      </c>
      <c r="X33" s="1553"/>
      <c r="Y33" s="3412"/>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412"/>
      <c r="Q34" s="1558">
        <f t="shared" si="11"/>
        <v>111</v>
      </c>
      <c r="R34" s="1559" t="s">
        <v>8</v>
      </c>
      <c r="S34" s="1560">
        <f t="shared" si="12"/>
        <v>100</v>
      </c>
      <c r="T34" s="1559" t="s">
        <v>8</v>
      </c>
      <c r="U34" s="1560">
        <f t="shared" si="13"/>
        <v>100</v>
      </c>
      <c r="V34" s="1559" t="s">
        <v>8</v>
      </c>
      <c r="W34" s="1560">
        <f t="shared" si="14"/>
        <v>100</v>
      </c>
      <c r="X34" s="1553"/>
      <c r="Y34" s="3412"/>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412"/>
      <c r="Q35" s="1590">
        <f t="shared" si="11"/>
        <v>111</v>
      </c>
      <c r="R35" s="1563" t="s">
        <v>8</v>
      </c>
      <c r="S35" s="1564">
        <f t="shared" si="12"/>
        <v>100</v>
      </c>
      <c r="T35" s="1563" t="s">
        <v>8</v>
      </c>
      <c r="U35" s="1564">
        <f t="shared" si="13"/>
        <v>100</v>
      </c>
      <c r="V35" s="1563" t="s">
        <v>8</v>
      </c>
      <c r="W35" s="1564">
        <f t="shared" si="14"/>
        <v>100</v>
      </c>
      <c r="X35" s="1565"/>
      <c r="Y35" s="3412"/>
      <c r="Z35" s="1566">
        <f t="shared" si="15"/>
        <v>111</v>
      </c>
      <c r="AA35" s="1562">
        <f t="shared" si="3"/>
        <v>1</v>
      </c>
      <c r="AB35" s="1562">
        <f t="shared" si="4"/>
        <v>1</v>
      </c>
      <c r="AC35" s="1562">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412"/>
      <c r="Q36" s="1558">
        <f t="shared" si="11"/>
        <v>111</v>
      </c>
      <c r="R36" s="1559" t="s">
        <v>8</v>
      </c>
      <c r="S36" s="1560">
        <f t="shared" si="12"/>
        <v>100</v>
      </c>
      <c r="T36" s="1559" t="s">
        <v>8</v>
      </c>
      <c r="U36" s="1560">
        <f t="shared" si="13"/>
        <v>100</v>
      </c>
      <c r="V36" s="1559" t="s">
        <v>8</v>
      </c>
      <c r="W36" s="1560">
        <f t="shared" si="14"/>
        <v>100</v>
      </c>
      <c r="X36" s="1553"/>
      <c r="Y36" s="3412"/>
      <c r="Z36" s="1561">
        <f t="shared" si="15"/>
        <v>111</v>
      </c>
      <c r="AA36" s="1562">
        <f t="shared" si="3"/>
        <v>1</v>
      </c>
      <c r="AB36" s="1562">
        <f t="shared" si="4"/>
        <v>1</v>
      </c>
      <c r="AC36" s="1562">
        <f t="shared" si="5"/>
        <v>1</v>
      </c>
    </row>
    <row r="37" spans="1:29" ht="14.4">
      <c r="A37" s="1829" t="s">
        <v>2074</v>
      </c>
      <c r="B37" s="1830" t="s">
        <v>2075</v>
      </c>
      <c r="C37" s="2589" t="s">
        <v>1</v>
      </c>
      <c r="D37" s="2590"/>
      <c r="E37" s="2591"/>
      <c r="F37" s="2592"/>
      <c r="G37" s="2593"/>
      <c r="H37" s="2594"/>
      <c r="I37" s="2591"/>
      <c r="J37" s="2594"/>
      <c r="K37" s="1596"/>
      <c r="L37" s="2127"/>
      <c r="M37" s="2128"/>
      <c r="N37" s="2117"/>
      <c r="O37" s="2128"/>
      <c r="P37" s="3375" t="str">
        <f>A37</f>
        <v>成交单价</v>
      </c>
      <c r="Q37" s="3375"/>
      <c r="R37" s="3492">
        <f>E37</f>
        <v>0</v>
      </c>
      <c r="S37" s="3492"/>
      <c r="T37" s="3492">
        <f>G37</f>
        <v>0</v>
      </c>
      <c r="U37" s="3492"/>
      <c r="V37" s="3492">
        <f>I37</f>
        <v>0</v>
      </c>
      <c r="W37" s="3492"/>
      <c r="X37" s="1545"/>
      <c r="Y37" s="1567"/>
      <c r="Z37" s="1545"/>
      <c r="AA37" s="1545"/>
      <c r="AB37" s="1545"/>
      <c r="AC37" s="1545"/>
    </row>
    <row r="38" spans="1:29" ht="15" thickBot="1">
      <c r="A38" s="615" t="s">
        <v>2756</v>
      </c>
      <c r="B38" s="888"/>
      <c r="C38" s="2595" t="e">
        <f>R39</f>
        <v>#DIV/0!</v>
      </c>
      <c r="D38" s="2596"/>
      <c r="E38" s="2597" t="e">
        <f>R38</f>
        <v>#DIV/0!</v>
      </c>
      <c r="F38" s="2597"/>
      <c r="G38" s="2595" t="e">
        <f>T38</f>
        <v>#DIV/0!</v>
      </c>
      <c r="H38" s="2596"/>
      <c r="I38" s="2597" t="e">
        <f>V38</f>
        <v>#DIV/0!</v>
      </c>
      <c r="J38" s="2596"/>
      <c r="K38" s="1597"/>
      <c r="L38" s="2127"/>
      <c r="M38" s="2128"/>
      <c r="N38" s="2128"/>
      <c r="O38" s="2128"/>
      <c r="P38" s="3375" t="str">
        <f>A38</f>
        <v>比较价格（元/平方米）</v>
      </c>
      <c r="Q38" s="3375"/>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45"/>
      <c r="Y38" s="1545"/>
      <c r="Z38" s="1545"/>
      <c r="AA38" s="1545"/>
      <c r="AB38" s="1545"/>
      <c r="AC38" s="1545"/>
    </row>
    <row r="39" spans="1:29" ht="15" thickBot="1">
      <c r="A39" s="621" t="s">
        <v>2929</v>
      </c>
      <c r="B39" s="622"/>
      <c r="C39" s="2598" t="e">
        <f>R39</f>
        <v>#DIV/0!</v>
      </c>
      <c r="D39" s="2598"/>
      <c r="E39" s="2598"/>
      <c r="F39" s="2598"/>
      <c r="G39" s="2598"/>
      <c r="H39" s="2598"/>
      <c r="I39" s="2598"/>
      <c r="J39" s="2598"/>
      <c r="K39" s="1598"/>
      <c r="L39" s="2127"/>
      <c r="M39" s="2128"/>
      <c r="N39" s="2128"/>
      <c r="O39" s="2128"/>
      <c r="P39" s="3372" t="str">
        <f>A39</f>
        <v>估价对象XX用房的比较价格（楼面单价，元/平方米）</v>
      </c>
      <c r="Q39" s="3373"/>
      <c r="R39" s="3491" t="e">
        <f>IF(F1="售价",ROUND(AVERAGE(R38:V38),0),ROUND(AVERAGE(R38:V38),1))</f>
        <v>#DIV/0!</v>
      </c>
      <c r="S39" s="3491"/>
      <c r="T39" s="3491"/>
      <c r="U39" s="3491"/>
      <c r="V39" s="3491"/>
      <c r="W39" s="3491"/>
      <c r="X39" s="1545"/>
      <c r="Y39" s="1545"/>
      <c r="Z39" s="1545"/>
      <c r="AA39" s="1545"/>
      <c r="AB39" s="1545"/>
      <c r="AC39" s="1545"/>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1" customFormat="1" ht="13.5" customHeight="1">
      <c r="A44" s="2129"/>
      <c r="B44" s="2129"/>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1"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2.2" thickBot="1">
      <c r="A47" s="1570" t="s">
        <v>574</v>
      </c>
      <c r="B47" s="1545"/>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3" customFormat="1" ht="14.4">
      <c r="A48" s="645" t="s">
        <v>529</v>
      </c>
      <c r="B48" s="646"/>
      <c r="C48" s="2755" t="str">
        <f>YEAR(C7)&amp;"-"&amp;MONTH(C7)</f>
        <v>2020-2</v>
      </c>
      <c r="D48" s="2757">
        <f>EDATE(C48,-1)</f>
        <v>43831</v>
      </c>
      <c r="E48" s="2757">
        <f t="shared" ref="E48:O48" si="16">EDATE(D48,-1)</f>
        <v>43800</v>
      </c>
      <c r="F48" s="2757">
        <f t="shared" si="16"/>
        <v>43770</v>
      </c>
      <c r="G48" s="2757">
        <f t="shared" si="16"/>
        <v>43739</v>
      </c>
      <c r="H48" s="2757">
        <f t="shared" si="16"/>
        <v>43709</v>
      </c>
      <c r="I48" s="2757">
        <f t="shared" si="16"/>
        <v>43678</v>
      </c>
      <c r="J48" s="2757">
        <f t="shared" si="16"/>
        <v>43647</v>
      </c>
      <c r="K48" s="2757">
        <f t="shared" si="16"/>
        <v>43617</v>
      </c>
      <c r="L48" s="2757">
        <f t="shared" si="16"/>
        <v>43586</v>
      </c>
      <c r="M48" s="2757">
        <f t="shared" si="16"/>
        <v>43556</v>
      </c>
      <c r="N48" s="2757">
        <f t="shared" si="16"/>
        <v>43525</v>
      </c>
      <c r="O48" s="2757">
        <f t="shared" si="16"/>
        <v>43497</v>
      </c>
      <c r="P48" s="2143"/>
      <c r="Q48" s="2144"/>
      <c r="R48" s="2144"/>
      <c r="S48" s="2144"/>
      <c r="T48" s="2144"/>
      <c r="U48" s="2144"/>
      <c r="V48" s="2144"/>
      <c r="W48" s="2144"/>
      <c r="X48" s="2144"/>
      <c r="Y48" s="2144"/>
      <c r="Z48" s="2144"/>
      <c r="AA48" s="2144"/>
      <c r="AB48" s="2144"/>
      <c r="AC48" s="2144"/>
    </row>
    <row r="49" spans="1:29" s="1216" customFormat="1">
      <c r="A49" s="647"/>
      <c r="B49" s="648"/>
      <c r="C49" s="2756">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6" customFormat="1" ht="15" thickBot="1">
      <c r="A50" s="653" t="s">
        <v>575</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6" customFormat="1" ht="14.4">
      <c r="A51" s="659" t="s">
        <v>531</v>
      </c>
      <c r="B51" s="648"/>
      <c r="C51" s="660" t="s">
        <v>576</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6" customFormat="1" ht="14.4"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ht="14.4">
      <c r="A53" s="664" t="s">
        <v>577</v>
      </c>
      <c r="B53" s="665" t="s">
        <v>534</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4.4"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4.4" thickTop="1">
      <c r="A57" s="669"/>
      <c r="B57" s="935">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4.4"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5" customFormat="1" ht="14.4"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5" customFormat="1" ht="14.4"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5" customFormat="1" ht="14.4"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5" customFormat="1" ht="14.4"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 thickTop="1">
      <c r="A65" s="669"/>
      <c r="B65" s="1879" t="s">
        <v>2554</v>
      </c>
      <c r="C65" s="708" t="s">
        <v>579</v>
      </c>
      <c r="D65" s="708" t="s">
        <v>580</v>
      </c>
      <c r="E65" s="708" t="s">
        <v>581</v>
      </c>
      <c r="F65" s="708" t="s">
        <v>582</v>
      </c>
      <c r="G65" s="708" t="s">
        <v>583</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2559" t="s">
        <v>2555</v>
      </c>
      <c r="C67" s="2560" t="s">
        <v>2556</v>
      </c>
      <c r="D67" s="2560" t="s">
        <v>2557</v>
      </c>
      <c r="E67" s="2560" t="s">
        <v>2558</v>
      </c>
      <c r="F67" s="2560" t="s">
        <v>2559</v>
      </c>
      <c r="G67" s="2560" t="s">
        <v>2560</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49"/>
      <c r="O68" s="2149"/>
      <c r="P68" s="2148"/>
      <c r="Q68" s="2141"/>
      <c r="R68" s="2128"/>
      <c r="S68" s="2128"/>
      <c r="T68" s="2128"/>
      <c r="U68" s="2128"/>
      <c r="V68" s="2128"/>
      <c r="W68" s="2128"/>
      <c r="X68" s="2128"/>
      <c r="Y68" s="2128"/>
      <c r="Z68" s="2128"/>
      <c r="AA68" s="2128"/>
      <c r="AB68" s="2128"/>
      <c r="AC68" s="2128"/>
    </row>
    <row r="69" spans="1:29" ht="15" thickTop="1">
      <c r="A69" s="669"/>
      <c r="B69" s="673" t="s">
        <v>744</v>
      </c>
      <c r="C69" s="708" t="s">
        <v>579</v>
      </c>
      <c r="D69" s="708" t="s">
        <v>580</v>
      </c>
      <c r="E69" s="708" t="s">
        <v>581</v>
      </c>
      <c r="F69" s="708" t="s">
        <v>582</v>
      </c>
      <c r="G69" s="708" t="s">
        <v>583</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 thickTop="1">
      <c r="A71" s="669"/>
      <c r="B71" s="673" t="s">
        <v>745</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6" customFormat="1" ht="14.4" thickTop="1">
      <c r="A73" s="709"/>
      <c r="B73" s="673">
        <f>B23</f>
        <v>111</v>
      </c>
      <c r="C73" s="541"/>
      <c r="D73" s="541"/>
      <c r="E73" s="541"/>
      <c r="F73" s="541"/>
      <c r="G73" s="688"/>
      <c r="H73" s="688"/>
      <c r="I73" s="688"/>
      <c r="J73" s="688"/>
      <c r="K73" s="688"/>
      <c r="L73" s="890"/>
      <c r="M73" s="891"/>
      <c r="N73" s="2145"/>
      <c r="O73" s="2145"/>
      <c r="P73" s="2148"/>
      <c r="Q73" s="2141"/>
      <c r="R73" s="1976"/>
      <c r="S73" s="1976"/>
      <c r="T73" s="1976"/>
      <c r="U73" s="1976"/>
      <c r="V73" s="1976"/>
      <c r="W73" s="1976"/>
      <c r="X73" s="1976"/>
      <c r="Y73" s="1976"/>
      <c r="Z73" s="1976"/>
      <c r="AA73" s="1976"/>
      <c r="AB73" s="1976"/>
      <c r="AC73" s="1976"/>
    </row>
    <row r="74" spans="1:29" s="1216" customFormat="1" ht="14.4"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6" customFormat="1" ht="14.4" thickTop="1">
      <c r="A75" s="709"/>
      <c r="B75" s="673">
        <f>B24</f>
        <v>111</v>
      </c>
      <c r="C75" s="541"/>
      <c r="D75" s="541"/>
      <c r="E75" s="541"/>
      <c r="F75" s="541"/>
      <c r="G75" s="688"/>
      <c r="H75" s="688"/>
      <c r="I75" s="688"/>
      <c r="J75" s="688"/>
      <c r="K75" s="688"/>
      <c r="L75" s="688"/>
      <c r="M75" s="891"/>
      <c r="N75" s="2145"/>
      <c r="O75" s="2145"/>
      <c r="P75" s="2148"/>
      <c r="Q75" s="2141"/>
      <c r="R75" s="1976"/>
      <c r="S75" s="1976"/>
      <c r="T75" s="1976"/>
      <c r="U75" s="1976"/>
      <c r="V75" s="1976"/>
      <c r="W75" s="1976"/>
      <c r="X75" s="1976"/>
      <c r="Y75" s="1976"/>
      <c r="Z75" s="1976"/>
      <c r="AA75" s="1976"/>
      <c r="AB75" s="1976"/>
      <c r="AC75" s="1976"/>
    </row>
    <row r="76" spans="1:29" s="1216" customFormat="1" ht="14.4"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5" customFormat="1" ht="14.4"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5" customFormat="1" ht="14.4"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9.4" thickTop="1">
      <c r="A79" s="664" t="s">
        <v>551</v>
      </c>
      <c r="B79" s="665" t="s">
        <v>814</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 thickTop="1">
      <c r="A81" s="669"/>
      <c r="B81" s="673" t="s">
        <v>815</v>
      </c>
      <c r="C81" s="936"/>
      <c r="D81" s="936"/>
      <c r="E81" s="936"/>
      <c r="F81" s="936"/>
      <c r="G81" s="936"/>
      <c r="H81" s="936"/>
      <c r="I81" s="936"/>
      <c r="J81" s="936"/>
      <c r="K81" s="937"/>
      <c r="L81" s="938"/>
      <c r="M81" s="939"/>
      <c r="N81" s="2145"/>
      <c r="O81" s="2145"/>
      <c r="P81" s="2148"/>
      <c r="Q81" s="2141"/>
      <c r="R81" s="2128"/>
      <c r="S81" s="2128"/>
      <c r="T81" s="2128"/>
      <c r="U81" s="2128"/>
      <c r="V81" s="2128"/>
      <c r="W81" s="2128"/>
      <c r="X81" s="2128"/>
      <c r="Y81" s="2128"/>
      <c r="Z81" s="2128"/>
      <c r="AA81" s="2128"/>
      <c r="AB81" s="2128"/>
      <c r="AC81" s="2128"/>
    </row>
    <row r="82" spans="1:29" s="1335" customFormat="1" ht="14.4"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751</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4">
        <v>0.5</v>
      </c>
      <c r="D86" s="894">
        <v>0.6</v>
      </c>
      <c r="E86" s="894">
        <v>0.7</v>
      </c>
      <c r="F86" s="894">
        <v>0.8</v>
      </c>
      <c r="G86" s="894">
        <v>0.9</v>
      </c>
      <c r="H86" s="894">
        <v>1.0001</v>
      </c>
      <c r="I86" s="905"/>
      <c r="J86" s="905"/>
      <c r="K86" s="906"/>
      <c r="L86" s="907"/>
      <c r="M86" s="908"/>
      <c r="N86" s="2147"/>
      <c r="O86" s="2147"/>
      <c r="P86" s="2148"/>
      <c r="Q86" s="2141"/>
      <c r="R86" s="2128"/>
      <c r="S86" s="2128"/>
      <c r="T86" s="2128"/>
      <c r="U86" s="2128"/>
      <c r="V86" s="2128"/>
      <c r="W86" s="2128"/>
      <c r="X86" s="2128"/>
      <c r="Y86" s="2128"/>
      <c r="Z86" s="2128"/>
      <c r="AA86" s="2128"/>
      <c r="AB86" s="2128"/>
      <c r="AC86" s="2128"/>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5"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5" customFormat="1" ht="14.4"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820</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4.4" thickTop="1">
      <c r="A97" s="735"/>
      <c r="B97" s="917">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4.4"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5" customFormat="1" ht="14.4"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5" customFormat="1" ht="14.4"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4.4"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4.4"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4.4"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0"/>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4.4">
      <c r="A4" s="512" t="s">
        <v>797</v>
      </c>
      <c r="B4" s="513"/>
      <c r="C4" s="3381" t="s">
        <v>798</v>
      </c>
      <c r="D4" s="3382"/>
      <c r="E4" s="3415" t="s">
        <v>799</v>
      </c>
      <c r="F4" s="3416"/>
      <c r="G4" s="3381" t="s">
        <v>800</v>
      </c>
      <c r="H4" s="3382"/>
      <c r="I4" s="3381" t="s">
        <v>801</v>
      </c>
      <c r="J4" s="3382"/>
      <c r="K4" s="514" t="s">
        <v>802</v>
      </c>
      <c r="L4" s="2116"/>
      <c r="M4" s="2117"/>
      <c r="N4" s="2117"/>
      <c r="O4" s="2117"/>
      <c r="P4" s="3383" t="s">
        <v>803</v>
      </c>
      <c r="Q4" s="3384"/>
      <c r="R4" s="3389" t="s">
        <v>799</v>
      </c>
      <c r="S4" s="3390"/>
      <c r="T4" s="3389" t="s">
        <v>800</v>
      </c>
      <c r="U4" s="3390"/>
      <c r="V4" s="3376" t="s">
        <v>801</v>
      </c>
      <c r="W4" s="3376"/>
      <c r="X4" s="1553"/>
      <c r="Y4" s="3389" t="s">
        <v>803</v>
      </c>
      <c r="Z4" s="3390"/>
      <c r="AA4" s="3378" t="s">
        <v>799</v>
      </c>
      <c r="AB4" s="3379" t="s">
        <v>800</v>
      </c>
      <c r="AC4" s="3378" t="s">
        <v>801</v>
      </c>
    </row>
    <row r="5" spans="1:29">
      <c r="A5" s="515"/>
      <c r="B5" s="516"/>
      <c r="C5" s="3397" t="s">
        <v>2923</v>
      </c>
      <c r="D5" s="3398"/>
      <c r="E5" s="3417" t="s">
        <v>2924</v>
      </c>
      <c r="F5" s="3418"/>
      <c r="G5" s="3397" t="s">
        <v>2925</v>
      </c>
      <c r="H5" s="3398"/>
      <c r="I5" s="3397" t="s">
        <v>2926</v>
      </c>
      <c r="J5" s="3398"/>
      <c r="K5" s="514"/>
      <c r="L5" s="2116"/>
      <c r="M5" s="2117"/>
      <c r="N5" s="2117"/>
      <c r="O5" s="2117"/>
      <c r="P5" s="3385"/>
      <c r="Q5" s="3386"/>
      <c r="R5" s="3391"/>
      <c r="S5" s="3392"/>
      <c r="T5" s="3391"/>
      <c r="U5" s="3392"/>
      <c r="V5" s="3376"/>
      <c r="W5" s="3376"/>
      <c r="X5" s="1553"/>
      <c r="Y5" s="3391"/>
      <c r="Z5" s="3392"/>
      <c r="AA5" s="3379"/>
      <c r="AB5" s="3379"/>
      <c r="AC5" s="3379"/>
    </row>
    <row r="6" spans="1:29" ht="15" thickBot="1">
      <c r="A6" s="517"/>
      <c r="B6" s="518"/>
      <c r="C6" s="3395" t="s">
        <v>2927</v>
      </c>
      <c r="D6" s="3396"/>
      <c r="E6" s="3413" t="s">
        <v>2927</v>
      </c>
      <c r="F6" s="3414"/>
      <c r="G6" s="3395" t="s">
        <v>2927</v>
      </c>
      <c r="H6" s="3396"/>
      <c r="I6" s="3395" t="s">
        <v>2927</v>
      </c>
      <c r="J6" s="3396"/>
      <c r="K6" s="514" t="s">
        <v>528</v>
      </c>
      <c r="L6" s="2116"/>
      <c r="M6" s="2117"/>
      <c r="N6" s="2117"/>
      <c r="O6" s="2117"/>
      <c r="P6" s="3387"/>
      <c r="Q6" s="3388"/>
      <c r="R6" s="3391"/>
      <c r="S6" s="3392"/>
      <c r="T6" s="3393"/>
      <c r="U6" s="3394"/>
      <c r="V6" s="3376"/>
      <c r="W6" s="3376"/>
      <c r="X6" s="1553"/>
      <c r="Y6" s="3393"/>
      <c r="Z6" s="3394"/>
      <c r="AA6" s="3380"/>
      <c r="AB6" s="3380"/>
      <c r="AC6" s="3380"/>
    </row>
    <row r="7" spans="1:29" s="1216" customFormat="1" ht="15" thickBot="1">
      <c r="A7" s="2865"/>
      <c r="B7" s="2872" t="s">
        <v>529</v>
      </c>
      <c r="C7" s="519">
        <f>'数据-取费表'!B2</f>
        <v>43889</v>
      </c>
      <c r="D7" s="520">
        <v>100</v>
      </c>
      <c r="E7" s="521"/>
      <c r="F7" s="522">
        <f>SUMIF(46:46,YEAR(E7)&amp;"-"&amp;MONTH(E7),47:47)</f>
        <v>0</v>
      </c>
      <c r="G7" s="523"/>
      <c r="H7" s="520">
        <f>SUMIF(46:46,YEAR(G7)&amp;"-"&amp;MONTH(G7),47:47)</f>
        <v>0</v>
      </c>
      <c r="I7" s="523"/>
      <c r="J7" s="520">
        <f>SUMIF(46:46,YEAR(I7)&amp;"-"&amp;MONTH(I7),47:47)</f>
        <v>0</v>
      </c>
      <c r="K7" s="524"/>
      <c r="L7" s="2118"/>
      <c r="M7" s="2119"/>
      <c r="N7" s="2119"/>
      <c r="O7" s="2119"/>
      <c r="P7" s="3406" t="s">
        <v>530</v>
      </c>
      <c r="Q7" s="3408"/>
      <c r="R7" s="1554" t="s">
        <v>8</v>
      </c>
      <c r="S7" s="1555">
        <f t="shared" ref="S7:S14" si="0">F7</f>
        <v>0</v>
      </c>
      <c r="T7" s="1554" t="s">
        <v>8</v>
      </c>
      <c r="U7" s="1555">
        <f t="shared" ref="U7:U14" si="1">H7</f>
        <v>0</v>
      </c>
      <c r="V7" s="1554" t="s">
        <v>8</v>
      </c>
      <c r="W7" s="1555">
        <f t="shared" ref="W7:W14" si="2">J7</f>
        <v>0</v>
      </c>
      <c r="X7" s="1556"/>
      <c r="Y7" s="3406" t="s">
        <v>530</v>
      </c>
      <c r="Z7" s="3407"/>
      <c r="AA7" s="1557" t="e">
        <f>D7/F7</f>
        <v>#DIV/0!</v>
      </c>
      <c r="AB7" s="1557" t="e">
        <f>D7/H7</f>
        <v>#DIV/0!</v>
      </c>
      <c r="AC7" s="1557" t="e">
        <f>D7/J7</f>
        <v>#DIV/0!</v>
      </c>
    </row>
    <row r="8" spans="1:29" s="1216" customFormat="1" ht="15" thickBot="1">
      <c r="A8" s="2866"/>
      <c r="B8" s="2873" t="s">
        <v>531</v>
      </c>
      <c r="C8" s="525" t="s">
        <v>576</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406" t="s">
        <v>533</v>
      </c>
      <c r="Q8" s="3407"/>
      <c r="R8" s="1554" t="s">
        <v>8</v>
      </c>
      <c r="S8" s="1555">
        <f t="shared" si="0"/>
        <v>0</v>
      </c>
      <c r="T8" s="1554" t="s">
        <v>8</v>
      </c>
      <c r="U8" s="1555">
        <f t="shared" si="1"/>
        <v>0</v>
      </c>
      <c r="V8" s="1554" t="s">
        <v>8</v>
      </c>
      <c r="W8" s="1555">
        <f t="shared" si="2"/>
        <v>0</v>
      </c>
      <c r="X8" s="1556"/>
      <c r="Y8" s="3406" t="s">
        <v>533</v>
      </c>
      <c r="Z8" s="3407"/>
      <c r="AA8" s="1557" t="e">
        <f t="shared" ref="AA8:AA34" si="3">D8/F8</f>
        <v>#DIV/0!</v>
      </c>
      <c r="AB8" s="1557" t="e">
        <f t="shared" ref="AB8:AB34" si="4">D8/H8</f>
        <v>#DIV/0!</v>
      </c>
      <c r="AC8" s="1557" t="e">
        <f t="shared" ref="AC8:AC34" si="5">D8/J8</f>
        <v>#DIV/0!</v>
      </c>
    </row>
    <row r="9" spans="1:29" s="1216" customFormat="1" ht="14.4">
      <c r="A9" s="2867"/>
      <c r="B9" s="2874" t="s">
        <v>2752</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375" t="s">
        <v>535</v>
      </c>
      <c r="Q9" s="1147" t="str">
        <f t="shared" ref="Q9:Q14" si="6">B9</f>
        <v>用途</v>
      </c>
      <c r="R9" s="1554" t="s">
        <v>8</v>
      </c>
      <c r="S9" s="1555">
        <f t="shared" si="0"/>
        <v>100</v>
      </c>
      <c r="T9" s="1554" t="s">
        <v>8</v>
      </c>
      <c r="U9" s="1555">
        <f t="shared" si="1"/>
        <v>100</v>
      </c>
      <c r="V9" s="1554" t="s">
        <v>8</v>
      </c>
      <c r="W9" s="1555">
        <f t="shared" si="2"/>
        <v>100</v>
      </c>
      <c r="X9" s="1556"/>
      <c r="Y9" s="3321" t="s">
        <v>536</v>
      </c>
      <c r="Z9" s="1146" t="str">
        <f t="shared" ref="Z9:Z14" si="7">Q9</f>
        <v>用途</v>
      </c>
      <c r="AA9" s="1557">
        <f t="shared" si="3"/>
        <v>1</v>
      </c>
      <c r="AB9" s="1557">
        <f t="shared" si="4"/>
        <v>1</v>
      </c>
      <c r="AC9" s="1557">
        <f t="shared" si="5"/>
        <v>1</v>
      </c>
    </row>
    <row r="10" spans="1:29" s="1334" customFormat="1" ht="28.8">
      <c r="A10" s="2868"/>
      <c r="B10" s="2873" t="s">
        <v>2753</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375"/>
      <c r="Q10" s="1147" t="str">
        <f t="shared" si="6"/>
        <v>土地使用年限（年）</v>
      </c>
      <c r="R10" s="1554" t="s">
        <v>8</v>
      </c>
      <c r="S10" s="1555">
        <f t="shared" si="0"/>
        <v>100</v>
      </c>
      <c r="T10" s="1554" t="s">
        <v>8</v>
      </c>
      <c r="U10" s="1555">
        <f t="shared" si="1"/>
        <v>100</v>
      </c>
      <c r="V10" s="1554" t="s">
        <v>8</v>
      </c>
      <c r="W10" s="1555">
        <f t="shared" si="2"/>
        <v>100</v>
      </c>
      <c r="X10" s="1556"/>
      <c r="Y10" s="3321"/>
      <c r="Z10" s="1146" t="str">
        <f t="shared" si="7"/>
        <v>土地使用年限（年）</v>
      </c>
      <c r="AA10" s="1557">
        <f t="shared" si="3"/>
        <v>1</v>
      </c>
      <c r="AB10" s="1557">
        <f t="shared" si="4"/>
        <v>1</v>
      </c>
      <c r="AC10" s="1557">
        <f t="shared" si="5"/>
        <v>1</v>
      </c>
    </row>
    <row r="11" spans="1:29" ht="15">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3"/>
      <c r="M11" s="2117"/>
      <c r="N11" s="2117"/>
      <c r="O11" s="2124"/>
      <c r="P11" s="3375"/>
      <c r="Q11" s="1147">
        <f t="shared" si="6"/>
        <v>111</v>
      </c>
      <c r="R11" s="1554" t="s">
        <v>8</v>
      </c>
      <c r="S11" s="1555">
        <f t="shared" si="0"/>
        <v>100</v>
      </c>
      <c r="T11" s="1554" t="s">
        <v>8</v>
      </c>
      <c r="U11" s="1555">
        <f t="shared" si="1"/>
        <v>100</v>
      </c>
      <c r="V11" s="1554" t="s">
        <v>8</v>
      </c>
      <c r="W11" s="1555">
        <f t="shared" si="2"/>
        <v>100</v>
      </c>
      <c r="X11" s="1556"/>
      <c r="Y11" s="3321"/>
      <c r="Z11" s="1146">
        <f t="shared" si="7"/>
        <v>111</v>
      </c>
      <c r="AA11" s="1557">
        <f t="shared" si="3"/>
        <v>1</v>
      </c>
      <c r="AB11" s="1557">
        <f t="shared" si="4"/>
        <v>1</v>
      </c>
      <c r="AC11" s="1557">
        <f t="shared" si="5"/>
        <v>1</v>
      </c>
    </row>
    <row r="12" spans="1:29" s="1216" customFormat="1" ht="15">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18"/>
      <c r="M12" s="2119"/>
      <c r="N12" s="2119"/>
      <c r="O12" s="2120"/>
      <c r="P12" s="3375"/>
      <c r="Q12" s="1147">
        <f t="shared" si="6"/>
        <v>111</v>
      </c>
      <c r="R12" s="1554" t="s">
        <v>8</v>
      </c>
      <c r="S12" s="1555">
        <f t="shared" si="0"/>
        <v>100</v>
      </c>
      <c r="T12" s="1554" t="s">
        <v>8</v>
      </c>
      <c r="U12" s="1555">
        <f t="shared" si="1"/>
        <v>100</v>
      </c>
      <c r="V12" s="1554" t="s">
        <v>8</v>
      </c>
      <c r="W12" s="1555">
        <f t="shared" si="2"/>
        <v>100</v>
      </c>
      <c r="X12" s="1556"/>
      <c r="Y12" s="3321"/>
      <c r="Z12" s="1146">
        <f t="shared" si="7"/>
        <v>111</v>
      </c>
      <c r="AA12" s="1557">
        <f>D12/F12</f>
        <v>1</v>
      </c>
      <c r="AB12" s="1557">
        <f>D12/H12</f>
        <v>1</v>
      </c>
      <c r="AC12" s="1557">
        <f>D12/J12</f>
        <v>1</v>
      </c>
    </row>
    <row r="13" spans="1:29" ht="15.6"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5"/>
      <c r="M13" s="2117"/>
      <c r="N13" s="2117"/>
      <c r="O13" s="2124"/>
      <c r="P13" s="3375"/>
      <c r="Q13" s="1147">
        <f t="shared" si="6"/>
        <v>111</v>
      </c>
      <c r="R13" s="1554" t="s">
        <v>8</v>
      </c>
      <c r="S13" s="1555">
        <f t="shared" si="0"/>
        <v>100</v>
      </c>
      <c r="T13" s="1554" t="s">
        <v>8</v>
      </c>
      <c r="U13" s="1555">
        <f t="shared" si="1"/>
        <v>100</v>
      </c>
      <c r="V13" s="1554" t="s">
        <v>8</v>
      </c>
      <c r="W13" s="1555">
        <f t="shared" si="2"/>
        <v>100</v>
      </c>
      <c r="X13" s="1556"/>
      <c r="Y13" s="3321"/>
      <c r="Z13" s="1146">
        <f t="shared" si="7"/>
        <v>111</v>
      </c>
      <c r="AA13" s="1557">
        <f t="shared" si="3"/>
        <v>1</v>
      </c>
      <c r="AB13" s="1557">
        <f t="shared" si="4"/>
        <v>1</v>
      </c>
      <c r="AC13" s="1557">
        <f t="shared" si="5"/>
        <v>1</v>
      </c>
    </row>
    <row r="14" spans="1:29" ht="15">
      <c r="A14" s="2863" t="s">
        <v>2750</v>
      </c>
      <c r="B14" s="166" t="s">
        <v>543</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25"/>
      <c r="M14" s="2117"/>
      <c r="N14" s="2117"/>
      <c r="O14" s="2124"/>
      <c r="P14" s="3409" t="s">
        <v>540</v>
      </c>
      <c r="Q14" s="1558" t="str">
        <f t="shared" si="6"/>
        <v>交通便捷度</v>
      </c>
      <c r="R14" s="1559" t="s">
        <v>8</v>
      </c>
      <c r="S14" s="1560">
        <f t="shared" si="0"/>
        <v>100</v>
      </c>
      <c r="T14" s="1559" t="s">
        <v>8</v>
      </c>
      <c r="U14" s="1560">
        <f t="shared" si="1"/>
        <v>100</v>
      </c>
      <c r="V14" s="1559" t="s">
        <v>8</v>
      </c>
      <c r="W14" s="1560">
        <f t="shared" si="2"/>
        <v>100</v>
      </c>
      <c r="X14" s="1553"/>
      <c r="Y14" s="3409"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5"/>
      <c r="M15" s="2117"/>
      <c r="N15" s="2117"/>
      <c r="O15" s="2124"/>
      <c r="P15" s="3410"/>
      <c r="Q15" s="1558"/>
      <c r="R15" s="1559"/>
      <c r="S15" s="1560"/>
      <c r="T15" s="1559"/>
      <c r="U15" s="1560"/>
      <c r="V15" s="1559"/>
      <c r="W15" s="1560"/>
      <c r="X15" s="1553"/>
      <c r="Y15" s="3410"/>
      <c r="Z15" s="1561"/>
      <c r="AA15" s="1562">
        <v>1</v>
      </c>
      <c r="AB15" s="1562">
        <v>1</v>
      </c>
      <c r="AC15" s="1562">
        <v>1</v>
      </c>
    </row>
    <row r="16" spans="1:29" ht="15">
      <c r="A16" s="532"/>
      <c r="B16" s="2565" t="s">
        <v>2543</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25"/>
      <c r="M16" s="2117"/>
      <c r="N16" s="2117"/>
      <c r="O16" s="2124"/>
      <c r="P16" s="3410"/>
      <c r="Q16" s="1558" t="str">
        <f>B16</f>
        <v>公共配套设施</v>
      </c>
      <c r="R16" s="1559" t="s">
        <v>8</v>
      </c>
      <c r="S16" s="1560">
        <f>F16</f>
        <v>100</v>
      </c>
      <c r="T16" s="1559" t="s">
        <v>8</v>
      </c>
      <c r="U16" s="1560">
        <f>H16</f>
        <v>100</v>
      </c>
      <c r="V16" s="1559" t="s">
        <v>8</v>
      </c>
      <c r="W16" s="1560">
        <f>J16</f>
        <v>100</v>
      </c>
      <c r="X16" s="1553"/>
      <c r="Y16" s="3410"/>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5"/>
      <c r="M17" s="2117"/>
      <c r="N17" s="2117"/>
      <c r="O17" s="2124"/>
      <c r="P17" s="3410"/>
      <c r="Q17" s="1558"/>
      <c r="R17" s="1559"/>
      <c r="S17" s="1560"/>
      <c r="T17" s="1559"/>
      <c r="U17" s="1560"/>
      <c r="V17" s="1559"/>
      <c r="W17" s="1560"/>
      <c r="X17" s="1553"/>
      <c r="Y17" s="3410"/>
      <c r="Z17" s="1561"/>
      <c r="AA17" s="1562">
        <v>1</v>
      </c>
      <c r="AB17" s="1562">
        <v>1</v>
      </c>
      <c r="AC17" s="1562">
        <v>1</v>
      </c>
    </row>
    <row r="18" spans="1:29" ht="15">
      <c r="A18" s="532"/>
      <c r="B18" s="2553" t="s">
        <v>2555</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5"/>
      <c r="M18" s="2117"/>
      <c r="N18" s="2117"/>
      <c r="O18" s="2124"/>
      <c r="P18" s="3410"/>
      <c r="Q18" s="2541" t="str">
        <f>B18</f>
        <v>基础设施水平</v>
      </c>
      <c r="R18" s="1559" t="s">
        <v>8</v>
      </c>
      <c r="S18" s="1560">
        <f>F18</f>
        <v>100</v>
      </c>
      <c r="T18" s="1559" t="s">
        <v>8</v>
      </c>
      <c r="U18" s="1560">
        <f>H18</f>
        <v>100</v>
      </c>
      <c r="V18" s="1559" t="s">
        <v>8</v>
      </c>
      <c r="W18" s="1560">
        <f>J18</f>
        <v>100</v>
      </c>
      <c r="X18" s="2543"/>
      <c r="Y18" s="3410"/>
      <c r="Z18" s="2542"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4"/>
      <c r="L19" s="2125"/>
      <c r="M19" s="2117"/>
      <c r="N19" s="2117"/>
      <c r="O19" s="2124"/>
      <c r="P19" s="3410"/>
      <c r="Q19" s="2541"/>
      <c r="R19" s="1559"/>
      <c r="S19" s="1560"/>
      <c r="T19" s="1559"/>
      <c r="U19" s="1560"/>
      <c r="V19" s="1559"/>
      <c r="W19" s="1560"/>
      <c r="X19" s="2543"/>
      <c r="Y19" s="3410"/>
      <c r="Z19" s="2542"/>
      <c r="AA19" s="1562">
        <v>1</v>
      </c>
      <c r="AB19" s="1562">
        <v>1</v>
      </c>
      <c r="AC19" s="1562">
        <v>1</v>
      </c>
    </row>
    <row r="20" spans="1:29" ht="15">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25"/>
      <c r="M20" s="2117"/>
      <c r="N20" s="2117"/>
      <c r="O20" s="2124"/>
      <c r="P20" s="3410"/>
      <c r="Q20" s="1558" t="str">
        <f>B20</f>
        <v>自然及人文环境</v>
      </c>
      <c r="R20" s="1559" t="s">
        <v>8</v>
      </c>
      <c r="S20" s="1560">
        <f>F20</f>
        <v>100</v>
      </c>
      <c r="T20" s="1559" t="s">
        <v>8</v>
      </c>
      <c r="U20" s="1560">
        <f>H20</f>
        <v>100</v>
      </c>
      <c r="V20" s="1559" t="s">
        <v>8</v>
      </c>
      <c r="W20" s="1560">
        <f>J20</f>
        <v>100</v>
      </c>
      <c r="X20" s="1553"/>
      <c r="Y20" s="3410"/>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5"/>
      <c r="M21" s="2117"/>
      <c r="N21" s="2117"/>
      <c r="O21" s="2124"/>
      <c r="P21" s="3410"/>
      <c r="Q21" s="1558"/>
      <c r="R21" s="1559"/>
      <c r="S21" s="1560"/>
      <c r="T21" s="1559"/>
      <c r="U21" s="1560"/>
      <c r="V21" s="1559"/>
      <c r="W21" s="1560"/>
      <c r="X21" s="1553"/>
      <c r="Y21" s="3410"/>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410"/>
      <c r="Q22" s="1558" t="str">
        <f>B22</f>
        <v>楼层</v>
      </c>
      <c r="R22" s="1559" t="s">
        <v>8</v>
      </c>
      <c r="S22" s="1560">
        <f>F22</f>
        <v>100</v>
      </c>
      <c r="T22" s="1559" t="s">
        <v>8</v>
      </c>
      <c r="U22" s="1560">
        <f>H22</f>
        <v>100</v>
      </c>
      <c r="V22" s="1559" t="s">
        <v>8</v>
      </c>
      <c r="W22" s="1560">
        <f>J22</f>
        <v>100</v>
      </c>
      <c r="X22" s="1553"/>
      <c r="Y22" s="3410"/>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410"/>
      <c r="Q23" s="1558">
        <f>B23</f>
        <v>111</v>
      </c>
      <c r="R23" s="1559" t="s">
        <v>8</v>
      </c>
      <c r="S23" s="1560">
        <f>F23</f>
        <v>100</v>
      </c>
      <c r="T23" s="1559" t="s">
        <v>8</v>
      </c>
      <c r="U23" s="1560">
        <f>H23</f>
        <v>100</v>
      </c>
      <c r="V23" s="1559" t="s">
        <v>8</v>
      </c>
      <c r="W23" s="1560">
        <f>J23</f>
        <v>100</v>
      </c>
      <c r="X23" s="1553"/>
      <c r="Y23" s="3410"/>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410"/>
      <c r="Q24" s="1558">
        <f t="shared" ref="Q24:Q34" si="11">B24</f>
        <v>111</v>
      </c>
      <c r="R24" s="1559" t="s">
        <v>8</v>
      </c>
      <c r="S24" s="1560">
        <f>F24</f>
        <v>100</v>
      </c>
      <c r="T24" s="1559" t="s">
        <v>8</v>
      </c>
      <c r="U24" s="1560">
        <f>H24</f>
        <v>100</v>
      </c>
      <c r="V24" s="1559" t="s">
        <v>8</v>
      </c>
      <c r="W24" s="1560">
        <f>J24</f>
        <v>100</v>
      </c>
      <c r="X24" s="1553"/>
      <c r="Y24" s="3410"/>
      <c r="Z24" s="1561">
        <f>Q24</f>
        <v>111</v>
      </c>
      <c r="AA24" s="1562">
        <f t="shared" si="3"/>
        <v>1</v>
      </c>
      <c r="AB24" s="1562">
        <f t="shared" si="4"/>
        <v>1</v>
      </c>
      <c r="AC24" s="1562">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8"/>
      <c r="M25" s="2119"/>
      <c r="N25" s="2119"/>
      <c r="O25" s="2120"/>
      <c r="P25" s="3410"/>
      <c r="Q25" s="1147">
        <f t="shared" si="11"/>
        <v>111</v>
      </c>
      <c r="R25" s="1554" t="s">
        <v>8</v>
      </c>
      <c r="S25" s="1555">
        <f>F25</f>
        <v>100</v>
      </c>
      <c r="T25" s="1554" t="s">
        <v>8</v>
      </c>
      <c r="U25" s="1555">
        <f>H25</f>
        <v>100</v>
      </c>
      <c r="V25" s="1554" t="s">
        <v>8</v>
      </c>
      <c r="W25" s="1555">
        <f>J25</f>
        <v>100</v>
      </c>
      <c r="X25" s="1556"/>
      <c r="Y25" s="3410"/>
      <c r="Z25" s="1146">
        <f>Q25</f>
        <v>111</v>
      </c>
      <c r="AA25" s="1562">
        <f>D25/F25</f>
        <v>1</v>
      </c>
      <c r="AB25" s="1562">
        <f>D25/H25</f>
        <v>1</v>
      </c>
      <c r="AC25" s="1562">
        <f>D25/J25</f>
        <v>1</v>
      </c>
    </row>
    <row r="26" spans="1:29" ht="15">
      <c r="A26" s="2860"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5"/>
      <c r="M26" s="2117"/>
      <c r="N26" s="2117"/>
      <c r="O26" s="2124"/>
      <c r="P26" s="3411"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2"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3"/>
      <c r="M27" s="2154"/>
      <c r="N27" s="2154"/>
      <c r="O27" s="2126"/>
      <c r="P27" s="3412"/>
      <c r="Q27" s="1590" t="str">
        <f t="shared" si="11"/>
        <v>成新率</v>
      </c>
      <c r="R27" s="1563" t="s">
        <v>8</v>
      </c>
      <c r="S27" s="1564" t="e">
        <f t="shared" si="12"/>
        <v>#N/A</v>
      </c>
      <c r="T27" s="1563" t="s">
        <v>8</v>
      </c>
      <c r="U27" s="1564" t="e">
        <f t="shared" si="13"/>
        <v>#N/A</v>
      </c>
      <c r="V27" s="1563" t="s">
        <v>8</v>
      </c>
      <c r="W27" s="1564" t="e">
        <f t="shared" si="14"/>
        <v>#N/A</v>
      </c>
      <c r="X27" s="1565"/>
      <c r="Y27" s="3412"/>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412"/>
      <c r="Q28" s="1558" t="str">
        <f t="shared" si="11"/>
        <v>物业等级</v>
      </c>
      <c r="R28" s="1559" t="s">
        <v>8</v>
      </c>
      <c r="S28" s="1560">
        <f t="shared" si="12"/>
        <v>100</v>
      </c>
      <c r="T28" s="1559" t="s">
        <v>8</v>
      </c>
      <c r="U28" s="1560">
        <f t="shared" si="13"/>
        <v>100</v>
      </c>
      <c r="V28" s="1559" t="s">
        <v>8</v>
      </c>
      <c r="W28" s="1560">
        <f t="shared" si="14"/>
        <v>100</v>
      </c>
      <c r="X28" s="1553"/>
      <c r="Y28" s="3412"/>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5"/>
      <c r="M29" s="2117"/>
      <c r="N29" s="2117"/>
      <c r="O29" s="2124"/>
      <c r="P29" s="3412"/>
      <c r="Q29" s="1558" t="str">
        <f t="shared" si="11"/>
        <v>有无电梯</v>
      </c>
      <c r="R29" s="1559" t="s">
        <v>8</v>
      </c>
      <c r="S29" s="1560">
        <f t="shared" si="12"/>
        <v>100</v>
      </c>
      <c r="T29" s="1559" t="s">
        <v>8</v>
      </c>
      <c r="U29" s="1560">
        <f t="shared" si="13"/>
        <v>100</v>
      </c>
      <c r="V29" s="1559" t="s">
        <v>8</v>
      </c>
      <c r="W29" s="1560">
        <f t="shared" si="14"/>
        <v>100</v>
      </c>
      <c r="X29" s="1553"/>
      <c r="Y29" s="3412"/>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5"/>
      <c r="M30" s="2117"/>
      <c r="N30" s="2117"/>
      <c r="O30" s="2124"/>
      <c r="P30" s="3412"/>
      <c r="Q30" s="1558" t="str">
        <f t="shared" si="11"/>
        <v>建筑面积</v>
      </c>
      <c r="R30" s="1559" t="s">
        <v>8</v>
      </c>
      <c r="S30" s="1560" t="e">
        <f t="shared" si="12"/>
        <v>#N/A</v>
      </c>
      <c r="T30" s="1559" t="s">
        <v>8</v>
      </c>
      <c r="U30" s="1560" t="e">
        <f t="shared" si="13"/>
        <v>#N/A</v>
      </c>
      <c r="V30" s="1559" t="s">
        <v>8</v>
      </c>
      <c r="W30" s="1560" t="e">
        <f t="shared" si="14"/>
        <v>#N/A</v>
      </c>
      <c r="X30" s="1553"/>
      <c r="Y30" s="3412"/>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8"/>
      <c r="M31" s="2119"/>
      <c r="N31" s="2119"/>
      <c r="O31" s="2120"/>
      <c r="P31" s="3412"/>
      <c r="Q31" s="1147" t="str">
        <f t="shared" si="11"/>
        <v>是否封闭</v>
      </c>
      <c r="R31" s="1554" t="s">
        <v>8</v>
      </c>
      <c r="S31" s="1555">
        <f t="shared" si="12"/>
        <v>100</v>
      </c>
      <c r="T31" s="1554" t="s">
        <v>8</v>
      </c>
      <c r="U31" s="1555">
        <f t="shared" si="13"/>
        <v>100</v>
      </c>
      <c r="V31" s="1554" t="s">
        <v>8</v>
      </c>
      <c r="W31" s="1555">
        <f t="shared" si="14"/>
        <v>100</v>
      </c>
      <c r="X31" s="1556"/>
      <c r="Y31" s="3412"/>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5"/>
      <c r="M32" s="2117"/>
      <c r="N32" s="2117"/>
      <c r="O32" s="2124"/>
      <c r="P32" s="3412" t="s">
        <v>550</v>
      </c>
      <c r="Q32" s="1558">
        <f t="shared" si="11"/>
        <v>111</v>
      </c>
      <c r="R32" s="1559" t="s">
        <v>8</v>
      </c>
      <c r="S32" s="1560">
        <f t="shared" si="12"/>
        <v>100</v>
      </c>
      <c r="T32" s="1559" t="s">
        <v>8</v>
      </c>
      <c r="U32" s="1560">
        <f t="shared" si="13"/>
        <v>100</v>
      </c>
      <c r="V32" s="1559" t="s">
        <v>8</v>
      </c>
      <c r="W32" s="1560">
        <f t="shared" si="14"/>
        <v>100</v>
      </c>
      <c r="X32" s="1553"/>
      <c r="Y32" s="3412"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5"/>
      <c r="M33" s="2117"/>
      <c r="N33" s="2117"/>
      <c r="O33" s="2124"/>
      <c r="P33" s="3412"/>
      <c r="Q33" s="1558">
        <f t="shared" si="11"/>
        <v>111</v>
      </c>
      <c r="R33" s="1559" t="s">
        <v>8</v>
      </c>
      <c r="S33" s="1560">
        <f t="shared" si="12"/>
        <v>100</v>
      </c>
      <c r="T33" s="1559" t="s">
        <v>8</v>
      </c>
      <c r="U33" s="1560">
        <f t="shared" si="13"/>
        <v>100</v>
      </c>
      <c r="V33" s="1559" t="s">
        <v>8</v>
      </c>
      <c r="W33" s="1560">
        <f t="shared" si="14"/>
        <v>100</v>
      </c>
      <c r="X33" s="1553"/>
      <c r="Y33" s="3412"/>
      <c r="Z33" s="1561">
        <f t="shared" si="15"/>
        <v>111</v>
      </c>
      <c r="AA33" s="1562">
        <f t="shared" si="3"/>
        <v>1</v>
      </c>
      <c r="AB33" s="1562">
        <f t="shared" si="4"/>
        <v>1</v>
      </c>
      <c r="AC33" s="1562">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5"/>
      <c r="M34" s="2117"/>
      <c r="N34" s="2117"/>
      <c r="O34" s="2124"/>
      <c r="P34" s="3412"/>
      <c r="Q34" s="1558">
        <f t="shared" si="11"/>
        <v>111</v>
      </c>
      <c r="R34" s="1559" t="s">
        <v>8</v>
      </c>
      <c r="S34" s="1560">
        <f t="shared" si="12"/>
        <v>100</v>
      </c>
      <c r="T34" s="1559" t="s">
        <v>8</v>
      </c>
      <c r="U34" s="1560">
        <f t="shared" si="13"/>
        <v>100</v>
      </c>
      <c r="V34" s="1559" t="s">
        <v>8</v>
      </c>
      <c r="W34" s="1560">
        <f t="shared" si="14"/>
        <v>100</v>
      </c>
      <c r="X34" s="1553"/>
      <c r="Y34" s="3412"/>
      <c r="Z34" s="1561">
        <f t="shared" si="15"/>
        <v>111</v>
      </c>
      <c r="AA34" s="1562">
        <f t="shared" si="3"/>
        <v>1</v>
      </c>
      <c r="AB34" s="1562">
        <f t="shared" si="4"/>
        <v>1</v>
      </c>
      <c r="AC34" s="1562">
        <f t="shared" si="5"/>
        <v>1</v>
      </c>
    </row>
    <row r="35" spans="1:29" ht="14.4">
      <c r="A35" s="607" t="s">
        <v>736</v>
      </c>
      <c r="B35" s="887"/>
      <c r="C35" s="2589" t="s">
        <v>1</v>
      </c>
      <c r="D35" s="2590"/>
      <c r="E35" s="2591"/>
      <c r="F35" s="2592"/>
      <c r="G35" s="2593"/>
      <c r="H35" s="2594"/>
      <c r="I35" s="2591"/>
      <c r="J35" s="2594"/>
      <c r="K35" s="1596"/>
      <c r="L35" s="2127"/>
      <c r="M35" s="2128"/>
      <c r="N35" s="2117"/>
      <c r="O35" s="2128"/>
      <c r="P35" s="3375" t="str">
        <f>A35</f>
        <v>成交单价（元/平方米）</v>
      </c>
      <c r="Q35" s="3375"/>
      <c r="R35" s="3492">
        <f>E35</f>
        <v>0</v>
      </c>
      <c r="S35" s="3492"/>
      <c r="T35" s="3492">
        <f>G35</f>
        <v>0</v>
      </c>
      <c r="U35" s="3492"/>
      <c r="V35" s="3492">
        <f>I35</f>
        <v>0</v>
      </c>
      <c r="W35" s="3492"/>
      <c r="X35" s="1545"/>
      <c r="Y35" s="1567"/>
      <c r="Z35" s="1545"/>
      <c r="AA35" s="1545"/>
      <c r="AB35" s="1545"/>
      <c r="AC35" s="1545"/>
    </row>
    <row r="36" spans="1:29" ht="15" thickBot="1">
      <c r="A36" s="615" t="s">
        <v>2756</v>
      </c>
      <c r="B36" s="888"/>
      <c r="C36" s="2595" t="e">
        <f>R37</f>
        <v>#DIV/0!</v>
      </c>
      <c r="D36" s="2596"/>
      <c r="E36" s="2597" t="e">
        <f>R36</f>
        <v>#DIV/0!</v>
      </c>
      <c r="F36" s="2597"/>
      <c r="G36" s="2595" t="e">
        <f>T36</f>
        <v>#DIV/0!</v>
      </c>
      <c r="H36" s="2596"/>
      <c r="I36" s="2597" t="e">
        <f>V36</f>
        <v>#DIV/0!</v>
      </c>
      <c r="J36" s="2596"/>
      <c r="K36" s="1597"/>
      <c r="L36" s="2127"/>
      <c r="M36" s="2128"/>
      <c r="N36" s="2117"/>
      <c r="O36" s="2128"/>
      <c r="P36" s="3375" t="str">
        <f>A36</f>
        <v>比较价格（元/平方米）</v>
      </c>
      <c r="Q36" s="3375"/>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45"/>
      <c r="Y36" s="1545"/>
      <c r="Z36" s="1545"/>
      <c r="AA36" s="1545"/>
      <c r="AB36" s="1545"/>
      <c r="AC36" s="1545"/>
    </row>
    <row r="37" spans="1:29" ht="15" thickBot="1">
      <c r="A37" s="621" t="s">
        <v>2929</v>
      </c>
      <c r="B37" s="622"/>
      <c r="C37" s="2598" t="e">
        <f>R37</f>
        <v>#DIV/0!</v>
      </c>
      <c r="D37" s="2598"/>
      <c r="E37" s="2598"/>
      <c r="F37" s="2598"/>
      <c r="G37" s="2598"/>
      <c r="H37" s="2598"/>
      <c r="I37" s="2598"/>
      <c r="J37" s="2598"/>
      <c r="K37" s="1598"/>
      <c r="L37" s="2127"/>
      <c r="M37" s="2128"/>
      <c r="N37" s="2128"/>
      <c r="O37" s="2128"/>
      <c r="P37" s="3372" t="str">
        <f>A37</f>
        <v>估价对象XX用房的比较价格（楼面单价，元/平方米）</v>
      </c>
      <c r="Q37" s="3373"/>
      <c r="R37" s="3491" t="e">
        <f>IF(F1="售价",ROUND(AVERAGE(R36:V36),0),ROUND(AVERAGE(R36:V36),1))</f>
        <v>#DIV/0!</v>
      </c>
      <c r="S37" s="3491"/>
      <c r="T37" s="3491"/>
      <c r="U37" s="3491"/>
      <c r="V37" s="3491"/>
      <c r="W37" s="3491"/>
      <c r="X37" s="1545"/>
      <c r="Y37" s="1545"/>
      <c r="Z37" s="1545"/>
      <c r="AA37" s="1545"/>
      <c r="AB37" s="1545"/>
      <c r="AC37" s="1545"/>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1" customFormat="1" ht="13.5" customHeight="1">
      <c r="A42" s="2129"/>
      <c r="B42" s="2129"/>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1"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2.2" thickBot="1">
      <c r="A45" s="1570" t="s">
        <v>574</v>
      </c>
      <c r="B45" s="1545"/>
      <c r="C45" s="1569"/>
      <c r="D45" s="1569"/>
      <c r="E45" s="1569"/>
      <c r="F45" s="1571"/>
      <c r="G45" s="1571"/>
      <c r="H45" s="1569"/>
      <c r="I45" s="1569"/>
      <c r="J45" s="1569"/>
      <c r="K45" s="1572"/>
      <c r="L45" s="1568"/>
      <c r="M45" s="1569"/>
      <c r="N45" s="1569"/>
      <c r="O45" s="1569"/>
      <c r="P45" s="2140"/>
      <c r="Q45" s="2141"/>
      <c r="R45" s="2128"/>
      <c r="S45" s="2128"/>
      <c r="T45" s="2128"/>
      <c r="U45" s="2128"/>
      <c r="V45" s="2128"/>
      <c r="W45" s="2128"/>
      <c r="X45" s="2128"/>
      <c r="Y45" s="2128"/>
      <c r="Z45" s="2128"/>
      <c r="AA45" s="2128"/>
      <c r="AB45" s="2128"/>
      <c r="AC45" s="2128"/>
    </row>
    <row r="46" spans="1:29" s="1343" customFormat="1" ht="14.4">
      <c r="A46" s="645" t="s">
        <v>529</v>
      </c>
      <c r="B46" s="646"/>
      <c r="C46" s="2755" t="str">
        <f>YEAR(C7)&amp;"-"&amp;MONTH(C7)</f>
        <v>2020-2</v>
      </c>
      <c r="D46" s="2757">
        <f>EDATE(C46,-1)</f>
        <v>43831</v>
      </c>
      <c r="E46" s="2757">
        <f t="shared" ref="E46:O46" si="16">EDATE(D46,-1)</f>
        <v>43800</v>
      </c>
      <c r="F46" s="2757">
        <f t="shared" si="16"/>
        <v>43770</v>
      </c>
      <c r="G46" s="2757">
        <f t="shared" si="16"/>
        <v>43739</v>
      </c>
      <c r="H46" s="2757">
        <f t="shared" si="16"/>
        <v>43709</v>
      </c>
      <c r="I46" s="2757">
        <f t="shared" si="16"/>
        <v>43678</v>
      </c>
      <c r="J46" s="2757">
        <f t="shared" si="16"/>
        <v>43647</v>
      </c>
      <c r="K46" s="2757">
        <f t="shared" si="16"/>
        <v>43617</v>
      </c>
      <c r="L46" s="2757">
        <f t="shared" si="16"/>
        <v>43586</v>
      </c>
      <c r="M46" s="2757">
        <f t="shared" si="16"/>
        <v>43556</v>
      </c>
      <c r="N46" s="2757">
        <f t="shared" si="16"/>
        <v>43525</v>
      </c>
      <c r="O46" s="2757">
        <f t="shared" si="16"/>
        <v>43497</v>
      </c>
      <c r="P46" s="2143"/>
      <c r="Q46" s="2144"/>
      <c r="R46" s="2144"/>
      <c r="S46" s="2144"/>
      <c r="T46" s="2144"/>
      <c r="U46" s="2144"/>
      <c r="V46" s="2144"/>
      <c r="W46" s="2144"/>
      <c r="X46" s="2144"/>
      <c r="Y46" s="2144"/>
      <c r="Z46" s="2144"/>
      <c r="AA46" s="2144"/>
      <c r="AB46" s="2144"/>
      <c r="AC46" s="2144"/>
    </row>
    <row r="47" spans="1:29" s="1216" customFormat="1">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6" customFormat="1" ht="15" thickBot="1">
      <c r="A48" s="653" t="s">
        <v>575</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6" customFormat="1" ht="14.4">
      <c r="A49" s="659" t="s">
        <v>531</v>
      </c>
      <c r="B49" s="648"/>
      <c r="C49" s="660" t="s">
        <v>576</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6" customFormat="1" ht="14.4"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ht="14.4">
      <c r="A51" s="664" t="s">
        <v>577</v>
      </c>
      <c r="B51" s="665" t="s">
        <v>534</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4.4"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4.4" thickTop="1">
      <c r="A55" s="669"/>
      <c r="B55" s="935">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4.4"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5" customFormat="1" ht="14.4"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5" customFormat="1" ht="14.4"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5" customFormat="1" ht="14.4"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5" customFormat="1" ht="14.4"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 thickTop="1">
      <c r="A63" s="669"/>
      <c r="B63" s="1879" t="s">
        <v>2554</v>
      </c>
      <c r="C63" s="708" t="s">
        <v>579</v>
      </c>
      <c r="D63" s="708" t="s">
        <v>580</v>
      </c>
      <c r="E63" s="708" t="s">
        <v>581</v>
      </c>
      <c r="F63" s="708" t="s">
        <v>582</v>
      </c>
      <c r="G63" s="708" t="s">
        <v>583</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 thickTop="1">
      <c r="A65" s="669"/>
      <c r="B65" s="2559" t="s">
        <v>2555</v>
      </c>
      <c r="C65" s="2560" t="s">
        <v>2556</v>
      </c>
      <c r="D65" s="2560" t="s">
        <v>2557</v>
      </c>
      <c r="E65" s="2560" t="s">
        <v>2558</v>
      </c>
      <c r="F65" s="2560" t="s">
        <v>2559</v>
      </c>
      <c r="G65" s="2560" t="s">
        <v>2560</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49"/>
      <c r="O66" s="2149"/>
      <c r="P66" s="2148"/>
      <c r="Q66" s="2141"/>
      <c r="R66" s="2128"/>
      <c r="S66" s="2128"/>
      <c r="T66" s="2128"/>
      <c r="U66" s="2128"/>
      <c r="V66" s="2128"/>
      <c r="W66" s="2128"/>
      <c r="X66" s="2128"/>
      <c r="Y66" s="2128"/>
      <c r="Z66" s="2128"/>
      <c r="AA66" s="2128"/>
      <c r="AB66" s="2128"/>
      <c r="AC66" s="2128"/>
    </row>
    <row r="67" spans="1:29" ht="15" thickTop="1">
      <c r="A67" s="669"/>
      <c r="B67" s="673" t="s">
        <v>744</v>
      </c>
      <c r="C67" s="708" t="s">
        <v>579</v>
      </c>
      <c r="D67" s="708" t="s">
        <v>580</v>
      </c>
      <c r="E67" s="708" t="s">
        <v>581</v>
      </c>
      <c r="F67" s="708" t="s">
        <v>582</v>
      </c>
      <c r="G67" s="708" t="s">
        <v>583</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 thickTop="1">
      <c r="A69" s="669"/>
      <c r="B69" s="673" t="s">
        <v>745</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4.4"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6" customFormat="1" ht="14.4" thickTop="1">
      <c r="A71" s="709"/>
      <c r="B71" s="673">
        <f>B23</f>
        <v>111</v>
      </c>
      <c r="C71" s="541"/>
      <c r="D71" s="541"/>
      <c r="E71" s="541"/>
      <c r="F71" s="541"/>
      <c r="G71" s="688"/>
      <c r="H71" s="688"/>
      <c r="I71" s="688"/>
      <c r="J71" s="688"/>
      <c r="K71" s="688"/>
      <c r="L71" s="890"/>
      <c r="M71" s="891"/>
      <c r="N71" s="2145"/>
      <c r="O71" s="2145"/>
      <c r="P71" s="2148"/>
      <c r="Q71" s="2141"/>
      <c r="R71" s="1976"/>
      <c r="S71" s="1976"/>
      <c r="T71" s="1976"/>
      <c r="U71" s="1976"/>
      <c r="V71" s="1976"/>
      <c r="W71" s="1976"/>
      <c r="X71" s="1976"/>
      <c r="Y71" s="1976"/>
      <c r="Z71" s="1976"/>
      <c r="AA71" s="1976"/>
      <c r="AB71" s="1976"/>
      <c r="AC71" s="1976"/>
    </row>
    <row r="72" spans="1:29" s="1216" customFormat="1" ht="14.4"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6" customFormat="1" ht="14.4" thickTop="1">
      <c r="A73" s="709"/>
      <c r="B73" s="673">
        <f>B24</f>
        <v>111</v>
      </c>
      <c r="C73" s="541"/>
      <c r="D73" s="541"/>
      <c r="E73" s="541"/>
      <c r="F73" s="541"/>
      <c r="G73" s="688"/>
      <c r="H73" s="688"/>
      <c r="I73" s="688"/>
      <c r="J73" s="688"/>
      <c r="K73" s="688"/>
      <c r="L73" s="688"/>
      <c r="M73" s="891"/>
      <c r="N73" s="2145"/>
      <c r="O73" s="2145"/>
      <c r="P73" s="2148"/>
      <c r="Q73" s="2141"/>
      <c r="R73" s="1976"/>
      <c r="S73" s="1976"/>
      <c r="T73" s="1976"/>
      <c r="U73" s="1976"/>
      <c r="V73" s="1976"/>
      <c r="W73" s="1976"/>
      <c r="X73" s="1976"/>
      <c r="Y73" s="1976"/>
      <c r="Z73" s="1976"/>
      <c r="AA73" s="1976"/>
      <c r="AB73" s="1976"/>
      <c r="AC73" s="1976"/>
    </row>
    <row r="74" spans="1:29" s="1216" customFormat="1" ht="14.4"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5" customFormat="1" ht="14.4"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5" customFormat="1" ht="14.4"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551</v>
      </c>
      <c r="B77" s="665" t="s">
        <v>751</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c r="A80" s="669"/>
      <c r="B80" s="681"/>
      <c r="C80" s="894">
        <v>0.5</v>
      </c>
      <c r="D80" s="894">
        <v>0.6</v>
      </c>
      <c r="E80" s="894">
        <v>0.7</v>
      </c>
      <c r="F80" s="894">
        <v>0.8</v>
      </c>
      <c r="G80" s="894">
        <v>0.9</v>
      </c>
      <c r="H80" s="894">
        <v>1.0001</v>
      </c>
      <c r="I80" s="935"/>
      <c r="J80" s="935"/>
      <c r="K80" s="945"/>
      <c r="L80" s="946"/>
      <c r="M80" s="947"/>
      <c r="N80" s="2145"/>
      <c r="O80" s="2145"/>
      <c r="P80" s="2148"/>
      <c r="Q80" s="2141"/>
      <c r="R80" s="2128"/>
      <c r="S80" s="2128"/>
      <c r="T80" s="2128"/>
      <c r="U80" s="2128"/>
      <c r="V80" s="2128"/>
      <c r="W80" s="2128"/>
      <c r="X80" s="2128"/>
      <c r="Y80" s="2128"/>
      <c r="Z80" s="2128"/>
      <c r="AA80" s="2128"/>
      <c r="AB80" s="2128"/>
      <c r="AC80" s="2128"/>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817</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825</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4.4"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5" customFormat="1" ht="15" thickTop="1">
      <c r="A89" s="728"/>
      <c r="B89" s="673" t="s">
        <v>827</v>
      </c>
      <c r="C89" s="688"/>
      <c r="D89" s="688"/>
      <c r="E89" s="688"/>
      <c r="F89" s="688"/>
      <c r="G89" s="688"/>
      <c r="H89" s="688"/>
      <c r="I89" s="688"/>
      <c r="J89" s="688"/>
      <c r="K89" s="688"/>
      <c r="L89" s="688"/>
      <c r="M89" s="891"/>
      <c r="N89" s="2150"/>
      <c r="O89" s="2150"/>
      <c r="P89" s="2151"/>
      <c r="Q89" s="2152"/>
      <c r="R89" s="2153"/>
      <c r="S89" s="2153"/>
      <c r="T89" s="2153"/>
      <c r="U89" s="2153"/>
      <c r="V89" s="2153"/>
      <c r="W89" s="2153"/>
      <c r="X89" s="2153"/>
      <c r="Y89" s="2153"/>
      <c r="Z89" s="2153"/>
      <c r="AA89" s="2153"/>
      <c r="AB89" s="2153"/>
      <c r="AC89" s="2153"/>
    </row>
    <row r="90" spans="1:29" s="1335" customFormat="1" ht="14.4"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4.4"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4.4"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4.4"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4.4" thickTop="1">
      <c r="A95" s="735"/>
      <c r="B95" s="917">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4.4"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4.4"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7" t="s">
        <v>2300</v>
      </c>
      <c r="C1" s="3501" t="s">
        <v>2301</v>
      </c>
      <c r="D1" s="3502"/>
      <c r="E1" s="3502"/>
      <c r="F1" s="3502"/>
      <c r="G1" s="3502"/>
      <c r="H1" s="3502"/>
      <c r="I1" s="3502"/>
      <c r="J1" s="3502"/>
      <c r="K1" s="3502"/>
      <c r="L1" s="3502"/>
      <c r="M1" s="3502"/>
      <c r="N1" s="3502"/>
      <c r="O1" s="3502"/>
      <c r="P1" s="3502"/>
      <c r="Q1" s="3502"/>
      <c r="R1" s="3502"/>
      <c r="S1" s="3503"/>
      <c r="T1" s="2217" t="s">
        <v>2302</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19" t="str">
        <f>S3&amp;"(含)"&amp;"-"</f>
        <v>(含)-</v>
      </c>
      <c r="T2" s="952"/>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3"/>
      <c r="C3" s="954"/>
      <c r="D3" s="955"/>
      <c r="E3" s="955"/>
      <c r="F3" s="955"/>
      <c r="G3" s="955"/>
      <c r="H3" s="955"/>
      <c r="I3" s="955"/>
      <c r="J3" s="956"/>
      <c r="K3" s="956"/>
      <c r="L3" s="957"/>
      <c r="M3" s="2222"/>
      <c r="N3" s="2223"/>
      <c r="O3" s="955"/>
      <c r="P3" s="955"/>
      <c r="Q3" s="955"/>
      <c r="R3" s="955"/>
      <c r="S3" s="2224"/>
      <c r="T3" s="958"/>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8"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7" t="s">
        <v>2922</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8"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9" t="s">
        <v>2921</v>
      </c>
      <c r="C7" s="1944"/>
      <c r="D7" s="1945"/>
      <c r="E7" s="1945"/>
      <c r="F7" s="1945"/>
      <c r="G7" s="1945"/>
      <c r="H7" s="1945"/>
      <c r="I7" s="1945"/>
      <c r="J7" s="1945"/>
      <c r="K7" s="1945"/>
      <c r="L7" s="1945"/>
      <c r="M7" s="2242"/>
      <c r="N7" s="2243"/>
      <c r="O7" s="2244"/>
      <c r="P7" s="2245"/>
      <c r="Q7" s="2246"/>
      <c r="R7" s="2247"/>
      <c r="S7" s="2248"/>
      <c r="T7" s="959"/>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8"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9" t="s">
        <v>2920</v>
      </c>
      <c r="C9" s="1944"/>
      <c r="D9" s="1945"/>
      <c r="E9" s="1945"/>
      <c r="F9" s="1945"/>
      <c r="G9" s="1945"/>
      <c r="H9" s="1945"/>
      <c r="I9" s="1945"/>
      <c r="J9" s="1945"/>
      <c r="K9" s="1945"/>
      <c r="L9" s="1946"/>
      <c r="M9" s="2242"/>
      <c r="N9" s="2243"/>
      <c r="O9" s="2244"/>
      <c r="P9" s="2245"/>
      <c r="Q9" s="2246"/>
      <c r="R9" s="2247"/>
      <c r="S9" s="2248"/>
      <c r="T9" s="959"/>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8" thickBot="1">
      <c r="A10" s="2234"/>
      <c r="B10" s="3038"/>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7" t="s">
        <v>2933</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8"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7" t="s">
        <v>2919</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8"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7" t="s">
        <v>2918</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8"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2304</v>
      </c>
      <c r="B17" s="2261" t="s">
        <v>2305</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8"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8"/>
      <c r="C19" s="1973"/>
      <c r="D19" s="1973"/>
      <c r="E19" s="1973"/>
      <c r="F19" s="1973"/>
      <c r="G19" s="1973"/>
      <c r="H19" s="1973"/>
      <c r="I19" s="1973"/>
      <c r="J19" s="1973"/>
      <c r="K19" s="1973"/>
      <c r="L19" s="1973"/>
      <c r="M19" s="1973"/>
      <c r="N19" s="1973"/>
      <c r="O19" s="1973"/>
      <c r="P19" s="1973"/>
      <c r="Q19" s="1973"/>
      <c r="R19" s="2208"/>
      <c r="S19" s="2011"/>
    </row>
    <row r="20" spans="1:45" ht="15.6">
      <c r="A20" s="960" t="s">
        <v>828</v>
      </c>
      <c r="B20" s="775">
        <f>S22</f>
        <v>0</v>
      </c>
      <c r="C20" s="1973"/>
      <c r="D20" s="1973"/>
      <c r="E20" s="1973"/>
      <c r="F20" s="1973"/>
      <c r="G20" s="1973"/>
      <c r="H20" s="1973"/>
      <c r="I20" s="1973"/>
      <c r="J20" s="1973"/>
      <c r="K20" s="1973"/>
      <c r="L20" s="1973"/>
      <c r="M20" s="1973"/>
      <c r="N20" s="1973"/>
      <c r="O20" s="1973"/>
      <c r="P20" s="1973"/>
      <c r="Q20" s="1973"/>
      <c r="R20" s="2208"/>
      <c r="S20" s="2011"/>
    </row>
    <row r="21" spans="1:45" ht="15.6">
      <c r="A21" s="960" t="s">
        <v>829</v>
      </c>
      <c r="B21" s="775" t="e">
        <f>R22</f>
        <v>#DIV/0!</v>
      </c>
      <c r="C21" s="1973"/>
      <c r="D21" s="1973"/>
      <c r="E21" s="1973"/>
      <c r="F21" s="1973"/>
      <c r="G21" s="1973"/>
      <c r="H21" s="1973"/>
      <c r="I21" s="1973"/>
      <c r="J21" s="1973"/>
      <c r="K21" s="1973"/>
      <c r="L21" s="1973"/>
      <c r="M21" s="1973"/>
      <c r="N21" s="1973"/>
      <c r="O21" s="1973"/>
      <c r="P21" s="1973"/>
      <c r="Q21" s="1973"/>
      <c r="R21" s="2208"/>
      <c r="S21" s="2011"/>
    </row>
    <row r="22" spans="1:45">
      <c r="A22" s="799" t="s">
        <v>830</v>
      </c>
      <c r="B22" s="53">
        <f>SUM(B24:B10000)</f>
        <v>0</v>
      </c>
      <c r="C22" s="3498" t="s">
        <v>20</v>
      </c>
      <c r="D22" s="3499"/>
      <c r="E22" s="3499"/>
      <c r="F22" s="3499"/>
      <c r="G22" s="3499"/>
      <c r="H22" s="3499"/>
      <c r="I22" s="3499"/>
      <c r="J22" s="3499"/>
      <c r="K22" s="3499"/>
      <c r="L22" s="3499"/>
      <c r="M22" s="3499"/>
      <c r="N22" s="3499"/>
      <c r="O22" s="3499"/>
      <c r="P22" s="3499"/>
      <c r="Q22" s="3500"/>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4.4"/>
  <cols>
    <col min="1" max="1" width="4.88671875" style="2894" customWidth="1"/>
    <col min="2" max="2" width="13.21875" style="2900" customWidth="1"/>
    <col min="3" max="3" width="15.6640625" style="2900" customWidth="1"/>
    <col min="4" max="4" width="9.33203125" style="2900" bestFit="1" customWidth="1"/>
    <col min="5" max="5" width="13.44140625" style="2900" customWidth="1"/>
    <col min="6" max="6" width="9" style="2900"/>
    <col min="7" max="7" width="9.33203125" style="2900" bestFit="1" customWidth="1"/>
    <col min="8" max="9" width="9" style="2900"/>
    <col min="10" max="10" width="9.33203125" style="2900" bestFit="1" customWidth="1"/>
    <col min="11" max="11" width="4" style="2894" customWidth="1"/>
    <col min="12" max="12" width="5.109375" style="2900" customWidth="1"/>
    <col min="13" max="13" width="13.77734375" style="2900" customWidth="1"/>
    <col min="14" max="256" width="9" style="2900"/>
    <col min="257" max="257" width="4.88671875" style="2892" customWidth="1"/>
    <col min="258" max="258" width="13.21875" style="2892" customWidth="1"/>
    <col min="259" max="259" width="15.6640625" style="2892" customWidth="1"/>
    <col min="260" max="260" width="9.33203125" style="2892" bestFit="1" customWidth="1"/>
    <col min="261" max="261" width="13.44140625" style="2892" customWidth="1"/>
    <col min="262" max="262" width="9" style="2892"/>
    <col min="263" max="263" width="9.33203125" style="2892" bestFit="1" customWidth="1"/>
    <col min="264" max="265" width="9" style="2892"/>
    <col min="266" max="266" width="9.33203125" style="2892" bestFit="1" customWidth="1"/>
    <col min="267" max="267" width="4" style="2892" customWidth="1"/>
    <col min="268" max="268" width="5.109375" style="2892" customWidth="1"/>
    <col min="269" max="269" width="13.77734375" style="2892" customWidth="1"/>
    <col min="270" max="512" width="9" style="2892"/>
    <col min="513" max="513" width="4.88671875" style="2892" customWidth="1"/>
    <col min="514" max="514" width="13.21875" style="2892" customWidth="1"/>
    <col min="515" max="515" width="15.6640625" style="2892" customWidth="1"/>
    <col min="516" max="516" width="9.33203125" style="2892" bestFit="1" customWidth="1"/>
    <col min="517" max="517" width="13.44140625" style="2892" customWidth="1"/>
    <col min="518" max="518" width="9" style="2892"/>
    <col min="519" max="519" width="9.33203125" style="2892" bestFit="1" customWidth="1"/>
    <col min="520" max="521" width="9" style="2892"/>
    <col min="522" max="522" width="9.33203125" style="2892" bestFit="1" customWidth="1"/>
    <col min="523" max="523" width="4" style="2892" customWidth="1"/>
    <col min="524" max="524" width="5.109375" style="2892" customWidth="1"/>
    <col min="525" max="525" width="13.77734375" style="2892" customWidth="1"/>
    <col min="526" max="768" width="9" style="2892"/>
    <col min="769" max="769" width="4.88671875" style="2892" customWidth="1"/>
    <col min="770" max="770" width="13.21875" style="2892" customWidth="1"/>
    <col min="771" max="771" width="15.6640625" style="2892" customWidth="1"/>
    <col min="772" max="772" width="9.33203125" style="2892" bestFit="1" customWidth="1"/>
    <col min="773" max="773" width="13.44140625" style="2892" customWidth="1"/>
    <col min="774" max="774" width="9" style="2892"/>
    <col min="775" max="775" width="9.33203125" style="2892" bestFit="1" customWidth="1"/>
    <col min="776" max="777" width="9" style="2892"/>
    <col min="778" max="778" width="9.33203125" style="2892" bestFit="1" customWidth="1"/>
    <col min="779" max="779" width="4" style="2892" customWidth="1"/>
    <col min="780" max="780" width="5.109375" style="2892" customWidth="1"/>
    <col min="781" max="781" width="13.77734375" style="2892" customWidth="1"/>
    <col min="782" max="1024" width="9" style="2892"/>
    <col min="1025" max="1025" width="4.88671875" style="2892" customWidth="1"/>
    <col min="1026" max="1026" width="13.21875" style="2892" customWidth="1"/>
    <col min="1027" max="1027" width="15.6640625" style="2892" customWidth="1"/>
    <col min="1028" max="1028" width="9.33203125" style="2892" bestFit="1" customWidth="1"/>
    <col min="1029" max="1029" width="13.44140625" style="2892" customWidth="1"/>
    <col min="1030" max="1030" width="9" style="2892"/>
    <col min="1031" max="1031" width="9.33203125" style="2892" bestFit="1" customWidth="1"/>
    <col min="1032" max="1033" width="9" style="2892"/>
    <col min="1034" max="1034" width="9.33203125" style="2892" bestFit="1" customWidth="1"/>
    <col min="1035" max="1035" width="4" style="2892" customWidth="1"/>
    <col min="1036" max="1036" width="5.109375" style="2892" customWidth="1"/>
    <col min="1037" max="1037" width="13.77734375" style="2892" customWidth="1"/>
    <col min="1038" max="1280" width="9" style="2892"/>
    <col min="1281" max="1281" width="4.88671875" style="2892" customWidth="1"/>
    <col min="1282" max="1282" width="13.21875" style="2892" customWidth="1"/>
    <col min="1283" max="1283" width="15.6640625" style="2892" customWidth="1"/>
    <col min="1284" max="1284" width="9.33203125" style="2892" bestFit="1" customWidth="1"/>
    <col min="1285" max="1285" width="13.44140625" style="2892" customWidth="1"/>
    <col min="1286" max="1286" width="9" style="2892"/>
    <col min="1287" max="1287" width="9.33203125" style="2892" bestFit="1" customWidth="1"/>
    <col min="1288" max="1289" width="9" style="2892"/>
    <col min="1290" max="1290" width="9.33203125" style="2892" bestFit="1" customWidth="1"/>
    <col min="1291" max="1291" width="4" style="2892" customWidth="1"/>
    <col min="1292" max="1292" width="5.109375" style="2892" customWidth="1"/>
    <col min="1293" max="1293" width="13.77734375" style="2892" customWidth="1"/>
    <col min="1294" max="1536" width="9" style="2892"/>
    <col min="1537" max="1537" width="4.88671875" style="2892" customWidth="1"/>
    <col min="1538" max="1538" width="13.21875" style="2892" customWidth="1"/>
    <col min="1539" max="1539" width="15.6640625" style="2892" customWidth="1"/>
    <col min="1540" max="1540" width="9.33203125" style="2892" bestFit="1" customWidth="1"/>
    <col min="1541" max="1541" width="13.44140625" style="2892" customWidth="1"/>
    <col min="1542" max="1542" width="9" style="2892"/>
    <col min="1543" max="1543" width="9.33203125" style="2892" bestFit="1" customWidth="1"/>
    <col min="1544" max="1545" width="9" style="2892"/>
    <col min="1546" max="1546" width="9.33203125" style="2892" bestFit="1" customWidth="1"/>
    <col min="1547" max="1547" width="4" style="2892" customWidth="1"/>
    <col min="1548" max="1548" width="5.109375" style="2892" customWidth="1"/>
    <col min="1549" max="1549" width="13.77734375" style="2892" customWidth="1"/>
    <col min="1550" max="1792" width="9" style="2892"/>
    <col min="1793" max="1793" width="4.88671875" style="2892" customWidth="1"/>
    <col min="1794" max="1794" width="13.21875" style="2892" customWidth="1"/>
    <col min="1795" max="1795" width="15.6640625" style="2892" customWidth="1"/>
    <col min="1796" max="1796" width="9.33203125" style="2892" bestFit="1" customWidth="1"/>
    <col min="1797" max="1797" width="13.44140625" style="2892" customWidth="1"/>
    <col min="1798" max="1798" width="9" style="2892"/>
    <col min="1799" max="1799" width="9.33203125" style="2892" bestFit="1" customWidth="1"/>
    <col min="1800" max="1801" width="9" style="2892"/>
    <col min="1802" max="1802" width="9.33203125" style="2892" bestFit="1" customWidth="1"/>
    <col min="1803" max="1803" width="4" style="2892" customWidth="1"/>
    <col min="1804" max="1804" width="5.109375" style="2892" customWidth="1"/>
    <col min="1805" max="1805" width="13.77734375" style="2892" customWidth="1"/>
    <col min="1806" max="2048" width="9" style="2892"/>
    <col min="2049" max="2049" width="4.88671875" style="2892" customWidth="1"/>
    <col min="2050" max="2050" width="13.21875" style="2892" customWidth="1"/>
    <col min="2051" max="2051" width="15.6640625" style="2892" customWidth="1"/>
    <col min="2052" max="2052" width="9.33203125" style="2892" bestFit="1" customWidth="1"/>
    <col min="2053" max="2053" width="13.44140625" style="2892" customWidth="1"/>
    <col min="2054" max="2054" width="9" style="2892"/>
    <col min="2055" max="2055" width="9.33203125" style="2892" bestFit="1" customWidth="1"/>
    <col min="2056" max="2057" width="9" style="2892"/>
    <col min="2058" max="2058" width="9.33203125" style="2892" bestFit="1" customWidth="1"/>
    <col min="2059" max="2059" width="4" style="2892" customWidth="1"/>
    <col min="2060" max="2060" width="5.109375" style="2892" customWidth="1"/>
    <col min="2061" max="2061" width="13.77734375" style="2892" customWidth="1"/>
    <col min="2062" max="2304" width="9" style="2892"/>
    <col min="2305" max="2305" width="4.88671875" style="2892" customWidth="1"/>
    <col min="2306" max="2306" width="13.21875" style="2892" customWidth="1"/>
    <col min="2307" max="2307" width="15.6640625" style="2892" customWidth="1"/>
    <col min="2308" max="2308" width="9.33203125" style="2892" bestFit="1" customWidth="1"/>
    <col min="2309" max="2309" width="13.44140625" style="2892" customWidth="1"/>
    <col min="2310" max="2310" width="9" style="2892"/>
    <col min="2311" max="2311" width="9.33203125" style="2892" bestFit="1" customWidth="1"/>
    <col min="2312" max="2313" width="9" style="2892"/>
    <col min="2314" max="2314" width="9.33203125" style="2892" bestFit="1" customWidth="1"/>
    <col min="2315" max="2315" width="4" style="2892" customWidth="1"/>
    <col min="2316" max="2316" width="5.109375" style="2892" customWidth="1"/>
    <col min="2317" max="2317" width="13.77734375" style="2892" customWidth="1"/>
    <col min="2318" max="2560" width="9" style="2892"/>
    <col min="2561" max="2561" width="4.88671875" style="2892" customWidth="1"/>
    <col min="2562" max="2562" width="13.21875" style="2892" customWidth="1"/>
    <col min="2563" max="2563" width="15.6640625" style="2892" customWidth="1"/>
    <col min="2564" max="2564" width="9.33203125" style="2892" bestFit="1" customWidth="1"/>
    <col min="2565" max="2565" width="13.44140625" style="2892" customWidth="1"/>
    <col min="2566" max="2566" width="9" style="2892"/>
    <col min="2567" max="2567" width="9.33203125" style="2892" bestFit="1" customWidth="1"/>
    <col min="2568" max="2569" width="9" style="2892"/>
    <col min="2570" max="2570" width="9.33203125" style="2892" bestFit="1" customWidth="1"/>
    <col min="2571" max="2571" width="4" style="2892" customWidth="1"/>
    <col min="2572" max="2572" width="5.109375" style="2892" customWidth="1"/>
    <col min="2573" max="2573" width="13.77734375" style="2892" customWidth="1"/>
    <col min="2574" max="2816" width="9" style="2892"/>
    <col min="2817" max="2817" width="4.88671875" style="2892" customWidth="1"/>
    <col min="2818" max="2818" width="13.21875" style="2892" customWidth="1"/>
    <col min="2819" max="2819" width="15.6640625" style="2892" customWidth="1"/>
    <col min="2820" max="2820" width="9.33203125" style="2892" bestFit="1" customWidth="1"/>
    <col min="2821" max="2821" width="13.44140625" style="2892" customWidth="1"/>
    <col min="2822" max="2822" width="9" style="2892"/>
    <col min="2823" max="2823" width="9.33203125" style="2892" bestFit="1" customWidth="1"/>
    <col min="2824" max="2825" width="9" style="2892"/>
    <col min="2826" max="2826" width="9.33203125" style="2892" bestFit="1" customWidth="1"/>
    <col min="2827" max="2827" width="4" style="2892" customWidth="1"/>
    <col min="2828" max="2828" width="5.109375" style="2892" customWidth="1"/>
    <col min="2829" max="2829" width="13.77734375" style="2892" customWidth="1"/>
    <col min="2830" max="3072" width="9" style="2892"/>
    <col min="3073" max="3073" width="4.88671875" style="2892" customWidth="1"/>
    <col min="3074" max="3074" width="13.21875" style="2892" customWidth="1"/>
    <col min="3075" max="3075" width="15.6640625" style="2892" customWidth="1"/>
    <col min="3076" max="3076" width="9.33203125" style="2892" bestFit="1" customWidth="1"/>
    <col min="3077" max="3077" width="13.44140625" style="2892" customWidth="1"/>
    <col min="3078" max="3078" width="9" style="2892"/>
    <col min="3079" max="3079" width="9.33203125" style="2892" bestFit="1" customWidth="1"/>
    <col min="3080" max="3081" width="9" style="2892"/>
    <col min="3082" max="3082" width="9.33203125" style="2892" bestFit="1" customWidth="1"/>
    <col min="3083" max="3083" width="4" style="2892" customWidth="1"/>
    <col min="3084" max="3084" width="5.109375" style="2892" customWidth="1"/>
    <col min="3085" max="3085" width="13.77734375" style="2892" customWidth="1"/>
    <col min="3086" max="3328" width="9" style="2892"/>
    <col min="3329" max="3329" width="4.88671875" style="2892" customWidth="1"/>
    <col min="3330" max="3330" width="13.21875" style="2892" customWidth="1"/>
    <col min="3331" max="3331" width="15.6640625" style="2892" customWidth="1"/>
    <col min="3332" max="3332" width="9.33203125" style="2892" bestFit="1" customWidth="1"/>
    <col min="3333" max="3333" width="13.44140625" style="2892" customWidth="1"/>
    <col min="3334" max="3334" width="9" style="2892"/>
    <col min="3335" max="3335" width="9.33203125" style="2892" bestFit="1" customWidth="1"/>
    <col min="3336" max="3337" width="9" style="2892"/>
    <col min="3338" max="3338" width="9.33203125" style="2892" bestFit="1" customWidth="1"/>
    <col min="3339" max="3339" width="4" style="2892" customWidth="1"/>
    <col min="3340" max="3340" width="5.109375" style="2892" customWidth="1"/>
    <col min="3341" max="3341" width="13.77734375" style="2892" customWidth="1"/>
    <col min="3342" max="3584" width="9" style="2892"/>
    <col min="3585" max="3585" width="4.88671875" style="2892" customWidth="1"/>
    <col min="3586" max="3586" width="13.21875" style="2892" customWidth="1"/>
    <col min="3587" max="3587" width="15.6640625" style="2892" customWidth="1"/>
    <col min="3588" max="3588" width="9.33203125" style="2892" bestFit="1" customWidth="1"/>
    <col min="3589" max="3589" width="13.44140625" style="2892" customWidth="1"/>
    <col min="3590" max="3590" width="9" style="2892"/>
    <col min="3591" max="3591" width="9.33203125" style="2892" bestFit="1" customWidth="1"/>
    <col min="3592" max="3593" width="9" style="2892"/>
    <col min="3594" max="3594" width="9.33203125" style="2892" bestFit="1" customWidth="1"/>
    <col min="3595" max="3595" width="4" style="2892" customWidth="1"/>
    <col min="3596" max="3596" width="5.109375" style="2892" customWidth="1"/>
    <col min="3597" max="3597" width="13.77734375" style="2892" customWidth="1"/>
    <col min="3598" max="3840" width="9" style="2892"/>
    <col min="3841" max="3841" width="4.88671875" style="2892" customWidth="1"/>
    <col min="3842" max="3842" width="13.21875" style="2892" customWidth="1"/>
    <col min="3843" max="3843" width="15.6640625" style="2892" customWidth="1"/>
    <col min="3844" max="3844" width="9.33203125" style="2892" bestFit="1" customWidth="1"/>
    <col min="3845" max="3845" width="13.44140625" style="2892" customWidth="1"/>
    <col min="3846" max="3846" width="9" style="2892"/>
    <col min="3847" max="3847" width="9.33203125" style="2892" bestFit="1" customWidth="1"/>
    <col min="3848" max="3849" width="9" style="2892"/>
    <col min="3850" max="3850" width="9.33203125" style="2892" bestFit="1" customWidth="1"/>
    <col min="3851" max="3851" width="4" style="2892" customWidth="1"/>
    <col min="3852" max="3852" width="5.109375" style="2892" customWidth="1"/>
    <col min="3853" max="3853" width="13.77734375" style="2892" customWidth="1"/>
    <col min="3854" max="4096" width="9" style="2892"/>
    <col min="4097" max="4097" width="4.88671875" style="2892" customWidth="1"/>
    <col min="4098" max="4098" width="13.21875" style="2892" customWidth="1"/>
    <col min="4099" max="4099" width="15.6640625" style="2892" customWidth="1"/>
    <col min="4100" max="4100" width="9.33203125" style="2892" bestFit="1" customWidth="1"/>
    <col min="4101" max="4101" width="13.44140625" style="2892" customWidth="1"/>
    <col min="4102" max="4102" width="9" style="2892"/>
    <col min="4103" max="4103" width="9.33203125" style="2892" bestFit="1" customWidth="1"/>
    <col min="4104" max="4105" width="9" style="2892"/>
    <col min="4106" max="4106" width="9.33203125" style="2892" bestFit="1" customWidth="1"/>
    <col min="4107" max="4107" width="4" style="2892" customWidth="1"/>
    <col min="4108" max="4108" width="5.109375" style="2892" customWidth="1"/>
    <col min="4109" max="4109" width="13.77734375" style="2892" customWidth="1"/>
    <col min="4110" max="4352" width="9" style="2892"/>
    <col min="4353" max="4353" width="4.88671875" style="2892" customWidth="1"/>
    <col min="4354" max="4354" width="13.21875" style="2892" customWidth="1"/>
    <col min="4355" max="4355" width="15.6640625" style="2892" customWidth="1"/>
    <col min="4356" max="4356" width="9.33203125" style="2892" bestFit="1" customWidth="1"/>
    <col min="4357" max="4357" width="13.44140625" style="2892" customWidth="1"/>
    <col min="4358" max="4358" width="9" style="2892"/>
    <col min="4359" max="4359" width="9.33203125" style="2892" bestFit="1" customWidth="1"/>
    <col min="4360" max="4361" width="9" style="2892"/>
    <col min="4362" max="4362" width="9.33203125" style="2892" bestFit="1" customWidth="1"/>
    <col min="4363" max="4363" width="4" style="2892" customWidth="1"/>
    <col min="4364" max="4364" width="5.109375" style="2892" customWidth="1"/>
    <col min="4365" max="4365" width="13.77734375" style="2892" customWidth="1"/>
    <col min="4366" max="4608" width="9" style="2892"/>
    <col min="4609" max="4609" width="4.88671875" style="2892" customWidth="1"/>
    <col min="4610" max="4610" width="13.21875" style="2892" customWidth="1"/>
    <col min="4611" max="4611" width="15.6640625" style="2892" customWidth="1"/>
    <col min="4612" max="4612" width="9.33203125" style="2892" bestFit="1" customWidth="1"/>
    <col min="4613" max="4613" width="13.44140625" style="2892" customWidth="1"/>
    <col min="4614" max="4614" width="9" style="2892"/>
    <col min="4615" max="4615" width="9.33203125" style="2892" bestFit="1" customWidth="1"/>
    <col min="4616" max="4617" width="9" style="2892"/>
    <col min="4618" max="4618" width="9.33203125" style="2892" bestFit="1" customWidth="1"/>
    <col min="4619" max="4619" width="4" style="2892" customWidth="1"/>
    <col min="4620" max="4620" width="5.109375" style="2892" customWidth="1"/>
    <col min="4621" max="4621" width="13.77734375" style="2892" customWidth="1"/>
    <col min="4622" max="4864" width="9" style="2892"/>
    <col min="4865" max="4865" width="4.88671875" style="2892" customWidth="1"/>
    <col min="4866" max="4866" width="13.21875" style="2892" customWidth="1"/>
    <col min="4867" max="4867" width="15.6640625" style="2892" customWidth="1"/>
    <col min="4868" max="4868" width="9.33203125" style="2892" bestFit="1" customWidth="1"/>
    <col min="4869" max="4869" width="13.44140625" style="2892" customWidth="1"/>
    <col min="4870" max="4870" width="9" style="2892"/>
    <col min="4871" max="4871" width="9.33203125" style="2892" bestFit="1" customWidth="1"/>
    <col min="4872" max="4873" width="9" style="2892"/>
    <col min="4874" max="4874" width="9.33203125" style="2892" bestFit="1" customWidth="1"/>
    <col min="4875" max="4875" width="4" style="2892" customWidth="1"/>
    <col min="4876" max="4876" width="5.109375" style="2892" customWidth="1"/>
    <col min="4877" max="4877" width="13.77734375" style="2892" customWidth="1"/>
    <col min="4878" max="5120" width="9" style="2892"/>
    <col min="5121" max="5121" width="4.88671875" style="2892" customWidth="1"/>
    <col min="5122" max="5122" width="13.21875" style="2892" customWidth="1"/>
    <col min="5123" max="5123" width="15.6640625" style="2892" customWidth="1"/>
    <col min="5124" max="5124" width="9.33203125" style="2892" bestFit="1" customWidth="1"/>
    <col min="5125" max="5125" width="13.44140625" style="2892" customWidth="1"/>
    <col min="5126" max="5126" width="9" style="2892"/>
    <col min="5127" max="5127" width="9.33203125" style="2892" bestFit="1" customWidth="1"/>
    <col min="5128" max="5129" width="9" style="2892"/>
    <col min="5130" max="5130" width="9.33203125" style="2892" bestFit="1" customWidth="1"/>
    <col min="5131" max="5131" width="4" style="2892" customWidth="1"/>
    <col min="5132" max="5132" width="5.109375" style="2892" customWidth="1"/>
    <col min="5133" max="5133" width="13.77734375" style="2892" customWidth="1"/>
    <col min="5134" max="5376" width="9" style="2892"/>
    <col min="5377" max="5377" width="4.88671875" style="2892" customWidth="1"/>
    <col min="5378" max="5378" width="13.21875" style="2892" customWidth="1"/>
    <col min="5379" max="5379" width="15.6640625" style="2892" customWidth="1"/>
    <col min="5380" max="5380" width="9.33203125" style="2892" bestFit="1" customWidth="1"/>
    <col min="5381" max="5381" width="13.44140625" style="2892" customWidth="1"/>
    <col min="5382" max="5382" width="9" style="2892"/>
    <col min="5383" max="5383" width="9.33203125" style="2892" bestFit="1" customWidth="1"/>
    <col min="5384" max="5385" width="9" style="2892"/>
    <col min="5386" max="5386" width="9.33203125" style="2892" bestFit="1" customWidth="1"/>
    <col min="5387" max="5387" width="4" style="2892" customWidth="1"/>
    <col min="5388" max="5388" width="5.109375" style="2892" customWidth="1"/>
    <col min="5389" max="5389" width="13.77734375" style="2892" customWidth="1"/>
    <col min="5390" max="5632" width="9" style="2892"/>
    <col min="5633" max="5633" width="4.88671875" style="2892" customWidth="1"/>
    <col min="5634" max="5634" width="13.21875" style="2892" customWidth="1"/>
    <col min="5635" max="5635" width="15.6640625" style="2892" customWidth="1"/>
    <col min="5636" max="5636" width="9.33203125" style="2892" bestFit="1" customWidth="1"/>
    <col min="5637" max="5637" width="13.44140625" style="2892" customWidth="1"/>
    <col min="5638" max="5638" width="9" style="2892"/>
    <col min="5639" max="5639" width="9.33203125" style="2892" bestFit="1" customWidth="1"/>
    <col min="5640" max="5641" width="9" style="2892"/>
    <col min="5642" max="5642" width="9.33203125" style="2892" bestFit="1" customWidth="1"/>
    <col min="5643" max="5643" width="4" style="2892" customWidth="1"/>
    <col min="5644" max="5644" width="5.109375" style="2892" customWidth="1"/>
    <col min="5645" max="5645" width="13.77734375" style="2892" customWidth="1"/>
    <col min="5646" max="5888" width="9" style="2892"/>
    <col min="5889" max="5889" width="4.88671875" style="2892" customWidth="1"/>
    <col min="5890" max="5890" width="13.21875" style="2892" customWidth="1"/>
    <col min="5891" max="5891" width="15.6640625" style="2892" customWidth="1"/>
    <col min="5892" max="5892" width="9.33203125" style="2892" bestFit="1" customWidth="1"/>
    <col min="5893" max="5893" width="13.44140625" style="2892" customWidth="1"/>
    <col min="5894" max="5894" width="9" style="2892"/>
    <col min="5895" max="5895" width="9.33203125" style="2892" bestFit="1" customWidth="1"/>
    <col min="5896" max="5897" width="9" style="2892"/>
    <col min="5898" max="5898" width="9.33203125" style="2892" bestFit="1" customWidth="1"/>
    <col min="5899" max="5899" width="4" style="2892" customWidth="1"/>
    <col min="5900" max="5900" width="5.109375" style="2892" customWidth="1"/>
    <col min="5901" max="5901" width="13.77734375" style="2892" customWidth="1"/>
    <col min="5902" max="6144" width="9" style="2892"/>
    <col min="6145" max="6145" width="4.88671875" style="2892" customWidth="1"/>
    <col min="6146" max="6146" width="13.21875" style="2892" customWidth="1"/>
    <col min="6147" max="6147" width="15.6640625" style="2892" customWidth="1"/>
    <col min="6148" max="6148" width="9.33203125" style="2892" bestFit="1" customWidth="1"/>
    <col min="6149" max="6149" width="13.44140625" style="2892" customWidth="1"/>
    <col min="6150" max="6150" width="9" style="2892"/>
    <col min="6151" max="6151" width="9.33203125" style="2892" bestFit="1" customWidth="1"/>
    <col min="6152" max="6153" width="9" style="2892"/>
    <col min="6154" max="6154" width="9.33203125" style="2892" bestFit="1" customWidth="1"/>
    <col min="6155" max="6155" width="4" style="2892" customWidth="1"/>
    <col min="6156" max="6156" width="5.109375" style="2892" customWidth="1"/>
    <col min="6157" max="6157" width="13.77734375" style="2892" customWidth="1"/>
    <col min="6158" max="6400" width="9" style="2892"/>
    <col min="6401" max="6401" width="4.88671875" style="2892" customWidth="1"/>
    <col min="6402" max="6402" width="13.21875" style="2892" customWidth="1"/>
    <col min="6403" max="6403" width="15.6640625" style="2892" customWidth="1"/>
    <col min="6404" max="6404" width="9.33203125" style="2892" bestFit="1" customWidth="1"/>
    <col min="6405" max="6405" width="13.44140625" style="2892" customWidth="1"/>
    <col min="6406" max="6406" width="9" style="2892"/>
    <col min="6407" max="6407" width="9.33203125" style="2892" bestFit="1" customWidth="1"/>
    <col min="6408" max="6409" width="9" style="2892"/>
    <col min="6410" max="6410" width="9.33203125" style="2892" bestFit="1" customWidth="1"/>
    <col min="6411" max="6411" width="4" style="2892" customWidth="1"/>
    <col min="6412" max="6412" width="5.109375" style="2892" customWidth="1"/>
    <col min="6413" max="6413" width="13.77734375" style="2892" customWidth="1"/>
    <col min="6414" max="6656" width="9" style="2892"/>
    <col min="6657" max="6657" width="4.88671875" style="2892" customWidth="1"/>
    <col min="6658" max="6658" width="13.21875" style="2892" customWidth="1"/>
    <col min="6659" max="6659" width="15.6640625" style="2892" customWidth="1"/>
    <col min="6660" max="6660" width="9.33203125" style="2892" bestFit="1" customWidth="1"/>
    <col min="6661" max="6661" width="13.44140625" style="2892" customWidth="1"/>
    <col min="6662" max="6662" width="9" style="2892"/>
    <col min="6663" max="6663" width="9.33203125" style="2892" bestFit="1" customWidth="1"/>
    <col min="6664" max="6665" width="9" style="2892"/>
    <col min="6666" max="6666" width="9.33203125" style="2892" bestFit="1" customWidth="1"/>
    <col min="6667" max="6667" width="4" style="2892" customWidth="1"/>
    <col min="6668" max="6668" width="5.109375" style="2892" customWidth="1"/>
    <col min="6669" max="6669" width="13.77734375" style="2892" customWidth="1"/>
    <col min="6670" max="6912" width="9" style="2892"/>
    <col min="6913" max="6913" width="4.88671875" style="2892" customWidth="1"/>
    <col min="6914" max="6914" width="13.21875" style="2892" customWidth="1"/>
    <col min="6915" max="6915" width="15.6640625" style="2892" customWidth="1"/>
    <col min="6916" max="6916" width="9.33203125" style="2892" bestFit="1" customWidth="1"/>
    <col min="6917" max="6917" width="13.44140625" style="2892" customWidth="1"/>
    <col min="6918" max="6918" width="9" style="2892"/>
    <col min="6919" max="6919" width="9.33203125" style="2892" bestFit="1" customWidth="1"/>
    <col min="6920" max="6921" width="9" style="2892"/>
    <col min="6922" max="6922" width="9.33203125" style="2892" bestFit="1" customWidth="1"/>
    <col min="6923" max="6923" width="4" style="2892" customWidth="1"/>
    <col min="6924" max="6924" width="5.109375" style="2892" customWidth="1"/>
    <col min="6925" max="6925" width="13.77734375" style="2892" customWidth="1"/>
    <col min="6926" max="7168" width="9" style="2892"/>
    <col min="7169" max="7169" width="4.88671875" style="2892" customWidth="1"/>
    <col min="7170" max="7170" width="13.21875" style="2892" customWidth="1"/>
    <col min="7171" max="7171" width="15.6640625" style="2892" customWidth="1"/>
    <col min="7172" max="7172" width="9.33203125" style="2892" bestFit="1" customWidth="1"/>
    <col min="7173" max="7173" width="13.44140625" style="2892" customWidth="1"/>
    <col min="7174" max="7174" width="9" style="2892"/>
    <col min="7175" max="7175" width="9.33203125" style="2892" bestFit="1" customWidth="1"/>
    <col min="7176" max="7177" width="9" style="2892"/>
    <col min="7178" max="7178" width="9.33203125" style="2892" bestFit="1" customWidth="1"/>
    <col min="7179" max="7179" width="4" style="2892" customWidth="1"/>
    <col min="7180" max="7180" width="5.109375" style="2892" customWidth="1"/>
    <col min="7181" max="7181" width="13.77734375" style="2892" customWidth="1"/>
    <col min="7182" max="7424" width="9" style="2892"/>
    <col min="7425" max="7425" width="4.88671875" style="2892" customWidth="1"/>
    <col min="7426" max="7426" width="13.21875" style="2892" customWidth="1"/>
    <col min="7427" max="7427" width="15.6640625" style="2892" customWidth="1"/>
    <col min="7428" max="7428" width="9.33203125" style="2892" bestFit="1" customWidth="1"/>
    <col min="7429" max="7429" width="13.44140625" style="2892" customWidth="1"/>
    <col min="7430" max="7430" width="9" style="2892"/>
    <col min="7431" max="7431" width="9.33203125" style="2892" bestFit="1" customWidth="1"/>
    <col min="7432" max="7433" width="9" style="2892"/>
    <col min="7434" max="7434" width="9.33203125" style="2892" bestFit="1" customWidth="1"/>
    <col min="7435" max="7435" width="4" style="2892" customWidth="1"/>
    <col min="7436" max="7436" width="5.109375" style="2892" customWidth="1"/>
    <col min="7437" max="7437" width="13.77734375" style="2892" customWidth="1"/>
    <col min="7438" max="7680" width="9" style="2892"/>
    <col min="7681" max="7681" width="4.88671875" style="2892" customWidth="1"/>
    <col min="7682" max="7682" width="13.21875" style="2892" customWidth="1"/>
    <col min="7683" max="7683" width="15.6640625" style="2892" customWidth="1"/>
    <col min="7684" max="7684" width="9.33203125" style="2892" bestFit="1" customWidth="1"/>
    <col min="7685" max="7685" width="13.44140625" style="2892" customWidth="1"/>
    <col min="7686" max="7686" width="9" style="2892"/>
    <col min="7687" max="7687" width="9.33203125" style="2892" bestFit="1" customWidth="1"/>
    <col min="7688" max="7689" width="9" style="2892"/>
    <col min="7690" max="7690" width="9.33203125" style="2892" bestFit="1" customWidth="1"/>
    <col min="7691" max="7691" width="4" style="2892" customWidth="1"/>
    <col min="7692" max="7692" width="5.109375" style="2892" customWidth="1"/>
    <col min="7693" max="7693" width="13.77734375" style="2892" customWidth="1"/>
    <col min="7694" max="7936" width="9" style="2892"/>
    <col min="7937" max="7937" width="4.88671875" style="2892" customWidth="1"/>
    <col min="7938" max="7938" width="13.21875" style="2892" customWidth="1"/>
    <col min="7939" max="7939" width="15.6640625" style="2892" customWidth="1"/>
    <col min="7940" max="7940" width="9.33203125" style="2892" bestFit="1" customWidth="1"/>
    <col min="7941" max="7941" width="13.44140625" style="2892" customWidth="1"/>
    <col min="7942" max="7942" width="9" style="2892"/>
    <col min="7943" max="7943" width="9.33203125" style="2892" bestFit="1" customWidth="1"/>
    <col min="7944" max="7945" width="9" style="2892"/>
    <col min="7946" max="7946" width="9.33203125" style="2892" bestFit="1" customWidth="1"/>
    <col min="7947" max="7947" width="4" style="2892" customWidth="1"/>
    <col min="7948" max="7948" width="5.109375" style="2892" customWidth="1"/>
    <col min="7949" max="7949" width="13.77734375" style="2892" customWidth="1"/>
    <col min="7950" max="8192" width="9" style="2892"/>
    <col min="8193" max="8193" width="4.88671875" style="2892" customWidth="1"/>
    <col min="8194" max="8194" width="13.21875" style="2892" customWidth="1"/>
    <col min="8195" max="8195" width="15.6640625" style="2892" customWidth="1"/>
    <col min="8196" max="8196" width="9.33203125" style="2892" bestFit="1" customWidth="1"/>
    <col min="8197" max="8197" width="13.44140625" style="2892" customWidth="1"/>
    <col min="8198" max="8198" width="9" style="2892"/>
    <col min="8199" max="8199" width="9.33203125" style="2892" bestFit="1" customWidth="1"/>
    <col min="8200" max="8201" width="9" style="2892"/>
    <col min="8202" max="8202" width="9.33203125" style="2892" bestFit="1" customWidth="1"/>
    <col min="8203" max="8203" width="4" style="2892" customWidth="1"/>
    <col min="8204" max="8204" width="5.109375" style="2892" customWidth="1"/>
    <col min="8205" max="8205" width="13.77734375" style="2892" customWidth="1"/>
    <col min="8206" max="8448" width="9" style="2892"/>
    <col min="8449" max="8449" width="4.88671875" style="2892" customWidth="1"/>
    <col min="8450" max="8450" width="13.21875" style="2892" customWidth="1"/>
    <col min="8451" max="8451" width="15.6640625" style="2892" customWidth="1"/>
    <col min="8452" max="8452" width="9.33203125" style="2892" bestFit="1" customWidth="1"/>
    <col min="8453" max="8453" width="13.44140625" style="2892" customWidth="1"/>
    <col min="8454" max="8454" width="9" style="2892"/>
    <col min="8455" max="8455" width="9.33203125" style="2892" bestFit="1" customWidth="1"/>
    <col min="8456" max="8457" width="9" style="2892"/>
    <col min="8458" max="8458" width="9.33203125" style="2892" bestFit="1" customWidth="1"/>
    <col min="8459" max="8459" width="4" style="2892" customWidth="1"/>
    <col min="8460" max="8460" width="5.109375" style="2892" customWidth="1"/>
    <col min="8461" max="8461" width="13.77734375" style="2892" customWidth="1"/>
    <col min="8462" max="8704" width="9" style="2892"/>
    <col min="8705" max="8705" width="4.88671875" style="2892" customWidth="1"/>
    <col min="8706" max="8706" width="13.21875" style="2892" customWidth="1"/>
    <col min="8707" max="8707" width="15.6640625" style="2892" customWidth="1"/>
    <col min="8708" max="8708" width="9.33203125" style="2892" bestFit="1" customWidth="1"/>
    <col min="8709" max="8709" width="13.44140625" style="2892" customWidth="1"/>
    <col min="8710" max="8710" width="9" style="2892"/>
    <col min="8711" max="8711" width="9.33203125" style="2892" bestFit="1" customWidth="1"/>
    <col min="8712" max="8713" width="9" style="2892"/>
    <col min="8714" max="8714" width="9.33203125" style="2892" bestFit="1" customWidth="1"/>
    <col min="8715" max="8715" width="4" style="2892" customWidth="1"/>
    <col min="8716" max="8716" width="5.109375" style="2892" customWidth="1"/>
    <col min="8717" max="8717" width="13.77734375" style="2892" customWidth="1"/>
    <col min="8718" max="8960" width="9" style="2892"/>
    <col min="8961" max="8961" width="4.88671875" style="2892" customWidth="1"/>
    <col min="8962" max="8962" width="13.21875" style="2892" customWidth="1"/>
    <col min="8963" max="8963" width="15.6640625" style="2892" customWidth="1"/>
    <col min="8964" max="8964" width="9.33203125" style="2892" bestFit="1" customWidth="1"/>
    <col min="8965" max="8965" width="13.44140625" style="2892" customWidth="1"/>
    <col min="8966" max="8966" width="9" style="2892"/>
    <col min="8967" max="8967" width="9.33203125" style="2892" bestFit="1" customWidth="1"/>
    <col min="8968" max="8969" width="9" style="2892"/>
    <col min="8970" max="8970" width="9.33203125" style="2892" bestFit="1" customWidth="1"/>
    <col min="8971" max="8971" width="4" style="2892" customWidth="1"/>
    <col min="8972" max="8972" width="5.109375" style="2892" customWidth="1"/>
    <col min="8973" max="8973" width="13.77734375" style="2892" customWidth="1"/>
    <col min="8974" max="9216" width="9" style="2892"/>
    <col min="9217" max="9217" width="4.88671875" style="2892" customWidth="1"/>
    <col min="9218" max="9218" width="13.21875" style="2892" customWidth="1"/>
    <col min="9219" max="9219" width="15.6640625" style="2892" customWidth="1"/>
    <col min="9220" max="9220" width="9.33203125" style="2892" bestFit="1" customWidth="1"/>
    <col min="9221" max="9221" width="13.44140625" style="2892" customWidth="1"/>
    <col min="9222" max="9222" width="9" style="2892"/>
    <col min="9223" max="9223" width="9.33203125" style="2892" bestFit="1" customWidth="1"/>
    <col min="9224" max="9225" width="9" style="2892"/>
    <col min="9226" max="9226" width="9.33203125" style="2892" bestFit="1" customWidth="1"/>
    <col min="9227" max="9227" width="4" style="2892" customWidth="1"/>
    <col min="9228" max="9228" width="5.109375" style="2892" customWidth="1"/>
    <col min="9229" max="9229" width="13.77734375" style="2892" customWidth="1"/>
    <col min="9230" max="9472" width="9" style="2892"/>
    <col min="9473" max="9473" width="4.88671875" style="2892" customWidth="1"/>
    <col min="9474" max="9474" width="13.21875" style="2892" customWidth="1"/>
    <col min="9475" max="9475" width="15.6640625" style="2892" customWidth="1"/>
    <col min="9476" max="9476" width="9.33203125" style="2892" bestFit="1" customWidth="1"/>
    <col min="9477" max="9477" width="13.44140625" style="2892" customWidth="1"/>
    <col min="9478" max="9478" width="9" style="2892"/>
    <col min="9479" max="9479" width="9.33203125" style="2892" bestFit="1" customWidth="1"/>
    <col min="9480" max="9481" width="9" style="2892"/>
    <col min="9482" max="9482" width="9.33203125" style="2892" bestFit="1" customWidth="1"/>
    <col min="9483" max="9483" width="4" style="2892" customWidth="1"/>
    <col min="9484" max="9484" width="5.109375" style="2892" customWidth="1"/>
    <col min="9485" max="9485" width="13.77734375" style="2892" customWidth="1"/>
    <col min="9486" max="9728" width="9" style="2892"/>
    <col min="9729" max="9729" width="4.88671875" style="2892" customWidth="1"/>
    <col min="9730" max="9730" width="13.21875" style="2892" customWidth="1"/>
    <col min="9731" max="9731" width="15.6640625" style="2892" customWidth="1"/>
    <col min="9732" max="9732" width="9.33203125" style="2892" bestFit="1" customWidth="1"/>
    <col min="9733" max="9733" width="13.44140625" style="2892" customWidth="1"/>
    <col min="9734" max="9734" width="9" style="2892"/>
    <col min="9735" max="9735" width="9.33203125" style="2892" bestFit="1" customWidth="1"/>
    <col min="9736" max="9737" width="9" style="2892"/>
    <col min="9738" max="9738" width="9.33203125" style="2892" bestFit="1" customWidth="1"/>
    <col min="9739" max="9739" width="4" style="2892" customWidth="1"/>
    <col min="9740" max="9740" width="5.109375" style="2892" customWidth="1"/>
    <col min="9741" max="9741" width="13.77734375" style="2892" customWidth="1"/>
    <col min="9742" max="9984" width="9" style="2892"/>
    <col min="9985" max="9985" width="4.88671875" style="2892" customWidth="1"/>
    <col min="9986" max="9986" width="13.21875" style="2892" customWidth="1"/>
    <col min="9987" max="9987" width="15.6640625" style="2892" customWidth="1"/>
    <col min="9988" max="9988" width="9.33203125" style="2892" bestFit="1" customWidth="1"/>
    <col min="9989" max="9989" width="13.44140625" style="2892" customWidth="1"/>
    <col min="9990" max="9990" width="9" style="2892"/>
    <col min="9991" max="9991" width="9.33203125" style="2892" bestFit="1" customWidth="1"/>
    <col min="9992" max="9993" width="9" style="2892"/>
    <col min="9994" max="9994" width="9.33203125" style="2892" bestFit="1" customWidth="1"/>
    <col min="9995" max="9995" width="4" style="2892" customWidth="1"/>
    <col min="9996" max="9996" width="5.109375" style="2892" customWidth="1"/>
    <col min="9997" max="9997" width="13.77734375" style="2892" customWidth="1"/>
    <col min="9998" max="10240" width="9" style="2892"/>
    <col min="10241" max="10241" width="4.88671875" style="2892" customWidth="1"/>
    <col min="10242" max="10242" width="13.21875" style="2892" customWidth="1"/>
    <col min="10243" max="10243" width="15.6640625" style="2892" customWidth="1"/>
    <col min="10244" max="10244" width="9.33203125" style="2892" bestFit="1" customWidth="1"/>
    <col min="10245" max="10245" width="13.44140625" style="2892" customWidth="1"/>
    <col min="10246" max="10246" width="9" style="2892"/>
    <col min="10247" max="10247" width="9.33203125" style="2892" bestFit="1" customWidth="1"/>
    <col min="10248" max="10249" width="9" style="2892"/>
    <col min="10250" max="10250" width="9.33203125" style="2892" bestFit="1" customWidth="1"/>
    <col min="10251" max="10251" width="4" style="2892" customWidth="1"/>
    <col min="10252" max="10252" width="5.109375" style="2892" customWidth="1"/>
    <col min="10253" max="10253" width="13.77734375" style="2892" customWidth="1"/>
    <col min="10254" max="10496" width="9" style="2892"/>
    <col min="10497" max="10497" width="4.88671875" style="2892" customWidth="1"/>
    <col min="10498" max="10498" width="13.21875" style="2892" customWidth="1"/>
    <col min="10499" max="10499" width="15.6640625" style="2892" customWidth="1"/>
    <col min="10500" max="10500" width="9.33203125" style="2892" bestFit="1" customWidth="1"/>
    <col min="10501" max="10501" width="13.44140625" style="2892" customWidth="1"/>
    <col min="10502" max="10502" width="9" style="2892"/>
    <col min="10503" max="10503" width="9.33203125" style="2892" bestFit="1" customWidth="1"/>
    <col min="10504" max="10505" width="9" style="2892"/>
    <col min="10506" max="10506" width="9.33203125" style="2892" bestFit="1" customWidth="1"/>
    <col min="10507" max="10507" width="4" style="2892" customWidth="1"/>
    <col min="10508" max="10508" width="5.109375" style="2892" customWidth="1"/>
    <col min="10509" max="10509" width="13.77734375" style="2892" customWidth="1"/>
    <col min="10510" max="10752" width="9" style="2892"/>
    <col min="10753" max="10753" width="4.88671875" style="2892" customWidth="1"/>
    <col min="10754" max="10754" width="13.21875" style="2892" customWidth="1"/>
    <col min="10755" max="10755" width="15.6640625" style="2892" customWidth="1"/>
    <col min="10756" max="10756" width="9.33203125" style="2892" bestFit="1" customWidth="1"/>
    <col min="10757" max="10757" width="13.44140625" style="2892" customWidth="1"/>
    <col min="10758" max="10758" width="9" style="2892"/>
    <col min="10759" max="10759" width="9.33203125" style="2892" bestFit="1" customWidth="1"/>
    <col min="10760" max="10761" width="9" style="2892"/>
    <col min="10762" max="10762" width="9.33203125" style="2892" bestFit="1" customWidth="1"/>
    <col min="10763" max="10763" width="4" style="2892" customWidth="1"/>
    <col min="10764" max="10764" width="5.109375" style="2892" customWidth="1"/>
    <col min="10765" max="10765" width="13.77734375" style="2892" customWidth="1"/>
    <col min="10766" max="11008" width="9" style="2892"/>
    <col min="11009" max="11009" width="4.88671875" style="2892" customWidth="1"/>
    <col min="11010" max="11010" width="13.21875" style="2892" customWidth="1"/>
    <col min="11011" max="11011" width="15.6640625" style="2892" customWidth="1"/>
    <col min="11012" max="11012" width="9.33203125" style="2892" bestFit="1" customWidth="1"/>
    <col min="11013" max="11013" width="13.44140625" style="2892" customWidth="1"/>
    <col min="11014" max="11014" width="9" style="2892"/>
    <col min="11015" max="11015" width="9.33203125" style="2892" bestFit="1" customWidth="1"/>
    <col min="11016" max="11017" width="9" style="2892"/>
    <col min="11018" max="11018" width="9.33203125" style="2892" bestFit="1" customWidth="1"/>
    <col min="11019" max="11019" width="4" style="2892" customWidth="1"/>
    <col min="11020" max="11020" width="5.109375" style="2892" customWidth="1"/>
    <col min="11021" max="11021" width="13.77734375" style="2892" customWidth="1"/>
    <col min="11022" max="11264" width="9" style="2892"/>
    <col min="11265" max="11265" width="4.88671875" style="2892" customWidth="1"/>
    <col min="11266" max="11266" width="13.21875" style="2892" customWidth="1"/>
    <col min="11267" max="11267" width="15.6640625" style="2892" customWidth="1"/>
    <col min="11268" max="11268" width="9.33203125" style="2892" bestFit="1" customWidth="1"/>
    <col min="11269" max="11269" width="13.44140625" style="2892" customWidth="1"/>
    <col min="11270" max="11270" width="9" style="2892"/>
    <col min="11271" max="11271" width="9.33203125" style="2892" bestFit="1" customWidth="1"/>
    <col min="11272" max="11273" width="9" style="2892"/>
    <col min="11274" max="11274" width="9.33203125" style="2892" bestFit="1" customWidth="1"/>
    <col min="11275" max="11275" width="4" style="2892" customWidth="1"/>
    <col min="11276" max="11276" width="5.109375" style="2892" customWidth="1"/>
    <col min="11277" max="11277" width="13.77734375" style="2892" customWidth="1"/>
    <col min="11278" max="11520" width="9" style="2892"/>
    <col min="11521" max="11521" width="4.88671875" style="2892" customWidth="1"/>
    <col min="11522" max="11522" width="13.21875" style="2892" customWidth="1"/>
    <col min="11523" max="11523" width="15.6640625" style="2892" customWidth="1"/>
    <col min="11524" max="11524" width="9.33203125" style="2892" bestFit="1" customWidth="1"/>
    <col min="11525" max="11525" width="13.44140625" style="2892" customWidth="1"/>
    <col min="11526" max="11526" width="9" style="2892"/>
    <col min="11527" max="11527" width="9.33203125" style="2892" bestFit="1" customWidth="1"/>
    <col min="11528" max="11529" width="9" style="2892"/>
    <col min="11530" max="11530" width="9.33203125" style="2892" bestFit="1" customWidth="1"/>
    <col min="11531" max="11531" width="4" style="2892" customWidth="1"/>
    <col min="11532" max="11532" width="5.109375" style="2892" customWidth="1"/>
    <col min="11533" max="11533" width="13.77734375" style="2892" customWidth="1"/>
    <col min="11534" max="11776" width="9" style="2892"/>
    <col min="11777" max="11777" width="4.88671875" style="2892" customWidth="1"/>
    <col min="11778" max="11778" width="13.21875" style="2892" customWidth="1"/>
    <col min="11779" max="11779" width="15.6640625" style="2892" customWidth="1"/>
    <col min="11780" max="11780" width="9.33203125" style="2892" bestFit="1" customWidth="1"/>
    <col min="11781" max="11781" width="13.44140625" style="2892" customWidth="1"/>
    <col min="11782" max="11782" width="9" style="2892"/>
    <col min="11783" max="11783" width="9.33203125" style="2892" bestFit="1" customWidth="1"/>
    <col min="11784" max="11785" width="9" style="2892"/>
    <col min="11786" max="11786" width="9.33203125" style="2892" bestFit="1" customWidth="1"/>
    <col min="11787" max="11787" width="4" style="2892" customWidth="1"/>
    <col min="11788" max="11788" width="5.109375" style="2892" customWidth="1"/>
    <col min="11789" max="11789" width="13.77734375" style="2892" customWidth="1"/>
    <col min="11790" max="12032" width="9" style="2892"/>
    <col min="12033" max="12033" width="4.88671875" style="2892" customWidth="1"/>
    <col min="12034" max="12034" width="13.21875" style="2892" customWidth="1"/>
    <col min="12035" max="12035" width="15.6640625" style="2892" customWidth="1"/>
    <col min="12036" max="12036" width="9.33203125" style="2892" bestFit="1" customWidth="1"/>
    <col min="12037" max="12037" width="13.44140625" style="2892" customWidth="1"/>
    <col min="12038" max="12038" width="9" style="2892"/>
    <col min="12039" max="12039" width="9.33203125" style="2892" bestFit="1" customWidth="1"/>
    <col min="12040" max="12041" width="9" style="2892"/>
    <col min="12042" max="12042" width="9.33203125" style="2892" bestFit="1" customWidth="1"/>
    <col min="12043" max="12043" width="4" style="2892" customWidth="1"/>
    <col min="12044" max="12044" width="5.109375" style="2892" customWidth="1"/>
    <col min="12045" max="12045" width="13.77734375" style="2892" customWidth="1"/>
    <col min="12046" max="12288" width="9" style="2892"/>
    <col min="12289" max="12289" width="4.88671875" style="2892" customWidth="1"/>
    <col min="12290" max="12290" width="13.21875" style="2892" customWidth="1"/>
    <col min="12291" max="12291" width="15.6640625" style="2892" customWidth="1"/>
    <col min="12292" max="12292" width="9.33203125" style="2892" bestFit="1" customWidth="1"/>
    <col min="12293" max="12293" width="13.44140625" style="2892" customWidth="1"/>
    <col min="12294" max="12294" width="9" style="2892"/>
    <col min="12295" max="12295" width="9.33203125" style="2892" bestFit="1" customWidth="1"/>
    <col min="12296" max="12297" width="9" style="2892"/>
    <col min="12298" max="12298" width="9.33203125" style="2892" bestFit="1" customWidth="1"/>
    <col min="12299" max="12299" width="4" style="2892" customWidth="1"/>
    <col min="12300" max="12300" width="5.109375" style="2892" customWidth="1"/>
    <col min="12301" max="12301" width="13.77734375" style="2892" customWidth="1"/>
    <col min="12302" max="12544" width="9" style="2892"/>
    <col min="12545" max="12545" width="4.88671875" style="2892" customWidth="1"/>
    <col min="12546" max="12546" width="13.21875" style="2892" customWidth="1"/>
    <col min="12547" max="12547" width="15.6640625" style="2892" customWidth="1"/>
    <col min="12548" max="12548" width="9.33203125" style="2892" bestFit="1" customWidth="1"/>
    <col min="12549" max="12549" width="13.44140625" style="2892" customWidth="1"/>
    <col min="12550" max="12550" width="9" style="2892"/>
    <col min="12551" max="12551" width="9.33203125" style="2892" bestFit="1" customWidth="1"/>
    <col min="12552" max="12553" width="9" style="2892"/>
    <col min="12554" max="12554" width="9.33203125" style="2892" bestFit="1" customWidth="1"/>
    <col min="12555" max="12555" width="4" style="2892" customWidth="1"/>
    <col min="12556" max="12556" width="5.109375" style="2892" customWidth="1"/>
    <col min="12557" max="12557" width="13.77734375" style="2892" customWidth="1"/>
    <col min="12558" max="12800" width="9" style="2892"/>
    <col min="12801" max="12801" width="4.88671875" style="2892" customWidth="1"/>
    <col min="12802" max="12802" width="13.21875" style="2892" customWidth="1"/>
    <col min="12803" max="12803" width="15.6640625" style="2892" customWidth="1"/>
    <col min="12804" max="12804" width="9.33203125" style="2892" bestFit="1" customWidth="1"/>
    <col min="12805" max="12805" width="13.44140625" style="2892" customWidth="1"/>
    <col min="12806" max="12806" width="9" style="2892"/>
    <col min="12807" max="12807" width="9.33203125" style="2892" bestFit="1" customWidth="1"/>
    <col min="12808" max="12809" width="9" style="2892"/>
    <col min="12810" max="12810" width="9.33203125" style="2892" bestFit="1" customWidth="1"/>
    <col min="12811" max="12811" width="4" style="2892" customWidth="1"/>
    <col min="12812" max="12812" width="5.109375" style="2892" customWidth="1"/>
    <col min="12813" max="12813" width="13.77734375" style="2892" customWidth="1"/>
    <col min="12814" max="13056" width="9" style="2892"/>
    <col min="13057" max="13057" width="4.88671875" style="2892" customWidth="1"/>
    <col min="13058" max="13058" width="13.21875" style="2892" customWidth="1"/>
    <col min="13059" max="13059" width="15.6640625" style="2892" customWidth="1"/>
    <col min="13060" max="13060" width="9.33203125" style="2892" bestFit="1" customWidth="1"/>
    <col min="13061" max="13061" width="13.44140625" style="2892" customWidth="1"/>
    <col min="13062" max="13062" width="9" style="2892"/>
    <col min="13063" max="13063" width="9.33203125" style="2892" bestFit="1" customWidth="1"/>
    <col min="13064" max="13065" width="9" style="2892"/>
    <col min="13066" max="13066" width="9.33203125" style="2892" bestFit="1" customWidth="1"/>
    <col min="13067" max="13067" width="4" style="2892" customWidth="1"/>
    <col min="13068" max="13068" width="5.109375" style="2892" customWidth="1"/>
    <col min="13069" max="13069" width="13.77734375" style="2892" customWidth="1"/>
    <col min="13070" max="13312" width="9" style="2892"/>
    <col min="13313" max="13313" width="4.88671875" style="2892" customWidth="1"/>
    <col min="13314" max="13314" width="13.21875" style="2892" customWidth="1"/>
    <col min="13315" max="13315" width="15.6640625" style="2892" customWidth="1"/>
    <col min="13316" max="13316" width="9.33203125" style="2892" bestFit="1" customWidth="1"/>
    <col min="13317" max="13317" width="13.44140625" style="2892" customWidth="1"/>
    <col min="13318" max="13318" width="9" style="2892"/>
    <col min="13319" max="13319" width="9.33203125" style="2892" bestFit="1" customWidth="1"/>
    <col min="13320" max="13321" width="9" style="2892"/>
    <col min="13322" max="13322" width="9.33203125" style="2892" bestFit="1" customWidth="1"/>
    <col min="13323" max="13323" width="4" style="2892" customWidth="1"/>
    <col min="13324" max="13324" width="5.109375" style="2892" customWidth="1"/>
    <col min="13325" max="13325" width="13.77734375" style="2892" customWidth="1"/>
    <col min="13326" max="13568" width="9" style="2892"/>
    <col min="13569" max="13569" width="4.88671875" style="2892" customWidth="1"/>
    <col min="13570" max="13570" width="13.21875" style="2892" customWidth="1"/>
    <col min="13571" max="13571" width="15.6640625" style="2892" customWidth="1"/>
    <col min="13572" max="13572" width="9.33203125" style="2892" bestFit="1" customWidth="1"/>
    <col min="13573" max="13573" width="13.44140625" style="2892" customWidth="1"/>
    <col min="13574" max="13574" width="9" style="2892"/>
    <col min="13575" max="13575" width="9.33203125" style="2892" bestFit="1" customWidth="1"/>
    <col min="13576" max="13577" width="9" style="2892"/>
    <col min="13578" max="13578" width="9.33203125" style="2892" bestFit="1" customWidth="1"/>
    <col min="13579" max="13579" width="4" style="2892" customWidth="1"/>
    <col min="13580" max="13580" width="5.109375" style="2892" customWidth="1"/>
    <col min="13581" max="13581" width="13.77734375" style="2892" customWidth="1"/>
    <col min="13582" max="13824" width="9" style="2892"/>
    <col min="13825" max="13825" width="4.88671875" style="2892" customWidth="1"/>
    <col min="13826" max="13826" width="13.21875" style="2892" customWidth="1"/>
    <col min="13827" max="13827" width="15.6640625" style="2892" customWidth="1"/>
    <col min="13828" max="13828" width="9.33203125" style="2892" bestFit="1" customWidth="1"/>
    <col min="13829" max="13829" width="13.44140625" style="2892" customWidth="1"/>
    <col min="13830" max="13830" width="9" style="2892"/>
    <col min="13831" max="13831" width="9.33203125" style="2892" bestFit="1" customWidth="1"/>
    <col min="13832" max="13833" width="9" style="2892"/>
    <col min="13834" max="13834" width="9.33203125" style="2892" bestFit="1" customWidth="1"/>
    <col min="13835" max="13835" width="4" style="2892" customWidth="1"/>
    <col min="13836" max="13836" width="5.109375" style="2892" customWidth="1"/>
    <col min="13837" max="13837" width="13.77734375" style="2892" customWidth="1"/>
    <col min="13838" max="14080" width="9" style="2892"/>
    <col min="14081" max="14081" width="4.88671875" style="2892" customWidth="1"/>
    <col min="14082" max="14082" width="13.21875" style="2892" customWidth="1"/>
    <col min="14083" max="14083" width="15.6640625" style="2892" customWidth="1"/>
    <col min="14084" max="14084" width="9.33203125" style="2892" bestFit="1" customWidth="1"/>
    <col min="14085" max="14085" width="13.44140625" style="2892" customWidth="1"/>
    <col min="14086" max="14086" width="9" style="2892"/>
    <col min="14087" max="14087" width="9.33203125" style="2892" bestFit="1" customWidth="1"/>
    <col min="14088" max="14089" width="9" style="2892"/>
    <col min="14090" max="14090" width="9.33203125" style="2892" bestFit="1" customWidth="1"/>
    <col min="14091" max="14091" width="4" style="2892" customWidth="1"/>
    <col min="14092" max="14092" width="5.109375" style="2892" customWidth="1"/>
    <col min="14093" max="14093" width="13.77734375" style="2892" customWidth="1"/>
    <col min="14094" max="14336" width="9" style="2892"/>
    <col min="14337" max="14337" width="4.88671875" style="2892" customWidth="1"/>
    <col min="14338" max="14338" width="13.21875" style="2892" customWidth="1"/>
    <col min="14339" max="14339" width="15.6640625" style="2892" customWidth="1"/>
    <col min="14340" max="14340" width="9.33203125" style="2892" bestFit="1" customWidth="1"/>
    <col min="14341" max="14341" width="13.44140625" style="2892" customWidth="1"/>
    <col min="14342" max="14342" width="9" style="2892"/>
    <col min="14343" max="14343" width="9.33203125" style="2892" bestFit="1" customWidth="1"/>
    <col min="14344" max="14345" width="9" style="2892"/>
    <col min="14346" max="14346" width="9.33203125" style="2892" bestFit="1" customWidth="1"/>
    <col min="14347" max="14347" width="4" style="2892" customWidth="1"/>
    <col min="14348" max="14348" width="5.109375" style="2892" customWidth="1"/>
    <col min="14349" max="14349" width="13.77734375" style="2892" customWidth="1"/>
    <col min="14350" max="14592" width="9" style="2892"/>
    <col min="14593" max="14593" width="4.88671875" style="2892" customWidth="1"/>
    <col min="14594" max="14594" width="13.21875" style="2892" customWidth="1"/>
    <col min="14595" max="14595" width="15.6640625" style="2892" customWidth="1"/>
    <col min="14596" max="14596" width="9.33203125" style="2892" bestFit="1" customWidth="1"/>
    <col min="14597" max="14597" width="13.44140625" style="2892" customWidth="1"/>
    <col min="14598" max="14598" width="9" style="2892"/>
    <col min="14599" max="14599" width="9.33203125" style="2892" bestFit="1" customWidth="1"/>
    <col min="14600" max="14601" width="9" style="2892"/>
    <col min="14602" max="14602" width="9.33203125" style="2892" bestFit="1" customWidth="1"/>
    <col min="14603" max="14603" width="4" style="2892" customWidth="1"/>
    <col min="14604" max="14604" width="5.109375" style="2892" customWidth="1"/>
    <col min="14605" max="14605" width="13.77734375" style="2892" customWidth="1"/>
    <col min="14606" max="14848" width="9" style="2892"/>
    <col min="14849" max="14849" width="4.88671875" style="2892" customWidth="1"/>
    <col min="14850" max="14850" width="13.21875" style="2892" customWidth="1"/>
    <col min="14851" max="14851" width="15.6640625" style="2892" customWidth="1"/>
    <col min="14852" max="14852" width="9.33203125" style="2892" bestFit="1" customWidth="1"/>
    <col min="14853" max="14853" width="13.44140625" style="2892" customWidth="1"/>
    <col min="14854" max="14854" width="9" style="2892"/>
    <col min="14855" max="14855" width="9.33203125" style="2892" bestFit="1" customWidth="1"/>
    <col min="14856" max="14857" width="9" style="2892"/>
    <col min="14858" max="14858" width="9.33203125" style="2892" bestFit="1" customWidth="1"/>
    <col min="14859" max="14859" width="4" style="2892" customWidth="1"/>
    <col min="14860" max="14860" width="5.109375" style="2892" customWidth="1"/>
    <col min="14861" max="14861" width="13.77734375" style="2892" customWidth="1"/>
    <col min="14862" max="15104" width="9" style="2892"/>
    <col min="15105" max="15105" width="4.88671875" style="2892" customWidth="1"/>
    <col min="15106" max="15106" width="13.21875" style="2892" customWidth="1"/>
    <col min="15107" max="15107" width="15.6640625" style="2892" customWidth="1"/>
    <col min="15108" max="15108" width="9.33203125" style="2892" bestFit="1" customWidth="1"/>
    <col min="15109" max="15109" width="13.44140625" style="2892" customWidth="1"/>
    <col min="15110" max="15110" width="9" style="2892"/>
    <col min="15111" max="15111" width="9.33203125" style="2892" bestFit="1" customWidth="1"/>
    <col min="15112" max="15113" width="9" style="2892"/>
    <col min="15114" max="15114" width="9.33203125" style="2892" bestFit="1" customWidth="1"/>
    <col min="15115" max="15115" width="4" style="2892" customWidth="1"/>
    <col min="15116" max="15116" width="5.109375" style="2892" customWidth="1"/>
    <col min="15117" max="15117" width="13.77734375" style="2892" customWidth="1"/>
    <col min="15118" max="15360" width="9" style="2892"/>
    <col min="15361" max="15361" width="4.88671875" style="2892" customWidth="1"/>
    <col min="15362" max="15362" width="13.21875" style="2892" customWidth="1"/>
    <col min="15363" max="15363" width="15.6640625" style="2892" customWidth="1"/>
    <col min="15364" max="15364" width="9.33203125" style="2892" bestFit="1" customWidth="1"/>
    <col min="15365" max="15365" width="13.44140625" style="2892" customWidth="1"/>
    <col min="15366" max="15366" width="9" style="2892"/>
    <col min="15367" max="15367" width="9.33203125" style="2892" bestFit="1" customWidth="1"/>
    <col min="15368" max="15369" width="9" style="2892"/>
    <col min="15370" max="15370" width="9.33203125" style="2892" bestFit="1" customWidth="1"/>
    <col min="15371" max="15371" width="4" style="2892" customWidth="1"/>
    <col min="15372" max="15372" width="5.109375" style="2892" customWidth="1"/>
    <col min="15373" max="15373" width="13.77734375" style="2892" customWidth="1"/>
    <col min="15374" max="15616" width="9" style="2892"/>
    <col min="15617" max="15617" width="4.88671875" style="2892" customWidth="1"/>
    <col min="15618" max="15618" width="13.21875" style="2892" customWidth="1"/>
    <col min="15619" max="15619" width="15.6640625" style="2892" customWidth="1"/>
    <col min="15620" max="15620" width="9.33203125" style="2892" bestFit="1" customWidth="1"/>
    <col min="15621" max="15621" width="13.44140625" style="2892" customWidth="1"/>
    <col min="15622" max="15622" width="9" style="2892"/>
    <col min="15623" max="15623" width="9.33203125" style="2892" bestFit="1" customWidth="1"/>
    <col min="15624" max="15625" width="9" style="2892"/>
    <col min="15626" max="15626" width="9.33203125" style="2892" bestFit="1" customWidth="1"/>
    <col min="15627" max="15627" width="4" style="2892" customWidth="1"/>
    <col min="15628" max="15628" width="5.109375" style="2892" customWidth="1"/>
    <col min="15629" max="15629" width="13.77734375" style="2892" customWidth="1"/>
    <col min="15630" max="15872" width="9" style="2892"/>
    <col min="15873" max="15873" width="4.88671875" style="2892" customWidth="1"/>
    <col min="15874" max="15874" width="13.21875" style="2892" customWidth="1"/>
    <col min="15875" max="15875" width="15.6640625" style="2892" customWidth="1"/>
    <col min="15876" max="15876" width="9.33203125" style="2892" bestFit="1" customWidth="1"/>
    <col min="15877" max="15877" width="13.44140625" style="2892" customWidth="1"/>
    <col min="15878" max="15878" width="9" style="2892"/>
    <col min="15879" max="15879" width="9.33203125" style="2892" bestFit="1" customWidth="1"/>
    <col min="15880" max="15881" width="9" style="2892"/>
    <col min="15882" max="15882" width="9.33203125" style="2892" bestFit="1" customWidth="1"/>
    <col min="15883" max="15883" width="4" style="2892" customWidth="1"/>
    <col min="15884" max="15884" width="5.109375" style="2892" customWidth="1"/>
    <col min="15885" max="15885" width="13.77734375" style="2892" customWidth="1"/>
    <col min="15886" max="16128" width="9" style="2892"/>
    <col min="16129" max="16129" width="4.88671875" style="2892" customWidth="1"/>
    <col min="16130" max="16130" width="13.21875" style="2892" customWidth="1"/>
    <col min="16131" max="16131" width="15.6640625" style="2892" customWidth="1"/>
    <col min="16132" max="16132" width="9.33203125" style="2892" bestFit="1" customWidth="1"/>
    <col min="16133" max="16133" width="13.44140625" style="2892" customWidth="1"/>
    <col min="16134" max="16134" width="9" style="2892"/>
    <col min="16135" max="16135" width="9.33203125" style="2892" bestFit="1" customWidth="1"/>
    <col min="16136" max="16137" width="9" style="2892"/>
    <col min="16138" max="16138" width="9.33203125" style="2892" bestFit="1" customWidth="1"/>
    <col min="16139" max="16139" width="4" style="2892" customWidth="1"/>
    <col min="16140" max="16140" width="5.109375" style="2892" customWidth="1"/>
    <col min="16141" max="16141" width="13.77734375" style="2892" customWidth="1"/>
    <col min="16142" max="16384" width="9" style="2892"/>
  </cols>
  <sheetData>
    <row r="1" spans="1:257" s="2952" customFormat="1" ht="15" thickBot="1">
      <c r="A1" s="2951"/>
      <c r="B1" s="2953" t="s">
        <v>2784</v>
      </c>
      <c r="C1" s="2957">
        <f>项目基本情况!D3</f>
        <v>43889</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6" thickTop="1" thickBot="1">
      <c r="A2" s="2893"/>
      <c r="B2" s="2954" t="s">
        <v>2815</v>
      </c>
      <c r="C2" s="2958">
        <f>'数据-取费表'!B22</f>
        <v>2</v>
      </c>
      <c r="D2" s="2953" t="s">
        <v>2785</v>
      </c>
      <c r="E2" s="2956">
        <f ca="1">INDIRECT("I"&amp;$I$1)/100</f>
        <v>4.7500000000000001E-2</v>
      </c>
      <c r="G2" s="2893"/>
      <c r="H2" s="2893"/>
      <c r="I2" s="2893" t="s">
        <v>2786</v>
      </c>
      <c r="K2" s="2893"/>
      <c r="L2" s="2893"/>
      <c r="M2" s="2893"/>
      <c r="N2" s="2893" t="s">
        <v>2787</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2817</v>
      </c>
      <c r="C3" s="2955">
        <f>'数据-取费表'!B19</f>
        <v>0</v>
      </c>
      <c r="D3" s="2953" t="s">
        <v>2785</v>
      </c>
      <c r="E3" s="2956">
        <f ca="1">INDIRECT("J"&amp;$J$1)/100</f>
        <v>0</v>
      </c>
      <c r="G3" s="2895" t="s">
        <v>2788</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2816</v>
      </c>
      <c r="C4" s="2956">
        <f ca="1">N4/100</f>
        <v>1.4999999999999999E-2</v>
      </c>
      <c r="G4" s="2901" t="s">
        <v>2789</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2790</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2791</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5" thickBot="1">
      <c r="A7" s="2894"/>
      <c r="G7" s="2906" t="s">
        <v>2792</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399999999999999">
      <c r="A9" s="2914"/>
      <c r="B9" s="2915" t="s">
        <v>2793</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2">
      <c r="A10" s="2920"/>
      <c r="B10" s="2921" t="s">
        <v>2794</v>
      </c>
      <c r="C10" s="2920"/>
      <c r="D10" s="2920"/>
      <c r="E10" s="2920"/>
      <c r="F10" s="2920"/>
      <c r="G10" s="2920"/>
      <c r="H10" s="2920"/>
      <c r="I10" s="2894"/>
      <c r="J10" s="2894"/>
      <c r="K10" s="2920"/>
      <c r="L10" s="2921" t="s">
        <v>2795</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2796</v>
      </c>
      <c r="C11" s="2925" t="s">
        <v>2797</v>
      </c>
      <c r="D11" s="2926" t="s">
        <v>2798</v>
      </c>
      <c r="E11" s="2927"/>
      <c r="F11" s="2926" t="s">
        <v>2799</v>
      </c>
      <c r="G11" s="2928"/>
      <c r="H11" s="2927"/>
      <c r="I11" s="2926" t="s">
        <v>2800</v>
      </c>
      <c r="J11" s="2927"/>
      <c r="K11" s="2923"/>
      <c r="L11" s="2924" t="s">
        <v>2796</v>
      </c>
      <c r="M11" s="2925" t="s">
        <v>2797</v>
      </c>
      <c r="N11" s="2924" t="s">
        <v>2801</v>
      </c>
      <c r="O11" s="2926" t="s">
        <v>2802</v>
      </c>
      <c r="P11" s="2928"/>
      <c r="Q11" s="2928"/>
      <c r="R11" s="2928"/>
      <c r="S11" s="2928"/>
      <c r="T11" s="2927"/>
      <c r="U11" s="2926" t="s">
        <v>2803</v>
      </c>
      <c r="V11" s="2928"/>
      <c r="W11" s="2927"/>
      <c r="X11" s="2924" t="s">
        <v>2804</v>
      </c>
      <c r="Y11" s="2924" t="s">
        <v>2805</v>
      </c>
      <c r="Z11" s="2924" t="s">
        <v>2806</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2807</v>
      </c>
      <c r="E12" s="2933" t="s">
        <v>2808</v>
      </c>
      <c r="F12" s="2933" t="s">
        <v>2809</v>
      </c>
      <c r="G12" s="2933" t="s">
        <v>2810</v>
      </c>
      <c r="H12" s="2933" t="s">
        <v>2792</v>
      </c>
      <c r="I12" s="2934" t="s">
        <v>2811</v>
      </c>
      <c r="J12" s="2934" t="s">
        <v>2811</v>
      </c>
      <c r="K12" s="2930"/>
      <c r="L12" s="2931"/>
      <c r="M12" s="2932"/>
      <c r="N12" s="2931"/>
      <c r="O12" s="2934" t="s">
        <v>2812</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31.2">
      <c r="A13" s="2936"/>
      <c r="B13" s="2937" t="s">
        <v>2813</v>
      </c>
      <c r="C13" s="2938">
        <v>42301</v>
      </c>
      <c r="D13" s="2939">
        <v>4.3499999999999996</v>
      </c>
      <c r="E13" s="2939">
        <v>4.3499999999999996</v>
      </c>
      <c r="F13" s="2939">
        <v>4.75</v>
      </c>
      <c r="G13" s="2939">
        <v>4.75</v>
      </c>
      <c r="H13" s="2939">
        <v>4.9000000000000004</v>
      </c>
      <c r="I13" s="2939">
        <v>2.75</v>
      </c>
      <c r="J13" s="2939">
        <v>3.25</v>
      </c>
      <c r="K13" s="2936"/>
      <c r="L13" s="2937" t="s">
        <v>2813</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6.8">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2814</v>
      </c>
      <c r="Y42" s="2943" t="s">
        <v>2814</v>
      </c>
      <c r="Z42" s="2943" t="s">
        <v>2814</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2814</v>
      </c>
      <c r="Y43" s="2943" t="s">
        <v>2814</v>
      </c>
      <c r="Z43" s="2943" t="s">
        <v>2814</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2814</v>
      </c>
      <c r="Y44" s="2943" t="s">
        <v>2814</v>
      </c>
      <c r="Z44" s="2943" t="s">
        <v>2814</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2814</v>
      </c>
      <c r="Y45" s="2943" t="s">
        <v>2814</v>
      </c>
      <c r="Z45" s="2943" t="s">
        <v>2814</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2814</v>
      </c>
      <c r="Y46" s="2943" t="s">
        <v>2814</v>
      </c>
      <c r="Z46" s="2943" t="s">
        <v>2814</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2814</v>
      </c>
      <c r="Y47" s="2943" t="s">
        <v>2814</v>
      </c>
      <c r="Z47" s="2943" t="s">
        <v>2814</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2814</v>
      </c>
      <c r="Y48" s="2943" t="s">
        <v>2814</v>
      </c>
      <c r="Z48" s="2943" t="s">
        <v>2814</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2814</v>
      </c>
      <c r="Y49" s="2943" t="s">
        <v>2814</v>
      </c>
      <c r="Z49" s="2943" t="s">
        <v>2814</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2814</v>
      </c>
      <c r="Y50" s="2943" t="s">
        <v>2814</v>
      </c>
      <c r="Z50" s="2943" t="s">
        <v>2814</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2814</v>
      </c>
      <c r="V51" s="2943" t="s">
        <v>2814</v>
      </c>
      <c r="W51" s="2943" t="s">
        <v>2814</v>
      </c>
      <c r="X51" s="2943" t="s">
        <v>2814</v>
      </c>
      <c r="Y51" s="2943" t="s">
        <v>2814</v>
      </c>
      <c r="Z51" s="2943" t="s">
        <v>2814</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2814</v>
      </c>
      <c r="J55" s="2943" t="s">
        <v>2814</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7" t="s">
        <v>2035</v>
      </c>
      <c r="B1" s="3207"/>
      <c r="C1" s="3207"/>
      <c r="D1" s="3207"/>
      <c r="E1" s="3207"/>
      <c r="F1" s="3207"/>
      <c r="G1" s="3207"/>
      <c r="H1" s="3207"/>
      <c r="I1" s="3207"/>
      <c r="J1" s="3207"/>
      <c r="K1" s="3207"/>
      <c r="L1" s="3207"/>
      <c r="M1" s="3207"/>
      <c r="N1" s="3207"/>
      <c r="O1" s="3207"/>
      <c r="P1" s="3207"/>
      <c r="Q1" s="3207"/>
      <c r="R1" s="3207"/>
    </row>
    <row r="2" spans="1:18">
      <c r="A2" s="1790" t="s">
        <v>2037</v>
      </c>
      <c r="B2" s="1790"/>
      <c r="C2" s="1790"/>
      <c r="D2" s="1790"/>
      <c r="E2" s="1790"/>
      <c r="F2" s="1790"/>
      <c r="G2" s="1790"/>
      <c r="H2" s="1790"/>
      <c r="I2" s="1791"/>
      <c r="J2" s="1791"/>
      <c r="K2" s="1792" t="str">
        <f>"估价期日："&amp;TEXT(项目基本情况!D3,"yyyy年m月d日;;")</f>
        <v>估价期日：2020年2月28日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08" t="s">
        <v>2026</v>
      </c>
      <c r="B3" s="3208" t="s">
        <v>2727</v>
      </c>
      <c r="C3" s="3209" t="s">
        <v>2027</v>
      </c>
      <c r="D3" s="3208" t="s">
        <v>2731</v>
      </c>
      <c r="E3" s="3211" t="s">
        <v>2028</v>
      </c>
      <c r="F3" s="3211"/>
      <c r="G3" s="3211"/>
      <c r="H3" s="3211" t="s">
        <v>2029</v>
      </c>
      <c r="I3" s="3211"/>
      <c r="J3" s="3211"/>
      <c r="K3" s="3209" t="s">
        <v>2030</v>
      </c>
      <c r="L3" s="3209" t="s">
        <v>2031</v>
      </c>
      <c r="M3" s="3208" t="s">
        <v>2728</v>
      </c>
      <c r="N3" s="3210" t="str">
        <f>"（分摊）"&amp;项目基本情况!B16&amp;"国有建设用地使用权面积/㎡"</f>
        <v>（分摊）出让国有建设用地使用权面积/㎡</v>
      </c>
      <c r="O3" s="3208" t="s">
        <v>2060</v>
      </c>
      <c r="P3" s="3209" t="s">
        <v>2040</v>
      </c>
      <c r="Q3" s="3209" t="s">
        <v>2061</v>
      </c>
      <c r="R3" s="3209" t="s">
        <v>2032</v>
      </c>
    </row>
    <row r="4" spans="1:18" ht="36.75" customHeight="1">
      <c r="A4" s="3208"/>
      <c r="B4" s="3208"/>
      <c r="C4" s="3209"/>
      <c r="D4" s="3208"/>
      <c r="E4" s="2611" t="s">
        <v>2039</v>
      </c>
      <c r="F4" s="2611" t="s">
        <v>2740</v>
      </c>
      <c r="G4" s="2611" t="s">
        <v>2033</v>
      </c>
      <c r="H4" s="2611" t="s">
        <v>2034</v>
      </c>
      <c r="I4" s="2611" t="s">
        <v>2741</v>
      </c>
      <c r="J4" s="2611" t="s">
        <v>2033</v>
      </c>
      <c r="K4" s="3209"/>
      <c r="L4" s="3209"/>
      <c r="M4" s="3208"/>
      <c r="N4" s="3210"/>
      <c r="O4" s="3208"/>
      <c r="P4" s="3209"/>
      <c r="Q4" s="3209"/>
      <c r="R4" s="3209"/>
    </row>
    <row r="5" spans="1:18" ht="135" customHeight="1">
      <c r="A5" s="1926" t="s">
        <v>2651</v>
      </c>
      <c r="B5" s="2820" t="s">
        <v>2649</v>
      </c>
      <c r="C5" s="2610">
        <v>22</v>
      </c>
      <c r="D5" s="2609" t="s">
        <v>2650</v>
      </c>
      <c r="E5" s="1793" t="str">
        <f>项目基本情况!B12</f>
        <v>住宅</v>
      </c>
      <c r="F5" s="2609">
        <v>258</v>
      </c>
      <c r="G5" s="1793" t="str">
        <f>项目基本情况!B13</f>
        <v>住宅</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22322.400000000001</v>
      </c>
      <c r="O5" s="1793">
        <f>项目基本情况!C21</f>
        <v>114120</v>
      </c>
      <c r="P5" s="1793">
        <f ca="1">结果表!E42</f>
        <v>7540</v>
      </c>
      <c r="Q5" s="1793">
        <f ca="1">结果表!D42</f>
        <v>1475</v>
      </c>
      <c r="R5" s="1794">
        <f ca="1">结果表!C42</f>
        <v>16832</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795">
        <f ca="1">结果表!O39</f>
        <v>16832</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795" t="str">
        <f>结果表!O40</f>
        <v>——</v>
      </c>
    </row>
    <row r="8" spans="1:18">
      <c r="A8" s="3204">
        <f>IF(项目基本情况!B9="市场价格","——",项目基本情况!E9)</f>
        <v>0</v>
      </c>
      <c r="B8" s="3205"/>
      <c r="C8" s="3205"/>
      <c r="D8" s="3205"/>
      <c r="E8" s="3205"/>
      <c r="F8" s="3205"/>
      <c r="G8" s="3205"/>
      <c r="H8" s="3205"/>
      <c r="I8" s="3205"/>
      <c r="J8" s="3205"/>
      <c r="K8" s="3205"/>
      <c r="L8" s="3205"/>
      <c r="M8" s="3205"/>
      <c r="N8" s="3205"/>
      <c r="O8" s="3205"/>
      <c r="P8" s="3205"/>
      <c r="Q8" s="3206"/>
      <c r="R8" s="1795" t="str">
        <f>结果表!O41</f>
        <v>——</v>
      </c>
    </row>
    <row r="9" spans="1:18">
      <c r="A9" s="1796" t="s">
        <v>2038</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2025</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5" customWidth="1"/>
    <col min="2" max="3" width="21.33203125" style="1785" customWidth="1"/>
    <col min="4" max="4" width="19.88671875" style="1785" customWidth="1"/>
    <col min="5" max="16384" width="9" style="1785"/>
  </cols>
  <sheetData>
    <row r="1" spans="1:4">
      <c r="A1" s="3213" t="s">
        <v>2062</v>
      </c>
      <c r="B1" s="3213"/>
      <c r="C1" s="3213"/>
      <c r="D1" s="3213"/>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2" t="s">
        <v>2063</v>
      </c>
      <c r="B5" s="3212"/>
      <c r="C5" s="3212"/>
      <c r="D5" s="3212"/>
    </row>
    <row r="6" spans="1:4">
      <c r="A6" s="3213" t="s">
        <v>2041</v>
      </c>
      <c r="B6" s="3213"/>
      <c r="C6" s="3213"/>
      <c r="D6" s="3213"/>
    </row>
    <row r="7" spans="1:4" ht="33" customHeight="1">
      <c r="A7" s="3213" t="s">
        <v>2571</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2" t="s">
        <v>2065</v>
      </c>
      <c r="B12" s="3212"/>
      <c r="C12" s="3212"/>
      <c r="D12" s="3212"/>
    </row>
    <row r="13" spans="1:4">
      <c r="A13" s="3216" t="s">
        <v>2742</v>
      </c>
      <c r="B13" s="3216"/>
      <c r="C13" s="3216"/>
      <c r="D13" s="3216"/>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2698</v>
      </c>
      <c r="B17" s="3213"/>
      <c r="C17" s="3213"/>
      <c r="D17" s="3213"/>
    </row>
    <row r="18" spans="1:4">
      <c r="A18" s="3213" t="s">
        <v>2690</v>
      </c>
      <c r="B18" s="3213"/>
      <c r="C18" s="3213"/>
      <c r="D18" s="3213"/>
    </row>
    <row r="19" spans="1:4">
      <c r="A19" s="2821" t="s">
        <v>2691</v>
      </c>
      <c r="B19" s="2821" t="s">
        <v>2692</v>
      </c>
      <c r="C19" s="2821" t="s">
        <v>2693</v>
      </c>
      <c r="D19" s="2821" t="s">
        <v>2694</v>
      </c>
    </row>
    <row r="20" spans="1:4">
      <c r="A20" s="2821" t="str">
        <f>项目基本情况!B4</f>
        <v>土地估价师</v>
      </c>
      <c r="B20" s="2821">
        <f>项目基本情况!C4</f>
        <v>0</v>
      </c>
      <c r="C20" s="2823"/>
      <c r="D20" s="1783" t="s">
        <v>2699</v>
      </c>
    </row>
    <row r="21" spans="1:4">
      <c r="A21" s="2821" t="str">
        <f>项目基本情况!D4</f>
        <v>土地估价师</v>
      </c>
      <c r="B21" s="2821">
        <f>项目基本情况!E4</f>
        <v>0</v>
      </c>
      <c r="C21" s="2823"/>
      <c r="D21" s="1783" t="s">
        <v>2700</v>
      </c>
    </row>
    <row r="23" spans="1:4">
      <c r="A23" s="3213" t="s">
        <v>2695</v>
      </c>
      <c r="B23" s="3213"/>
      <c r="C23" s="3213"/>
      <c r="D23" s="3213"/>
    </row>
    <row r="24" spans="1:4">
      <c r="A24" s="2821" t="s">
        <v>2691</v>
      </c>
      <c r="B24" s="2821" t="s">
        <v>2696</v>
      </c>
      <c r="C24" s="2821" t="s">
        <v>2693</v>
      </c>
      <c r="D24" s="2821" t="s">
        <v>2694</v>
      </c>
    </row>
    <row r="25" spans="1:4">
      <c r="A25" s="2824" t="s">
        <v>2697</v>
      </c>
      <c r="B25" s="2821" t="s">
        <v>952</v>
      </c>
      <c r="C25" s="2823"/>
      <c r="D25" s="1783" t="s">
        <v>2700</v>
      </c>
    </row>
    <row r="29" spans="1:4">
      <c r="D29" s="2822" t="s">
        <v>2036</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24" t="s">
        <v>53</v>
      </c>
      <c r="B15" s="3225" t="s">
        <v>846</v>
      </c>
      <c r="C15" s="3221"/>
    </row>
    <row r="16" spans="1:7" ht="14.4">
      <c r="A16" s="3224"/>
      <c r="B16" s="3222" t="s">
        <v>54</v>
      </c>
      <c r="C16" s="1168" t="s">
        <v>53</v>
      </c>
    </row>
    <row r="17" spans="1:3" ht="14.4">
      <c r="A17" s="3224"/>
      <c r="B17" s="3222"/>
      <c r="C17" s="1168" t="s">
        <v>55</v>
      </c>
    </row>
    <row r="18" spans="1:3" ht="14.4">
      <c r="A18" s="3224"/>
      <c r="B18" s="3222"/>
      <c r="C18" s="1168" t="s">
        <v>56</v>
      </c>
    </row>
    <row r="19" spans="1:3" ht="14.4">
      <c r="A19" s="3224"/>
      <c r="B19" s="3220" t="s">
        <v>57</v>
      </c>
      <c r="C19" s="3221"/>
    </row>
    <row r="20" spans="1:3" ht="14.4">
      <c r="A20" s="1169" t="s">
        <v>58</v>
      </c>
      <c r="B20" s="1170"/>
      <c r="C20" s="1171"/>
    </row>
    <row r="21" spans="1:3" ht="14.4">
      <c r="A21" s="3223" t="s">
        <v>59</v>
      </c>
      <c r="B21" s="3220" t="s">
        <v>60</v>
      </c>
      <c r="C21" s="3221"/>
    </row>
    <row r="22" spans="1:3" ht="14.4">
      <c r="A22" s="3223"/>
      <c r="B22" s="3220" t="s">
        <v>61</v>
      </c>
      <c r="C22" s="3221"/>
    </row>
    <row r="23" spans="1:3" ht="14.4">
      <c r="A23" s="3223"/>
      <c r="B23" s="3220" t="s">
        <v>62</v>
      </c>
      <c r="C23" s="3221"/>
    </row>
    <row r="24" spans="1:3" ht="14.4">
      <c r="A24" s="3223"/>
      <c r="B24" s="3226" t="s">
        <v>63</v>
      </c>
      <c r="C24" s="1172" t="s">
        <v>837</v>
      </c>
    </row>
    <row r="25" spans="1:3" ht="14.4">
      <c r="A25" s="3223"/>
      <c r="B25" s="3227"/>
      <c r="C25" s="1172" t="s">
        <v>838</v>
      </c>
    </row>
    <row r="26" spans="1:3" ht="14.4">
      <c r="A26" s="3223"/>
      <c r="B26" s="3227"/>
      <c r="C26" s="1172" t="s">
        <v>839</v>
      </c>
    </row>
    <row r="27" spans="1:3" ht="14.4">
      <c r="A27" s="3223"/>
      <c r="B27" s="3227"/>
      <c r="C27" s="1172" t="s">
        <v>840</v>
      </c>
    </row>
    <row r="28" spans="1:3" ht="14.4">
      <c r="A28" s="3223"/>
      <c r="B28" s="3227"/>
      <c r="C28" s="1172" t="s">
        <v>841</v>
      </c>
    </row>
    <row r="29" spans="1:3" ht="14.4">
      <c r="A29" s="3223"/>
      <c r="B29" s="3227"/>
      <c r="C29" s="1172" t="s">
        <v>842</v>
      </c>
    </row>
    <row r="30" spans="1:3" ht="14.4">
      <c r="A30" s="3223"/>
      <c r="B30" s="3227"/>
      <c r="C30" s="1172" t="s">
        <v>843</v>
      </c>
    </row>
    <row r="31" spans="1:3" ht="14.4">
      <c r="A31" s="3223"/>
      <c r="B31" s="3227"/>
      <c r="C31" s="1172" t="s">
        <v>844</v>
      </c>
    </row>
    <row r="32" spans="1:3" ht="14.4">
      <c r="A32" s="3223"/>
      <c r="B32" s="3227"/>
      <c r="C32" s="1172" t="s">
        <v>1646</v>
      </c>
    </row>
    <row r="33" spans="1:3" ht="14.4">
      <c r="A33" s="3223"/>
      <c r="B33" s="3217" t="s">
        <v>1652</v>
      </c>
      <c r="C33" s="1172" t="s">
        <v>1647</v>
      </c>
    </row>
    <row r="34" spans="1:3" ht="14.4">
      <c r="A34" s="3223"/>
      <c r="B34" s="3218"/>
      <c r="C34" s="1177" t="s">
        <v>1648</v>
      </c>
    </row>
    <row r="35" spans="1:3" ht="14.4">
      <c r="A35" s="3223"/>
      <c r="B35" s="3218"/>
      <c r="C35" s="1178" t="s">
        <v>1649</v>
      </c>
    </row>
    <row r="36" spans="1:3" ht="14.4">
      <c r="A36" s="3223"/>
      <c r="B36" s="3218"/>
      <c r="C36" s="1178" t="s">
        <v>1650</v>
      </c>
    </row>
    <row r="37" spans="1:3" ht="14.4">
      <c r="A37" s="3223"/>
      <c r="B37" s="3219"/>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A76" sqref="A76:B76"/>
    </sheetView>
  </sheetViews>
  <sheetFormatPr defaultColWidth="22.6640625" defaultRowHeight="20.25" customHeight="1"/>
  <cols>
    <col min="1" max="1" width="24.77734375" style="3125" customWidth="1"/>
    <col min="2" max="5" width="22.6640625" style="3125"/>
    <col min="6" max="6" width="25.6640625" style="3125" customWidth="1"/>
    <col min="7" max="16384" width="22.6640625" style="3125"/>
  </cols>
  <sheetData>
    <row r="2" spans="1:6" ht="20.25" customHeight="1">
      <c r="A2" s="3122" t="s">
        <v>1906</v>
      </c>
      <c r="B2" s="3123">
        <f ca="1">TODAY()</f>
        <v>43889</v>
      </c>
      <c r="C2" s="3124" t="s">
        <v>1907</v>
      </c>
      <c r="D2" s="3124"/>
    </row>
    <row r="3" spans="1:6" ht="20.25" customHeight="1">
      <c r="A3" s="3126" t="s">
        <v>1908</v>
      </c>
      <c r="B3" s="3127" t="s">
        <v>1909</v>
      </c>
      <c r="C3" s="3127" t="s">
        <v>1910</v>
      </c>
      <c r="D3" s="3128" t="s">
        <v>1911</v>
      </c>
      <c r="E3" s="3127" t="s">
        <v>1912</v>
      </c>
      <c r="F3" s="3127" t="s">
        <v>1910</v>
      </c>
    </row>
    <row r="4" spans="1:6" ht="20.25" customHeight="1">
      <c r="A4" s="3127" t="s">
        <v>1913</v>
      </c>
      <c r="B4" s="3127">
        <f ca="1">IF(C4&lt;B2,"已过期",1119970066)</f>
        <v>1119970066</v>
      </c>
      <c r="C4" s="3129">
        <v>44876</v>
      </c>
      <c r="D4" s="3127" t="s">
        <v>1913</v>
      </c>
      <c r="E4" s="3127">
        <f ca="1">IF(F4&lt;B2,"已过期",96010014)</f>
        <v>96010014</v>
      </c>
      <c r="F4" s="3130">
        <v>47118</v>
      </c>
    </row>
    <row r="5" spans="1:6" ht="20.25" customHeight="1">
      <c r="A5" s="3127"/>
      <c r="B5" s="3127"/>
      <c r="C5" s="3129"/>
      <c r="D5" s="3127"/>
      <c r="E5" s="3127"/>
      <c r="F5" s="3130"/>
    </row>
    <row r="6" spans="1:6" ht="20.25" customHeight="1">
      <c r="A6" s="3127" t="s">
        <v>1914</v>
      </c>
      <c r="B6" s="3127">
        <f ca="1">IF(C6&lt;B2,"已过期",1119970111)</f>
        <v>1119970111</v>
      </c>
      <c r="C6" s="3129">
        <v>44876</v>
      </c>
      <c r="D6" s="3127" t="s">
        <v>1914</v>
      </c>
      <c r="E6" s="3127">
        <f ca="1">IF(F6&lt;B2,"已过期",94010078)</f>
        <v>94010078</v>
      </c>
      <c r="F6" s="3130">
        <v>46387</v>
      </c>
    </row>
    <row r="7" spans="1:6" ht="20.25" customHeight="1">
      <c r="A7" s="3127" t="s">
        <v>1915</v>
      </c>
      <c r="B7" s="3127">
        <f ca="1">IF(C7&lt;B2,"已过期",1120050019)</f>
        <v>1120050019</v>
      </c>
      <c r="C7" s="3129">
        <v>44395</v>
      </c>
      <c r="D7" s="3127" t="s">
        <v>1915</v>
      </c>
      <c r="E7" s="3127">
        <f ca="1">IF(F7&lt;B2,"已过期",2002110030)</f>
        <v>2002110030</v>
      </c>
      <c r="F7" s="3130">
        <v>46387</v>
      </c>
    </row>
    <row r="8" spans="1:6" ht="20.25" customHeight="1">
      <c r="A8" s="3127" t="s">
        <v>1916</v>
      </c>
      <c r="B8" s="3127">
        <f ca="1">IF(C8&lt;B2,"已过期",1120000080)</f>
        <v>1120000080</v>
      </c>
      <c r="C8" s="3129">
        <v>44876</v>
      </c>
      <c r="D8" s="3127" t="s">
        <v>1916</v>
      </c>
      <c r="E8" s="3127">
        <f ca="1">IF(F8&lt;B2,"已过期",2000110082)</f>
        <v>2000110082</v>
      </c>
      <c r="F8" s="3130">
        <v>46387</v>
      </c>
    </row>
    <row r="9" spans="1:6" ht="20.25" customHeight="1">
      <c r="A9" s="3127" t="s">
        <v>1917</v>
      </c>
      <c r="B9" s="3127">
        <f ca="1">IF(C9&lt;B2,"已过期",1419970001)</f>
        <v>1419970001</v>
      </c>
      <c r="C9" s="3129">
        <v>44899</v>
      </c>
      <c r="D9" s="3127" t="s">
        <v>1917</v>
      </c>
      <c r="E9" s="3127">
        <f ca="1">IF(F9&lt;B2,"已过期",2002110125)</f>
        <v>2002110125</v>
      </c>
      <c r="F9" s="3130">
        <v>47118</v>
      </c>
    </row>
    <row r="10" spans="1:6" ht="20.25" customHeight="1">
      <c r="A10" s="3127" t="s">
        <v>1918</v>
      </c>
      <c r="B10" s="3127">
        <f ca="1">IF(C10&lt;B2,"已过期",1120060040)</f>
        <v>1120060040</v>
      </c>
      <c r="C10" s="3129">
        <v>44554</v>
      </c>
      <c r="D10" s="3127" t="s">
        <v>1918</v>
      </c>
      <c r="E10" s="3127">
        <f ca="1">IF(F10&lt;B2,"已过期",2004110096)</f>
        <v>2004110096</v>
      </c>
      <c r="F10" s="3130">
        <v>47118</v>
      </c>
    </row>
    <row r="11" spans="1:6" ht="20.25" customHeight="1">
      <c r="A11" s="3127" t="s">
        <v>1919</v>
      </c>
      <c r="B11" s="3127">
        <f ca="1">IF(C11&lt;B2,"已过期",1120100036)</f>
        <v>1120100036</v>
      </c>
      <c r="C11" s="3129">
        <v>44675</v>
      </c>
      <c r="D11" s="3127" t="s">
        <v>1919</v>
      </c>
      <c r="E11" s="3127">
        <f ca="1">IF(F11&lt;B2,"已过期",2010110070)</f>
        <v>2010110070</v>
      </c>
      <c r="F11" s="3130">
        <v>47907</v>
      </c>
    </row>
    <row r="12" spans="1:6" ht="20.25" customHeight="1">
      <c r="A12" s="3127"/>
      <c r="B12" s="3127"/>
      <c r="C12" s="3129"/>
      <c r="D12" s="3127"/>
      <c r="E12" s="3127"/>
      <c r="F12" s="3130"/>
    </row>
    <row r="13" spans="1:6" ht="20.25" customHeight="1">
      <c r="A13" s="3127" t="s">
        <v>1920</v>
      </c>
      <c r="B13" s="3127">
        <f ca="1">IF(C13&lt;B2,"已过期",1120070131)</f>
        <v>1120070131</v>
      </c>
      <c r="C13" s="3129">
        <v>44849</v>
      </c>
      <c r="D13" s="3127" t="s">
        <v>1920</v>
      </c>
      <c r="E13" s="3127">
        <f ca="1">IF(F13&lt;B2,"已过期",2014110011)</f>
        <v>2014110011</v>
      </c>
      <c r="F13" s="3130">
        <v>49302</v>
      </c>
    </row>
    <row r="14" spans="1:6" ht="20.25" customHeight="1">
      <c r="A14" s="3127" t="s">
        <v>2974</v>
      </c>
      <c r="B14" s="3127">
        <f ca="1">IF(C14&lt;B2,"已过期",1120040230)</f>
        <v>1120040230</v>
      </c>
      <c r="C14" s="3131">
        <v>44864</v>
      </c>
      <c r="D14" s="3132" t="s">
        <v>2975</v>
      </c>
      <c r="E14" s="3127">
        <f ca="1">IF(F14&lt;B2,"已过期",98030020)</f>
        <v>98030020</v>
      </c>
      <c r="F14" s="3130">
        <v>47118</v>
      </c>
    </row>
    <row r="15" spans="1:6" ht="20.25" customHeight="1">
      <c r="A15" s="3127"/>
      <c r="B15" s="3127"/>
      <c r="C15" s="3131"/>
      <c r="D15" s="3127"/>
      <c r="E15" s="3127"/>
      <c r="F15" s="3133"/>
    </row>
    <row r="16" spans="1:6" ht="20.25" customHeight="1">
      <c r="A16" s="3127"/>
      <c r="B16" s="3127"/>
      <c r="C16" s="3129"/>
      <c r="D16" s="3127"/>
      <c r="E16" s="3127"/>
      <c r="F16" s="3130"/>
    </row>
    <row r="17" spans="1:7" ht="20.25" customHeight="1">
      <c r="A17" s="3127"/>
      <c r="B17" s="3127"/>
      <c r="C17" s="3129"/>
      <c r="D17" s="3132"/>
      <c r="E17" s="3127"/>
      <c r="F17" s="3130"/>
    </row>
    <row r="18" spans="1:7" ht="20.25" customHeight="1">
      <c r="A18" s="3127" t="s">
        <v>2988</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1921</v>
      </c>
      <c r="E21" s="3127">
        <f ca="1">IF(F21&lt;B2,"已过期",2011110090)</f>
        <v>2011110090</v>
      </c>
      <c r="F21" s="3130">
        <v>48302</v>
      </c>
    </row>
    <row r="22" spans="1:7" ht="20.25" customHeight="1">
      <c r="A22" s="3127" t="s">
        <v>1922</v>
      </c>
      <c r="B22" s="3127">
        <f ca="1">IF(C22&lt;B2,"已过期",1120020033)</f>
        <v>1120020033</v>
      </c>
      <c r="C22" s="3129">
        <v>44339</v>
      </c>
      <c r="D22" s="3127" t="s">
        <v>1922</v>
      </c>
      <c r="E22" s="3127">
        <f ca="1">IF(F22&lt;B2,"已过期",2000110137)</f>
        <v>2000110137</v>
      </c>
      <c r="F22" s="3130">
        <v>46387</v>
      </c>
    </row>
    <row r="23" spans="1:7" ht="20.25" customHeight="1">
      <c r="A23" s="3127" t="s">
        <v>2990</v>
      </c>
      <c r="B23" s="3127">
        <v>1119980106</v>
      </c>
      <c r="C23" s="3129">
        <v>43916</v>
      </c>
      <c r="D23" s="3127" t="s">
        <v>2992</v>
      </c>
      <c r="E23" s="3127">
        <v>96010063</v>
      </c>
      <c r="F23" s="3130">
        <v>47118</v>
      </c>
    </row>
    <row r="24" spans="1:7" s="3135" customFormat="1" ht="20.25" customHeight="1">
      <c r="A24" s="3126" t="s">
        <v>2050</v>
      </c>
      <c r="B24" s="3126" t="s">
        <v>2050</v>
      </c>
      <c r="C24" s="3129"/>
      <c r="D24" s="3134" t="s">
        <v>2050</v>
      </c>
      <c r="E24" s="3126" t="s">
        <v>2050</v>
      </c>
      <c r="F24" s="3133"/>
    </row>
    <row r="25" spans="1:7" ht="20.25" customHeight="1">
      <c r="A25" s="3228" t="s">
        <v>1923</v>
      </c>
      <c r="B25" s="3228"/>
      <c r="C25" s="3228"/>
      <c r="D25" s="3228"/>
      <c r="E25" s="3228"/>
      <c r="F25" s="3228"/>
      <c r="G25" s="3228"/>
    </row>
    <row r="26" spans="1:7" ht="20.25" customHeight="1">
      <c r="A26" s="3229" t="s">
        <v>1924</v>
      </c>
      <c r="B26" s="3229"/>
      <c r="C26" s="3229"/>
      <c r="D26" s="3229" t="s">
        <v>1925</v>
      </c>
      <c r="E26" s="3229"/>
      <c r="F26" s="3229"/>
    </row>
    <row r="27" spans="1:7" s="3122" customFormat="1" ht="20.25" customHeight="1">
      <c r="A27" s="3136" t="s">
        <v>1926</v>
      </c>
      <c r="B27" s="3137" t="s">
        <v>1927</v>
      </c>
      <c r="C27" s="3137" t="s">
        <v>1928</v>
      </c>
      <c r="D27" s="3127" t="s">
        <v>1926</v>
      </c>
      <c r="E27" s="3137" t="s">
        <v>1927</v>
      </c>
      <c r="F27" s="3137" t="s">
        <v>1928</v>
      </c>
    </row>
    <row r="28" spans="1:7" s="3122" customFormat="1" ht="20.25" customHeight="1">
      <c r="A28" s="3138" t="s">
        <v>1929</v>
      </c>
      <c r="B28" s="3138" t="s">
        <v>1930</v>
      </c>
      <c r="C28" s="3130">
        <v>44820</v>
      </c>
      <c r="D28" s="3138" t="s">
        <v>1931</v>
      </c>
      <c r="E28" s="3138" t="s">
        <v>1932</v>
      </c>
      <c r="F28" s="3139">
        <v>44377</v>
      </c>
    </row>
    <row r="29" spans="1:7" s="3122" customFormat="1" ht="20.25" customHeight="1">
      <c r="A29" s="3138"/>
      <c r="B29" s="3138"/>
      <c r="C29" s="3140"/>
      <c r="D29" s="3138" t="s">
        <v>1933</v>
      </c>
      <c r="E29" s="3138" t="s">
        <v>2989</v>
      </c>
      <c r="F29" s="3139">
        <v>44012</v>
      </c>
    </row>
    <row r="30" spans="1:7" ht="20.25" customHeight="1">
      <c r="C30" s="3141"/>
      <c r="D30" s="3141"/>
    </row>
  </sheetData>
  <sheetProtection sheet="1" objects="1" scenarios="1"/>
  <mergeCells count="3">
    <mergeCell ref="A25:G25"/>
    <mergeCell ref="A26:C26"/>
    <mergeCell ref="D26:F26"/>
  </mergeCells>
  <phoneticPr fontId="4" type="noConversion"/>
  <conditionalFormatting sqref="C24:D24">
    <cfRule type="expression" dxfId="224" priority="151">
      <formula>AND($C24-TODAY()&lt;30,TODAY()&lt;$C24)</formula>
    </cfRule>
  </conditionalFormatting>
  <conditionalFormatting sqref="C28">
    <cfRule type="expression" dxfId="223" priority="150">
      <formula>AND($C28-TODAY()&lt;30,TODAY()&lt;$C28)</formula>
    </cfRule>
  </conditionalFormatting>
  <conditionalFormatting sqref="C28 F4">
    <cfRule type="cellIs" dxfId="222" priority="152" stopIfTrue="1" operator="lessThan">
      <formula>$B$2</formula>
    </cfRule>
  </conditionalFormatting>
  <conditionalFormatting sqref="F5">
    <cfRule type="cellIs" dxfId="221" priority="148" stopIfTrue="1" operator="lessThan">
      <formula>$B$2</formula>
    </cfRule>
  </conditionalFormatting>
  <conditionalFormatting sqref="F6 F8 F10">
    <cfRule type="cellIs" dxfId="220" priority="146" stopIfTrue="1" operator="lessThan">
      <formula>$B$2</formula>
    </cfRule>
  </conditionalFormatting>
  <conditionalFormatting sqref="C24:D24">
    <cfRule type="expression" dxfId="219" priority="144">
      <formula>AND($C24-TODAY()&lt;30,TODAY()&lt;$C24)</formula>
    </cfRule>
  </conditionalFormatting>
  <conditionalFormatting sqref="F7 F9 F11 C24:D24">
    <cfRule type="cellIs" dxfId="218" priority="145" stopIfTrue="1" operator="lessThan">
      <formula>$B$2</formula>
    </cfRule>
  </conditionalFormatting>
  <conditionalFormatting sqref="F22">
    <cfRule type="cellIs" dxfId="217" priority="116" stopIfTrue="1" operator="lessThan">
      <formula>$B$2</formula>
    </cfRule>
  </conditionalFormatting>
  <conditionalFormatting sqref="F21">
    <cfRule type="cellIs" dxfId="216" priority="115" stopIfTrue="1" operator="lessThan">
      <formula>$B$2</formula>
    </cfRule>
  </conditionalFormatting>
  <conditionalFormatting sqref="B4:B11 E4:E11 E19:E22 B17 B13 E13 B19:B23">
    <cfRule type="cellIs" dxfId="215" priority="113" stopIfTrue="1" operator="equal">
      <formula>"已过期"</formula>
    </cfRule>
  </conditionalFormatting>
  <conditionalFormatting sqref="F28">
    <cfRule type="cellIs" dxfId="214" priority="110" stopIfTrue="1" operator="lessThan">
      <formula>$B$2</formula>
    </cfRule>
  </conditionalFormatting>
  <conditionalFormatting sqref="F28">
    <cfRule type="expression" dxfId="213" priority="154">
      <formula>AND($E28-TODAY()&lt;30,TODAY()&lt;$E28)</formula>
    </cfRule>
  </conditionalFormatting>
  <conditionalFormatting sqref="C5">
    <cfRule type="expression" dxfId="212" priority="105">
      <formula>AND($C5-TODAY()&lt;30,TODAY()&lt;$C5)</formula>
    </cfRule>
  </conditionalFormatting>
  <conditionalFormatting sqref="C5">
    <cfRule type="cellIs" dxfId="211" priority="106" stopIfTrue="1" operator="lessThan">
      <formula>$B$2</formula>
    </cfRule>
  </conditionalFormatting>
  <conditionalFormatting sqref="C5:C6">
    <cfRule type="expression" dxfId="210" priority="103">
      <formula>AND($C5-TODAY()&lt;30,TODAY()&lt;$C5)</formula>
    </cfRule>
  </conditionalFormatting>
  <conditionalFormatting sqref="C5:C6">
    <cfRule type="cellIs" dxfId="209" priority="104" stopIfTrue="1" operator="lessThan">
      <formula>$B$2</formula>
    </cfRule>
  </conditionalFormatting>
  <conditionalFormatting sqref="C7">
    <cfRule type="expression" dxfId="208" priority="84">
      <formula>AND($C7-TODAY()&lt;30,TODAY()&lt;$C7)</formula>
    </cfRule>
  </conditionalFormatting>
  <conditionalFormatting sqref="C7">
    <cfRule type="cellIs" dxfId="207" priority="85" stopIfTrue="1" operator="lessThan">
      <formula>$B$2</formula>
    </cfRule>
  </conditionalFormatting>
  <conditionalFormatting sqref="C13 C23 C17 C19:C21">
    <cfRule type="expression" dxfId="206" priority="82">
      <formula>AND($C13-TODAY()&lt;30,TODAY()&lt;$C13)</formula>
    </cfRule>
  </conditionalFormatting>
  <conditionalFormatting sqref="C13 C23 C17 C19:C21">
    <cfRule type="cellIs" dxfId="205" priority="83" stopIfTrue="1" operator="lessThan">
      <formula>$B$2</formula>
    </cfRule>
  </conditionalFormatting>
  <conditionalFormatting sqref="F13">
    <cfRule type="cellIs" dxfId="204" priority="81" stopIfTrue="1" operator="lessThan">
      <formula>$B$2</formula>
    </cfRule>
  </conditionalFormatting>
  <conditionalFormatting sqref="F12">
    <cfRule type="cellIs" dxfId="203" priority="73" stopIfTrue="1" operator="lessThan">
      <formula>$B$2</formula>
    </cfRule>
  </conditionalFormatting>
  <conditionalFormatting sqref="B12 E12">
    <cfRule type="cellIs" dxfId="202" priority="72" stopIfTrue="1" operator="equal">
      <formula>"已过期"</formula>
    </cfRule>
  </conditionalFormatting>
  <conditionalFormatting sqref="C12">
    <cfRule type="expression" dxfId="201" priority="70">
      <formula>AND($C12-TODAY()&lt;30,TODAY()&lt;$C12)</formula>
    </cfRule>
  </conditionalFormatting>
  <conditionalFormatting sqref="C12">
    <cfRule type="cellIs" dxfId="200" priority="71" stopIfTrue="1" operator="lessThan">
      <formula>$B$2</formula>
    </cfRule>
  </conditionalFormatting>
  <conditionalFormatting sqref="C22">
    <cfRule type="expression" dxfId="199" priority="62">
      <formula>AND($C22-TODAY()&lt;30,TODAY()&lt;$C22)</formula>
    </cfRule>
  </conditionalFormatting>
  <conditionalFormatting sqref="C22">
    <cfRule type="cellIs" dxfId="198" priority="63" stopIfTrue="1" operator="lessThan">
      <formula>$B$2</formula>
    </cfRule>
  </conditionalFormatting>
  <conditionalFormatting sqref="C16">
    <cfRule type="expression" dxfId="197" priority="60">
      <formula>AND($C16-TODAY()&lt;30,TODAY()&lt;$C16)</formula>
    </cfRule>
  </conditionalFormatting>
  <conditionalFormatting sqref="C16">
    <cfRule type="cellIs" dxfId="196" priority="61" stopIfTrue="1" operator="lessThan">
      <formula>$B$2</formula>
    </cfRule>
  </conditionalFormatting>
  <conditionalFormatting sqref="C16">
    <cfRule type="expression" dxfId="195" priority="58">
      <formula>AND($C16-TODAY()&lt;30,TODAY()&lt;$C16)</formula>
    </cfRule>
  </conditionalFormatting>
  <conditionalFormatting sqref="C16">
    <cfRule type="cellIs" dxfId="194" priority="59" stopIfTrue="1" operator="lessThan">
      <formula>$B$2</formula>
    </cfRule>
  </conditionalFormatting>
  <conditionalFormatting sqref="B16">
    <cfRule type="cellIs" dxfId="193" priority="57" stopIfTrue="1" operator="equal">
      <formula>"已过期"</formula>
    </cfRule>
  </conditionalFormatting>
  <conditionalFormatting sqref="C14:C15">
    <cfRule type="expression" dxfId="192" priority="55">
      <formula>AND($C14-TODAY()&lt;30,TODAY()&lt;$C14)</formula>
    </cfRule>
  </conditionalFormatting>
  <conditionalFormatting sqref="C14:C15">
    <cfRule type="cellIs" dxfId="191" priority="56" stopIfTrue="1" operator="lessThan">
      <formula>$B$2</formula>
    </cfRule>
  </conditionalFormatting>
  <conditionalFormatting sqref="C14">
    <cfRule type="expression" dxfId="190" priority="53">
      <formula>AND($C14-TODAY()&lt;30,TODAY()&lt;$C14)</formula>
    </cfRule>
  </conditionalFormatting>
  <conditionalFormatting sqref="C14">
    <cfRule type="cellIs" dxfId="189" priority="54" stopIfTrue="1" operator="lessThan">
      <formula>$B$2</formula>
    </cfRule>
  </conditionalFormatting>
  <conditionalFormatting sqref="C15">
    <cfRule type="expression" dxfId="188" priority="51">
      <formula>AND($C15-TODAY()&lt;30,TODAY()&lt;$C15)</formula>
    </cfRule>
  </conditionalFormatting>
  <conditionalFormatting sqref="C15">
    <cfRule type="cellIs" dxfId="187" priority="52" stopIfTrue="1" operator="lessThan">
      <formula>$B$2</formula>
    </cfRule>
  </conditionalFormatting>
  <conditionalFormatting sqref="B14">
    <cfRule type="cellIs" dxfId="186" priority="50" stopIfTrue="1" operator="equal">
      <formula>"已过期"</formula>
    </cfRule>
  </conditionalFormatting>
  <conditionalFormatting sqref="B15">
    <cfRule type="cellIs" dxfId="185" priority="49" stopIfTrue="1" operator="equal">
      <formula>"已过期"</formula>
    </cfRule>
  </conditionalFormatting>
  <conditionalFormatting sqref="A15">
    <cfRule type="cellIs" dxfId="184" priority="48" stopIfTrue="1" operator="equal">
      <formula>"已过期"</formula>
    </cfRule>
  </conditionalFormatting>
  <conditionalFormatting sqref="C15">
    <cfRule type="expression" dxfId="183" priority="47">
      <formula>AND($C15-TODAY()&lt;30,TODAY()&lt;$C15)</formula>
    </cfRule>
  </conditionalFormatting>
  <conditionalFormatting sqref="F16">
    <cfRule type="cellIs" dxfId="182" priority="46" stopIfTrue="1" operator="lessThan">
      <formula>$B$2</formula>
    </cfRule>
  </conditionalFormatting>
  <conditionalFormatting sqref="E16">
    <cfRule type="cellIs" dxfId="181" priority="45" stopIfTrue="1" operator="equal">
      <formula>"已过期"</formula>
    </cfRule>
  </conditionalFormatting>
  <conditionalFormatting sqref="E15">
    <cfRule type="cellIs" dxfId="180" priority="44" stopIfTrue="1" operator="equal">
      <formula>"已过期"</formula>
    </cfRule>
  </conditionalFormatting>
  <conditionalFormatting sqref="D15">
    <cfRule type="cellIs" dxfId="179" priority="43" stopIfTrue="1" operator="equal">
      <formula>"已过期"</formula>
    </cfRule>
  </conditionalFormatting>
  <conditionalFormatting sqref="F17">
    <cfRule type="cellIs" dxfId="178" priority="42" stopIfTrue="1" operator="lessThan">
      <formula>$B$2</formula>
    </cfRule>
  </conditionalFormatting>
  <conditionalFormatting sqref="E17">
    <cfRule type="cellIs" dxfId="177" priority="41" stopIfTrue="1" operator="equal">
      <formula>"已过期"</formula>
    </cfRule>
  </conditionalFormatting>
  <conditionalFormatting sqref="E14">
    <cfRule type="cellIs" dxfId="176" priority="40" stopIfTrue="1" operator="equal">
      <formula>"已过期"</formula>
    </cfRule>
  </conditionalFormatting>
  <conditionalFormatting sqref="F14">
    <cfRule type="cellIs" dxfId="175" priority="39" stopIfTrue="1" operator="lessThan">
      <formula>$B$2</formula>
    </cfRule>
  </conditionalFormatting>
  <conditionalFormatting sqref="C10:C11">
    <cfRule type="expression" dxfId="174" priority="35">
      <formula>AND($C10-TODAY()&lt;30,TODAY()&lt;$C10)</formula>
    </cfRule>
  </conditionalFormatting>
  <conditionalFormatting sqref="C10:C11">
    <cfRule type="cellIs" dxfId="173" priority="36" stopIfTrue="1" operator="lessThan">
      <formula>$B$2</formula>
    </cfRule>
  </conditionalFormatting>
  <conditionalFormatting sqref="C18">
    <cfRule type="expression" dxfId="172" priority="24">
      <formula>AND($C18-TODAY()&lt;30,TODAY()&lt;$C18)</formula>
    </cfRule>
  </conditionalFormatting>
  <conditionalFormatting sqref="C18">
    <cfRule type="cellIs" dxfId="171" priority="25" stopIfTrue="1" operator="lessThan">
      <formula>$B$2</formula>
    </cfRule>
  </conditionalFormatting>
  <conditionalFormatting sqref="C18">
    <cfRule type="expression" dxfId="170" priority="22">
      <formula>AND($C18-TODAY()&lt;30,TODAY()&lt;$C18)</formula>
    </cfRule>
  </conditionalFormatting>
  <conditionalFormatting sqref="C18">
    <cfRule type="cellIs" dxfId="169" priority="23" stopIfTrue="1" operator="lessThan">
      <formula>$B$2</formula>
    </cfRule>
  </conditionalFormatting>
  <conditionalFormatting sqref="B18">
    <cfRule type="cellIs" dxfId="168" priority="21" stopIfTrue="1" operator="equal">
      <formula>"已过期"</formula>
    </cfRule>
  </conditionalFormatting>
  <conditionalFormatting sqref="F18">
    <cfRule type="cellIs" dxfId="167" priority="20" stopIfTrue="1" operator="lessThan">
      <formula>$B$2</formula>
    </cfRule>
  </conditionalFormatting>
  <conditionalFormatting sqref="E18">
    <cfRule type="cellIs" dxfId="166" priority="19" stopIfTrue="1" operator="equal">
      <formula>"已过期"</formula>
    </cfRule>
  </conditionalFormatting>
  <conditionalFormatting sqref="F29">
    <cfRule type="cellIs" dxfId="165" priority="15" stopIfTrue="1" operator="lessThan">
      <formula>$B$2</formula>
    </cfRule>
  </conditionalFormatting>
  <conditionalFormatting sqref="F29">
    <cfRule type="expression" dxfId="164" priority="16">
      <formula>AND($E29-TODAY()&lt;30,TODAY()&lt;$E29)</formula>
    </cfRule>
  </conditionalFormatting>
  <conditionalFormatting sqref="C4">
    <cfRule type="expression" dxfId="163" priority="11">
      <formula>AND($C4-TODAY()&lt;30,TODAY()&lt;$C4)</formula>
    </cfRule>
  </conditionalFormatting>
  <conditionalFormatting sqref="C4">
    <cfRule type="cellIs" dxfId="162" priority="12" stopIfTrue="1" operator="lessThan">
      <formula>$B$2</formula>
    </cfRule>
  </conditionalFormatting>
  <conditionalFormatting sqref="C8:C9">
    <cfRule type="expression" dxfId="161" priority="5">
      <formula>AND($C8-TODAY()&lt;30,TODAY()&lt;$C8)</formula>
    </cfRule>
  </conditionalFormatting>
  <conditionalFormatting sqref="C8:C9">
    <cfRule type="cellIs" dxfId="160" priority="6" stopIfTrue="1" operator="lessThan">
      <formula>$B$2</formula>
    </cfRule>
  </conditionalFormatting>
  <conditionalFormatting sqref="F23">
    <cfRule type="cellIs" dxfId="159" priority="2" stopIfTrue="1" operator="lessThan">
      <formula>$B$2</formula>
    </cfRule>
  </conditionalFormatting>
  <conditionalFormatting sqref="E23">
    <cfRule type="cellIs" dxfId="158"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abSelected="1" workbookViewId="0">
      <selection activeCell="AE15" sqref="AE15"/>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2542</v>
      </c>
      <c r="R1" s="2544" t="s">
        <v>2536</v>
      </c>
      <c r="S1" s="6" t="s">
        <v>146</v>
      </c>
      <c r="T1" s="7" t="s">
        <v>147</v>
      </c>
      <c r="U1" s="6" t="s">
        <v>148</v>
      </c>
      <c r="V1" s="6" t="s">
        <v>149</v>
      </c>
      <c r="W1" s="1004" t="s">
        <v>874</v>
      </c>
    </row>
    <row r="2" spans="1:23" ht="14.4">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ht="14.4">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ht="14.4">
      <c r="A4" s="8" t="s">
        <v>87</v>
      </c>
      <c r="B4" s="8" t="s">
        <v>152</v>
      </c>
      <c r="C4" s="1537" t="s">
        <v>1710</v>
      </c>
      <c r="D4" s="9" t="s">
        <v>1991</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ht="14.4">
      <c r="A5" s="8" t="s">
        <v>94</v>
      </c>
      <c r="B5" s="8" t="s">
        <v>153</v>
      </c>
      <c r="C5" s="1537" t="s">
        <v>1711</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ht="14.4">
      <c r="A6" s="8" t="s">
        <v>99</v>
      </c>
      <c r="B6" s="1145" t="s">
        <v>1640</v>
      </c>
      <c r="C6" s="1539" t="s">
        <v>1712</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ht="14.4">
      <c r="A7" s="8" t="s">
        <v>102</v>
      </c>
      <c r="B7" s="8" t="s">
        <v>103</v>
      </c>
      <c r="C7" s="1537" t="s">
        <v>1713</v>
      </c>
      <c r="F7" s="9" t="s">
        <v>154</v>
      </c>
      <c r="H7" s="9" t="s">
        <v>104</v>
      </c>
      <c r="I7" s="9" t="s">
        <v>105</v>
      </c>
    </row>
    <row r="8" spans="1:23" ht="14.4">
      <c r="A8" s="8" t="s">
        <v>106</v>
      </c>
      <c r="B8" s="8" t="s">
        <v>107</v>
      </c>
      <c r="C8" s="1537" t="s">
        <v>1714</v>
      </c>
      <c r="F8" s="9" t="s">
        <v>155</v>
      </c>
      <c r="H8" s="9"/>
      <c r="I8" s="9" t="s">
        <v>108</v>
      </c>
    </row>
    <row r="9" spans="1:23" ht="14.4">
      <c r="A9" s="8" t="s">
        <v>109</v>
      </c>
      <c r="B9" s="8" t="s">
        <v>156</v>
      </c>
      <c r="C9" s="1537" t="s">
        <v>1715</v>
      </c>
      <c r="F9" s="9" t="s">
        <v>110</v>
      </c>
      <c r="H9" s="9"/>
    </row>
    <row r="10" spans="1:23" ht="14.4">
      <c r="A10" s="8" t="s">
        <v>111</v>
      </c>
      <c r="B10" s="8" t="s">
        <v>157</v>
      </c>
      <c r="C10" s="1537" t="s">
        <v>1716</v>
      </c>
      <c r="F10" s="9" t="s">
        <v>6</v>
      </c>
    </row>
    <row r="11" spans="1:23" ht="14.4">
      <c r="A11" s="8" t="s">
        <v>112</v>
      </c>
      <c r="B11" s="8" t="s">
        <v>158</v>
      </c>
      <c r="C11" s="1537" t="s">
        <v>1717</v>
      </c>
    </row>
    <row r="12" spans="1:23" ht="14.4">
      <c r="A12" s="8" t="s">
        <v>113</v>
      </c>
      <c r="B12" s="8" t="s">
        <v>159</v>
      </c>
      <c r="C12" s="1537" t="s">
        <v>1718</v>
      </c>
    </row>
    <row r="13" spans="1:23" ht="14.4">
      <c r="A13" s="8" t="s">
        <v>114</v>
      </c>
      <c r="B13" s="8" t="s">
        <v>160</v>
      </c>
      <c r="C13" s="1537" t="s">
        <v>1719</v>
      </c>
    </row>
    <row r="14" spans="1:23" ht="14.4">
      <c r="A14" s="8" t="s">
        <v>115</v>
      </c>
      <c r="B14" s="8" t="s">
        <v>161</v>
      </c>
      <c r="C14" s="1540" t="s">
        <v>1895</v>
      </c>
    </row>
    <row r="15" spans="1:23" ht="14.4">
      <c r="A15" s="8" t="s">
        <v>116</v>
      </c>
      <c r="B15" s="8" t="s">
        <v>1680</v>
      </c>
      <c r="C15" s="1540"/>
    </row>
    <row r="16" spans="1:23" ht="14.4">
      <c r="A16" s="8" t="s">
        <v>117</v>
      </c>
      <c r="B16" s="8" t="s">
        <v>1681</v>
      </c>
      <c r="C16" s="1540"/>
    </row>
    <row r="17" spans="1:3" ht="14.4">
      <c r="A17" s="8" t="s">
        <v>118</v>
      </c>
      <c r="B17" s="8" t="s">
        <v>1682</v>
      </c>
      <c r="C17" s="1540"/>
    </row>
    <row r="18" spans="1:3" ht="14.4">
      <c r="A18" s="8" t="s">
        <v>119</v>
      </c>
      <c r="B18" s="3060" t="s">
        <v>2948</v>
      </c>
      <c r="C18" s="1540"/>
    </row>
    <row r="19" spans="1:3" ht="14.4">
      <c r="A19" s="8" t="s">
        <v>120</v>
      </c>
      <c r="B19" s="3060" t="s">
        <v>2956</v>
      </c>
      <c r="C19" s="1540"/>
    </row>
    <row r="20" spans="1:3" ht="14.4">
      <c r="A20" s="8" t="s">
        <v>121</v>
      </c>
      <c r="B20" s="8" t="s">
        <v>1641</v>
      </c>
      <c r="C20" s="1540"/>
    </row>
    <row r="21" spans="1:3" ht="14.4">
      <c r="A21" s="8" t="s">
        <v>122</v>
      </c>
      <c r="B21" s="8" t="s">
        <v>1641</v>
      </c>
      <c r="C21" s="1540"/>
    </row>
    <row r="22" spans="1:3" ht="14.4">
      <c r="A22" s="8" t="s">
        <v>123</v>
      </c>
      <c r="B22" s="8" t="s">
        <v>1641</v>
      </c>
      <c r="C22" s="1540"/>
    </row>
    <row r="23" spans="1:3" ht="14.4">
      <c r="A23" s="8" t="s">
        <v>124</v>
      </c>
      <c r="B23" s="8" t="s">
        <v>1641</v>
      </c>
      <c r="C23" s="1540"/>
    </row>
    <row r="24" spans="1:3">
      <c r="A24" s="8" t="s">
        <v>12</v>
      </c>
      <c r="B24" s="8" t="s">
        <v>1641</v>
      </c>
      <c r="C24" s="1540"/>
    </row>
    <row r="25" spans="1:3" ht="14.4">
      <c r="A25" s="8" t="s">
        <v>125</v>
      </c>
      <c r="B25" s="8" t="s">
        <v>1641</v>
      </c>
      <c r="C25" s="1540"/>
    </row>
    <row r="26" spans="1:3" ht="14.4">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48" t="s">
        <v>1939</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盛皇房地产开发有限公司拟使用重庆市潼南区梓潼街道办凉风垭C2-3-04（1）号地块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1983</v>
      </c>
      <c r="B52" s="1751" t="s">
        <v>1984</v>
      </c>
      <c r="C52" s="1749" t="s">
        <v>1985</v>
      </c>
      <c r="D52" s="1749" t="s">
        <v>1986</v>
      </c>
      <c r="E52" s="1750"/>
    </row>
    <row r="53" spans="1:5">
      <c r="A53" s="3230" t="s">
        <v>1987</v>
      </c>
      <c r="B53" s="1749" t="s">
        <v>1993</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28日，在规划利用条件下、设定土地开发程度为红线外“七通”、宗地内场地，设定用途为住宅，剩余土地使用年限为的出让国有建设用地使用权价格。</v>
      </c>
      <c r="D53" s="1750"/>
      <c r="E53" s="1750"/>
    </row>
    <row r="54" spans="1:5">
      <c r="A54" s="3230"/>
      <c r="B54" s="1749" t="s">
        <v>1994</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30"/>
      <c r="B55" s="1749" t="s">
        <v>1988</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30"/>
      <c r="B56" s="1749" t="s">
        <v>1989</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30"/>
      <c r="B57" s="1749" t="s">
        <v>1990</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ht="14.4">
      <c r="A58" s="1752" t="s">
        <v>2046</v>
      </c>
      <c r="B58" s="1749" t="s">
        <v>2047</v>
      </c>
      <c r="C58" s="11" t="s">
        <v>2048</v>
      </c>
      <c r="D58" s="1315" t="s">
        <v>2049</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地价</vt:lpstr>
      <vt:lpstr>基准地价（汇总）</vt:lpstr>
      <vt:lpstr>土地案例</vt:lpstr>
      <vt:lpstr>收益还原法</vt:lpstr>
      <vt:lpstr>剩余法-待开发</vt:lpstr>
      <vt:lpstr>不动产收益法</vt:lpstr>
      <vt:lpstr>酒店收入计算</vt:lpstr>
      <vt:lpstr>成本逼近法</vt:lpstr>
      <vt:lpstr>不动产比较法-住宅</vt:lpstr>
      <vt:lpstr>不动产比较法-商业</vt:lpstr>
      <vt:lpstr>不动产比较法-办公</vt:lpstr>
      <vt:lpstr>Sheet5</vt:lpstr>
      <vt:lpstr>Sheet6</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2017-03-09T08:11:21Z</cp:lastPrinted>
  <dcterms:created xsi:type="dcterms:W3CDTF">2015-07-13T07:17:23Z</dcterms:created>
  <dcterms:modified xsi:type="dcterms:W3CDTF">2020-02-28T10:38:57Z</dcterms:modified>
</cp:coreProperties>
</file>