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D:\桌面\门麒肇庆询价\"/>
    </mc:Choice>
  </mc:AlternateContent>
  <xr:revisionPtr revIDLastSave="0" documentId="13_ncr:1_{0B08BD90-8B92-40C8-88EF-A964C0784792}" xr6:coauthVersionLast="45" xr6:coauthVersionMax="45" xr10:uidLastSave="{00000000-0000-0000-0000-000000000000}"/>
  <bookViews>
    <workbookView xWindow="-120" yWindow="-120" windowWidth="19440" windowHeight="15000" tabRatio="875" firstSheet="8"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土地信息" sheetId="68" r:id="rId31"/>
    <sheet name="土地案例"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66" l="1"/>
  <c r="B15" i="66"/>
  <c r="D73" i="39" l="1"/>
  <c r="E73" i="39" s="1"/>
  <c r="F73" i="39" s="1"/>
  <c r="G73" i="39" s="1"/>
  <c r="H73" i="39" s="1"/>
  <c r="I73" i="39" s="1"/>
  <c r="J73" i="39" s="1"/>
  <c r="K73" i="39" s="1"/>
  <c r="L73" i="39" s="1"/>
  <c r="M73" i="39" s="1"/>
  <c r="N73" i="39" s="1"/>
  <c r="I48" i="39"/>
  <c r="G48" i="39"/>
  <c r="E48" i="39"/>
  <c r="I40" i="39"/>
  <c r="G40" i="39"/>
  <c r="E40" i="39"/>
  <c r="C40" i="39"/>
  <c r="I13" i="39"/>
  <c r="G13" i="39"/>
  <c r="E13" i="39"/>
  <c r="I9" i="39"/>
  <c r="G9" i="39"/>
  <c r="E9" i="39"/>
  <c r="I7" i="39"/>
  <c r="G7" i="39"/>
  <c r="E7" i="39"/>
  <c r="B28" i="1"/>
  <c r="F19" i="6" l="1"/>
  <c r="I13" i="3"/>
  <c r="A3" i="3"/>
  <c r="S4" i="69"/>
  <c r="O26" i="69"/>
  <c r="O27" i="69"/>
  <c r="O28" i="69"/>
  <c r="O25" i="69"/>
  <c r="O16" i="69"/>
  <c r="O17" i="69"/>
  <c r="O18" i="69"/>
  <c r="O19" i="69"/>
  <c r="O20" i="69"/>
  <c r="O15" i="69"/>
  <c r="O5" i="69"/>
  <c r="O4" i="69"/>
  <c r="O6" i="69"/>
  <c r="O7" i="69"/>
  <c r="O8" i="69"/>
  <c r="O9" i="69"/>
  <c r="O10" i="69"/>
  <c r="O3" i="69"/>
  <c r="G26" i="69"/>
  <c r="G27" i="69"/>
  <c r="G28" i="69"/>
  <c r="G25" i="69"/>
  <c r="G16" i="69"/>
  <c r="G17" i="69"/>
  <c r="G18" i="69"/>
  <c r="G19" i="69"/>
  <c r="G20" i="69"/>
  <c r="G15" i="69"/>
  <c r="G4" i="69"/>
  <c r="G5" i="69"/>
  <c r="G6" i="69"/>
  <c r="G7" i="69"/>
  <c r="G8" i="69"/>
  <c r="G9" i="69"/>
  <c r="G10" i="69"/>
  <c r="G3" i="69"/>
  <c r="I8" i="68"/>
  <c r="H8" i="68"/>
  <c r="I7" i="68"/>
  <c r="I4" i="68"/>
  <c r="I5" i="68"/>
  <c r="I6" i="68"/>
  <c r="I3" i="68"/>
  <c r="G6" i="68"/>
  <c r="G7" i="68"/>
  <c r="G5" i="68"/>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J51" i="15" s="1"/>
  <c r="D16" i="59"/>
  <c r="AH14" i="59"/>
  <c r="AG14" i="59"/>
  <c r="AE14" i="59"/>
  <c r="AF14" i="59" s="1"/>
  <c r="AD14" i="59"/>
  <c r="AE15" i="59"/>
  <c r="AF15" i="59"/>
  <c r="AG15" i="59"/>
  <c r="AH15" i="59"/>
  <c r="AD15" i="59"/>
  <c r="Q15" i="59"/>
  <c r="P15" i="59"/>
  <c r="O15" i="59"/>
  <c r="N15" i="59"/>
  <c r="N16" i="59"/>
  <c r="Q16" i="59"/>
  <c r="P16" i="59"/>
  <c r="O16" i="59"/>
  <c r="K59" i="15"/>
  <c r="P62" i="15" s="1"/>
  <c r="Q74" i="44"/>
  <c r="Q61" i="44"/>
  <c r="Q60" i="44"/>
  <c r="Q53" i="44"/>
  <c r="J51" i="44"/>
  <c r="J52" i="44" s="1"/>
  <c r="M48" i="44"/>
  <c r="A16" i="55"/>
  <c r="A15" i="55"/>
  <c r="B66" i="63" s="1"/>
  <c r="A10" i="55"/>
  <c r="B61" i="63" s="1"/>
  <c r="A9" i="55"/>
  <c r="B60" i="63" s="1"/>
  <c r="A8" i="55"/>
  <c r="A6" i="54"/>
  <c r="A8" i="54"/>
  <c r="B53" i="63" s="1"/>
  <c r="A7" i="54"/>
  <c r="A27" i="51"/>
  <c r="B20" i="63" s="1"/>
  <c r="Q17" i="59"/>
  <c r="O17" i="59"/>
  <c r="N18" i="59"/>
  <c r="O18" i="59"/>
  <c r="P18" i="59"/>
  <c r="Q18" i="59"/>
  <c r="N17" i="59"/>
  <c r="P17" i="59"/>
  <c r="K75" i="9"/>
  <c r="K6" i="4"/>
  <c r="O76" i="9"/>
  <c r="L76" i="9"/>
  <c r="K76" i="9"/>
  <c r="B22" i="31"/>
  <c r="E16" i="66"/>
  <c r="F16" i="66"/>
  <c r="E17" i="66"/>
  <c r="F17" i="66"/>
  <c r="E18" i="66"/>
  <c r="F18" i="66"/>
  <c r="E19" i="66"/>
  <c r="F19" i="66"/>
  <c r="E20" i="66"/>
  <c r="F20" i="66"/>
  <c r="E21" i="66"/>
  <c r="F21" i="66"/>
  <c r="E22" i="66"/>
  <c r="F22" i="66"/>
  <c r="E23" i="66"/>
  <c r="F23" i="66"/>
  <c r="B3" i="66"/>
  <c r="B15" i="59"/>
  <c r="B14" i="59"/>
  <c r="B13" i="59" s="1"/>
  <c r="E15" i="59"/>
  <c r="E14" i="59" s="1"/>
  <c r="E13" i="59" s="1"/>
  <c r="E12" i="59" s="1"/>
  <c r="E11" i="59" s="1"/>
  <c r="E10" i="59" s="1"/>
  <c r="E9" i="59" s="1"/>
  <c r="E8" i="59" s="1"/>
  <c r="F15" i="59"/>
  <c r="V15" i="59" s="1"/>
  <c r="U15" i="59"/>
  <c r="S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15" i="59"/>
  <c r="C14" i="59"/>
  <c r="C3" i="65"/>
  <c r="C1" i="65"/>
  <c r="N1" i="65" s="1"/>
  <c r="T15" i="59"/>
  <c r="D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K39" i="9" s="1"/>
  <c r="C57" i="10"/>
  <c r="A28" i="51" s="1"/>
  <c r="N4" i="63" s="1"/>
  <c r="C56" i="10"/>
  <c r="A26" i="51" s="1"/>
  <c r="B19" i="63" s="1"/>
  <c r="C55" i="10"/>
  <c r="C54" i="10"/>
  <c r="B49" i="63"/>
  <c r="B44" i="63"/>
  <c r="B40" i="63"/>
  <c r="B30" i="63"/>
  <c r="B27" i="63"/>
  <c r="B25" i="63"/>
  <c r="A11" i="51"/>
  <c r="A26" i="64"/>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s="1"/>
  <c r="B40" i="50"/>
  <c r="B3" i="63" s="1"/>
  <c r="B21" i="63"/>
  <c r="B67" i="63"/>
  <c r="I19" i="46"/>
  <c r="Q19" i="59"/>
  <c r="P19" i="59"/>
  <c r="E19" i="59" s="1"/>
  <c r="O19" i="59"/>
  <c r="N19" i="59"/>
  <c r="B19" i="59" s="1"/>
  <c r="D80" i="59"/>
  <c r="F79" i="59"/>
  <c r="E79" i="59"/>
  <c r="E78" i="59" s="1"/>
  <c r="E77" i="59" s="1"/>
  <c r="C79" i="59"/>
  <c r="D79" i="59"/>
  <c r="B79" i="59"/>
  <c r="F78" i="59"/>
  <c r="F77" i="59" s="1"/>
  <c r="B78" i="59"/>
  <c r="B77" i="59" s="1"/>
  <c r="D76" i="59"/>
  <c r="F75" i="59"/>
  <c r="E75" i="59"/>
  <c r="E74" i="59" s="1"/>
  <c r="E73" i="59"/>
  <c r="C75" i="59"/>
  <c r="D75" i="59"/>
  <c r="B75" i="59"/>
  <c r="F74" i="59"/>
  <c r="F73" i="59" s="1"/>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C67" i="59"/>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E59" i="59"/>
  <c r="C59" i="59"/>
  <c r="B59" i="59"/>
  <c r="D56" i="59"/>
  <c r="Q55" i="59"/>
  <c r="P55" i="59"/>
  <c r="O55" i="59"/>
  <c r="N55" i="59"/>
  <c r="Q54" i="59"/>
  <c r="P54" i="59"/>
  <c r="O54" i="59"/>
  <c r="N54" i="59"/>
  <c r="Q53" i="59"/>
  <c r="P53" i="59"/>
  <c r="O53" i="59"/>
  <c r="N53" i="59"/>
  <c r="Q52" i="59"/>
  <c r="F53" i="59" s="1"/>
  <c r="F54" i="59" s="1"/>
  <c r="P52" i="59"/>
  <c r="E53" i="59" s="1"/>
  <c r="E54" i="59" s="1"/>
  <c r="E55" i="59" s="1"/>
  <c r="U55" i="59" s="1"/>
  <c r="O52" i="59"/>
  <c r="C53" i="59"/>
  <c r="C54" i="59" s="1"/>
  <c r="D54" i="59" s="1"/>
  <c r="N52" i="59"/>
  <c r="B53" i="59"/>
  <c r="B54" i="59" s="1"/>
  <c r="B55" i="59" s="1"/>
  <c r="S55" i="59" s="1"/>
  <c r="D52" i="59"/>
  <c r="Q51" i="59"/>
  <c r="P51" i="59"/>
  <c r="O51" i="59"/>
  <c r="N51" i="59"/>
  <c r="Q50" i="59"/>
  <c r="P50" i="59"/>
  <c r="O50" i="59"/>
  <c r="N50" i="59"/>
  <c r="Q49" i="59"/>
  <c r="P49" i="59"/>
  <c r="O49" i="59"/>
  <c r="N49" i="59"/>
  <c r="Q48" i="59"/>
  <c r="F49" i="59"/>
  <c r="P48" i="59"/>
  <c r="E49" i="59"/>
  <c r="E50" i="59" s="1"/>
  <c r="E51" i="59" s="1"/>
  <c r="U51" i="59" s="1"/>
  <c r="O48" i="59"/>
  <c r="C49" i="59" s="1"/>
  <c r="C50" i="59" s="1"/>
  <c r="C51" i="59" s="1"/>
  <c r="D51" i="59" s="1"/>
  <c r="N48" i="59"/>
  <c r="B49" i="59" s="1"/>
  <c r="B50" i="59"/>
  <c r="B51" i="59" s="1"/>
  <c r="S51" i="59" s="1"/>
  <c r="D48" i="59"/>
  <c r="Q47" i="59"/>
  <c r="P47" i="59"/>
  <c r="O47" i="59"/>
  <c r="N47" i="59"/>
  <c r="Q46" i="59"/>
  <c r="P46" i="59"/>
  <c r="O46" i="59"/>
  <c r="N46" i="59"/>
  <c r="Q45" i="59"/>
  <c r="P45" i="59"/>
  <c r="O45" i="59"/>
  <c r="N45" i="59"/>
  <c r="Q44" i="59"/>
  <c r="F45" i="59" s="1"/>
  <c r="F46" i="59" s="1"/>
  <c r="P44" i="59"/>
  <c r="E45" i="59" s="1"/>
  <c r="E46" i="59" s="1"/>
  <c r="E47" i="59" s="1"/>
  <c r="U47" i="59" s="1"/>
  <c r="O44" i="59"/>
  <c r="C45" i="59"/>
  <c r="C46" i="59" s="1"/>
  <c r="D46"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C42" i="59" s="1"/>
  <c r="D42" i="59" s="1"/>
  <c r="N40" i="59"/>
  <c r="B41" i="59" s="1"/>
  <c r="B42" i="59" s="1"/>
  <c r="D40" i="59"/>
  <c r="T39" i="59"/>
  <c r="Q39" i="59"/>
  <c r="P39" i="59"/>
  <c r="O39" i="59"/>
  <c r="N39" i="59"/>
  <c r="D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P32" i="59"/>
  <c r="E33" i="59" s="1"/>
  <c r="E34" i="59"/>
  <c r="E35" i="59" s="1"/>
  <c r="U35" i="59" s="1"/>
  <c r="O32" i="59"/>
  <c r="C33" i="59"/>
  <c r="D33" i="59" s="1"/>
  <c r="N32" i="59"/>
  <c r="B33" i="59"/>
  <c r="B34" i="59" s="1"/>
  <c r="B35" i="59"/>
  <c r="S35" i="59" s="1"/>
  <c r="D32" i="59"/>
  <c r="Q31" i="59"/>
  <c r="P31" i="59"/>
  <c r="O31" i="59"/>
  <c r="N31" i="59"/>
  <c r="Q30" i="59"/>
  <c r="AB30" i="59"/>
  <c r="P30" i="59"/>
  <c r="O30" i="59"/>
  <c r="Y30" i="59" s="1"/>
  <c r="Z30" i="59"/>
  <c r="N30" i="59"/>
  <c r="X30" i="59"/>
  <c r="Q29" i="59"/>
  <c r="AB29" i="59" s="1"/>
  <c r="P29" i="59"/>
  <c r="AA29" i="59" s="1"/>
  <c r="O29" i="59"/>
  <c r="N29" i="59"/>
  <c r="X29" i="59" s="1"/>
  <c r="Q28" i="59"/>
  <c r="AB28" i="59" s="1"/>
  <c r="F29" i="59"/>
  <c r="P28" i="59"/>
  <c r="E29" i="59"/>
  <c r="E30" i="59" s="1"/>
  <c r="E31" i="59" s="1"/>
  <c r="U31" i="59" s="1"/>
  <c r="O28" i="59"/>
  <c r="N28" i="59"/>
  <c r="D28" i="59"/>
  <c r="Q27" i="59"/>
  <c r="AB27" i="59" s="1"/>
  <c r="P27" i="59"/>
  <c r="AA27" i="59" s="1"/>
  <c r="O27" i="59"/>
  <c r="N27" i="59"/>
  <c r="Q26" i="59"/>
  <c r="AB26" i="59" s="1"/>
  <c r="P26" i="59"/>
  <c r="O26" i="59"/>
  <c r="N26" i="59"/>
  <c r="X26" i="59" s="1"/>
  <c r="Q25" i="59"/>
  <c r="AB25" i="59" s="1"/>
  <c r="P25" i="59"/>
  <c r="AA25" i="59" s="1"/>
  <c r="O25" i="59"/>
  <c r="N25" i="59"/>
  <c r="Q24" i="59"/>
  <c r="P24" i="59"/>
  <c r="O24" i="59"/>
  <c r="C25" i="59"/>
  <c r="C26" i="59" s="1"/>
  <c r="D26" i="59" s="1"/>
  <c r="N24" i="59"/>
  <c r="B25" i="59"/>
  <c r="B26" i="59" s="1"/>
  <c r="B27" i="59" s="1"/>
  <c r="S27" i="59" s="1"/>
  <c r="D24" i="59"/>
  <c r="Q23" i="59"/>
  <c r="P23" i="59"/>
  <c r="AA23" i="59" s="1"/>
  <c r="O23" i="59"/>
  <c r="N23" i="59"/>
  <c r="X23" i="59" s="1"/>
  <c r="Q22" i="59"/>
  <c r="AB22" i="59" s="1"/>
  <c r="P22" i="59"/>
  <c r="AA22" i="59" s="1"/>
  <c r="O22" i="59"/>
  <c r="N22" i="59"/>
  <c r="X22" i="59" s="1"/>
  <c r="Q21" i="59"/>
  <c r="P21" i="59"/>
  <c r="O21" i="59"/>
  <c r="N21" i="59"/>
  <c r="X21" i="59" s="1"/>
  <c r="Q20" i="59"/>
  <c r="AB20" i="59" s="1"/>
  <c r="F21" i="59"/>
  <c r="P20" i="59"/>
  <c r="O20" i="59"/>
  <c r="N20" i="59"/>
  <c r="D20" i="59"/>
  <c r="X18" i="59"/>
  <c r="AA17" i="59"/>
  <c r="AB3" i="59"/>
  <c r="AB17" i="59"/>
  <c r="E21" i="59"/>
  <c r="B43" i="59"/>
  <c r="S43" i="59" s="1"/>
  <c r="E42" i="59"/>
  <c r="E43" i="59" s="1"/>
  <c r="U43" i="59" s="1"/>
  <c r="AA30" i="59"/>
  <c r="F22" i="59"/>
  <c r="F23" i="59" s="1"/>
  <c r="V23" i="59" s="1"/>
  <c r="F30" i="59"/>
  <c r="F31" i="59" s="1"/>
  <c r="V31" i="59"/>
  <c r="F35" i="59"/>
  <c r="V35" i="59" s="1"/>
  <c r="F38" i="59"/>
  <c r="F39" i="59" s="1"/>
  <c r="V39" i="59" s="1"/>
  <c r="F47" i="59"/>
  <c r="V47" i="59" s="1"/>
  <c r="F50" i="59"/>
  <c r="F51" i="59" s="1"/>
  <c r="V51" i="59"/>
  <c r="F55" i="59"/>
  <c r="V55" i="59" s="1"/>
  <c r="C34" i="59"/>
  <c r="D34" i="59" s="1"/>
  <c r="C38" i="59"/>
  <c r="D38" i="59" s="1"/>
  <c r="D37" i="59"/>
  <c r="D41" i="59"/>
  <c r="D45" i="59"/>
  <c r="D49" i="59"/>
  <c r="D53" i="59"/>
  <c r="D25" i="59"/>
  <c r="T59" i="59"/>
  <c r="O59" i="59"/>
  <c r="D59" i="59"/>
  <c r="C58" i="59"/>
  <c r="U59" i="59"/>
  <c r="C62" i="59"/>
  <c r="C61" i="59" s="1"/>
  <c r="E62" i="59"/>
  <c r="E61" i="59"/>
  <c r="D63" i="59"/>
  <c r="C66" i="59"/>
  <c r="D66" i="59" s="1"/>
  <c r="C70" i="59"/>
  <c r="D70" i="59" s="1"/>
  <c r="E70" i="59"/>
  <c r="E69" i="59"/>
  <c r="D71" i="59"/>
  <c r="C74" i="59"/>
  <c r="C73" i="59" s="1"/>
  <c r="C78" i="59"/>
  <c r="U16" i="4"/>
  <c r="S16" i="4"/>
  <c r="Q16" i="4"/>
  <c r="O16" i="4"/>
  <c r="M16" i="4"/>
  <c r="L16" i="4" s="1"/>
  <c r="K16" i="4"/>
  <c r="D78" i="59"/>
  <c r="C77" i="59"/>
  <c r="D77" i="59"/>
  <c r="C69" i="59"/>
  <c r="D69" i="59" s="1"/>
  <c r="D62" i="59"/>
  <c r="D61" i="59"/>
  <c r="O58" i="59"/>
  <c r="D74" i="59"/>
  <c r="D73" i="59"/>
  <c r="C65" i="59"/>
  <c r="D65" i="59" s="1"/>
  <c r="C27" i="59"/>
  <c r="C55" i="59"/>
  <c r="D55" i="59" s="1"/>
  <c r="D50" i="59"/>
  <c r="C47" i="59"/>
  <c r="D47" i="59" s="1"/>
  <c r="C43" i="59"/>
  <c r="D43" i="59" s="1"/>
  <c r="C35" i="59"/>
  <c r="D35" i="59" s="1"/>
  <c r="N16" i="4"/>
  <c r="T51" i="59"/>
  <c r="T43" i="59"/>
  <c r="T55" i="59"/>
  <c r="T27" i="59"/>
  <c r="D2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G7" i="1" s="1"/>
  <c r="D8" i="1"/>
  <c r="D9" i="1"/>
  <c r="G9" i="1" s="1"/>
  <c r="F10" i="1"/>
  <c r="AP10" i="1" s="1"/>
  <c r="D10" i="1"/>
  <c r="G10" i="1" s="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M43"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48"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G5" i="3" s="1"/>
  <c r="BH13" i="3"/>
  <c r="BH5" i="3" s="1"/>
  <c r="BI13" i="3"/>
  <c r="BI5" i="3" s="1"/>
  <c r="BJ13" i="3"/>
  <c r="BJ5" i="3" s="1"/>
  <c r="BK13" i="3"/>
  <c r="BM13" i="3"/>
  <c r="BM5" i="3" s="1"/>
  <c r="BN13" i="3"/>
  <c r="BO13" i="3"/>
  <c r="BO5" i="3" s="1"/>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S41" i="21"/>
  <c r="AA41" i="21"/>
  <c r="W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33" i="33"/>
  <c r="W33" i="33"/>
  <c r="U38" i="33"/>
  <c r="W8" i="21"/>
  <c r="H39" i="37"/>
  <c r="AB39" i="37"/>
  <c r="AB27" i="35"/>
  <c r="S10" i="40"/>
  <c r="W10" i="40"/>
  <c r="S11" i="40"/>
  <c r="U11" i="40"/>
  <c r="S36" i="40"/>
  <c r="U36" i="40"/>
  <c r="S36" i="39"/>
  <c r="F11" i="21"/>
  <c r="S11" i="21" s="1"/>
  <c r="AC40" i="21"/>
  <c r="AA38" i="21"/>
  <c r="U36" i="39"/>
  <c r="S42" i="39"/>
  <c r="H32" i="33"/>
  <c r="AB32" i="33" s="1"/>
  <c r="H11" i="21"/>
  <c r="U11" i="21" s="1"/>
  <c r="J11" i="21"/>
  <c r="W11" i="21" s="1"/>
  <c r="F100" i="40"/>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S34" i="37"/>
  <c r="AA34" i="37"/>
  <c r="AC43" i="34"/>
  <c r="AB40"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c r="J37" i="21"/>
  <c r="W37"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22" i="3"/>
  <c r="H13" i="39"/>
  <c r="AB13" i="39" s="1"/>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H43" i="39"/>
  <c r="U43" i="39" s="1"/>
  <c r="J43" i="39"/>
  <c r="W43" i="39" s="1"/>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S47" i="39"/>
  <c r="U37" i="34"/>
  <c r="AB37" i="34"/>
  <c r="AC41" i="40"/>
  <c r="W41" i="40"/>
  <c r="U41" i="40"/>
  <c r="J23" i="40"/>
  <c r="AC23" i="40"/>
  <c r="G92" i="40"/>
  <c r="F23" i="40"/>
  <c r="S23" i="40" s="1"/>
  <c r="AC15" i="40"/>
  <c r="W15" i="40"/>
  <c r="W27"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B7" i="1"/>
  <c r="E7" i="1" s="1"/>
  <c r="K7" i="1"/>
  <c r="M7" i="1" s="1"/>
  <c r="O7" i="1" s="1"/>
  <c r="C20" i="43"/>
  <c r="F6" i="1"/>
  <c r="AP6" i="1" s="1"/>
  <c r="G11" i="1"/>
  <c r="M22"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38" i="39"/>
  <c r="S14" i="39"/>
  <c r="AB15" i="39"/>
  <c r="U11" i="39"/>
  <c r="U41" i="39"/>
  <c r="AB38" i="39"/>
  <c r="U31" i="39"/>
  <c r="AB31" i="39"/>
  <c r="S38" i="39"/>
  <c r="S22" i="31"/>
  <c r="D18" i="9"/>
  <c r="M44" i="9" s="1"/>
  <c r="M20" i="15"/>
  <c r="D96" i="9"/>
  <c r="A18" i="64"/>
  <c r="B74" i="63" s="1"/>
  <c r="C53" i="10"/>
  <c r="A25" i="64" s="1"/>
  <c r="A18" i="51"/>
  <c r="B14" i="63" s="1"/>
  <c r="BA16" i="3"/>
  <c r="BA17" i="3"/>
  <c r="AZ17" i="3"/>
  <c r="F3" i="35"/>
  <c r="K1" i="43"/>
  <c r="K1" i="12"/>
  <c r="G1" i="44"/>
  <c r="I4" i="6"/>
  <c r="G3" i="46"/>
  <c r="H22" i="46" s="1"/>
  <c r="AZ15" i="3"/>
  <c r="BK5" i="3"/>
  <c r="BP5" i="3"/>
  <c r="BN5" i="3"/>
  <c r="BL18" i="3"/>
  <c r="AZ18" i="3"/>
  <c r="BC5" i="3"/>
  <c r="BD5" i="3"/>
  <c r="BR5" i="3"/>
  <c r="BS5" i="3"/>
  <c r="BQ5" i="3"/>
  <c r="BL16" i="3"/>
  <c r="G28" i="12"/>
  <c r="G26" i="12"/>
  <c r="D24" i="44"/>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s="1"/>
  <c r="K5" i="54"/>
  <c r="B38" i="63" s="1"/>
  <c r="T41" i="4"/>
  <c r="A17" i="64" s="1"/>
  <c r="C46" i="36"/>
  <c r="D46" i="36" s="1"/>
  <c r="C48" i="35"/>
  <c r="D48" i="35"/>
  <c r="E48" i="35" s="1"/>
  <c r="F48" i="35" s="1"/>
  <c r="G48" i="35" s="1"/>
  <c r="H48" i="35" s="1"/>
  <c r="O19" i="46"/>
  <c r="K17" i="4"/>
  <c r="A22" i="51" s="1"/>
  <c r="B16" i="63" s="1"/>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P6"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42" i="39"/>
  <c r="W36" i="39"/>
  <c r="AC37" i="39"/>
  <c r="U14" i="39"/>
  <c r="W16" i="39"/>
  <c r="S15" i="39"/>
  <c r="W25" i="39"/>
  <c r="W45" i="39"/>
  <c r="AA44" i="39"/>
  <c r="AA46" i="39"/>
  <c r="W34" i="39"/>
  <c r="U42" i="39"/>
  <c r="W40" i="39"/>
  <c r="S32" i="40"/>
  <c r="C27" i="39"/>
  <c r="C17" i="40"/>
  <c r="C19" i="40"/>
  <c r="C17" i="39"/>
  <c r="C21" i="39"/>
  <c r="C23" i="40"/>
  <c r="B66"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AT6" i="3"/>
  <c r="G29" i="6"/>
  <c r="AZ16" i="3"/>
  <c r="B9" i="63"/>
  <c r="J18" i="36"/>
  <c r="AC18" i="36" s="1"/>
  <c r="AE8" i="1"/>
  <c r="AE7" i="1"/>
  <c r="W18" i="36"/>
  <c r="AG6" i="1"/>
  <c r="L20" i="6"/>
  <c r="L19" i="6"/>
  <c r="S7" i="1"/>
  <c r="S8" i="1"/>
  <c r="S9" i="1"/>
  <c r="R9" i="1"/>
  <c r="R7" i="1"/>
  <c r="R8" i="1"/>
  <c r="C45" i="9"/>
  <c r="H14" i="66" s="1"/>
  <c r="B7" i="66" s="1"/>
  <c r="N76" i="9"/>
  <c r="A25" i="51"/>
  <c r="B18" i="63" s="1"/>
  <c r="D70" i="39"/>
  <c r="D72" i="39" s="1"/>
  <c r="C67" i="40"/>
  <c r="D65" i="40"/>
  <c r="E65" i="40" s="1"/>
  <c r="H58" i="46"/>
  <c r="J17" i="46"/>
  <c r="C17" i="46"/>
  <c r="F34" i="46"/>
  <c r="F38" i="46"/>
  <c r="F37" i="46"/>
  <c r="H113" i="46"/>
  <c r="H49" i="46"/>
  <c r="H53" i="46"/>
  <c r="D14" i="59"/>
  <c r="C13" i="59"/>
  <c r="U11" i="59"/>
  <c r="F14" i="59"/>
  <c r="F13" i="59"/>
  <c r="F12" i="59" s="1"/>
  <c r="F11" i="59"/>
  <c r="F10" i="59" s="1"/>
  <c r="F9" i="59" s="1"/>
  <c r="F8" i="59" s="1"/>
  <c r="F7" i="59" s="1"/>
  <c r="Y13" i="59"/>
  <c r="Z13" i="59"/>
  <c r="AA13" i="59"/>
  <c r="AB13" i="59"/>
  <c r="Y12" i="59"/>
  <c r="Z12" i="59"/>
  <c r="Y11" i="59"/>
  <c r="Z11" i="59" s="1"/>
  <c r="Y10" i="59"/>
  <c r="Z10" i="59" s="1"/>
  <c r="AB12" i="59"/>
  <c r="AB11" i="59"/>
  <c r="AB10" i="59"/>
  <c r="AA15" i="59"/>
  <c r="X13" i="59"/>
  <c r="X11" i="59"/>
  <c r="X10" i="59"/>
  <c r="AA11" i="59"/>
  <c r="AA10" i="59"/>
  <c r="C25" i="12"/>
  <c r="C15" i="43"/>
  <c r="C15" i="12"/>
  <c r="H1" i="65"/>
  <c r="H51" i="46"/>
  <c r="X7" i="46"/>
  <c r="E17" i="46"/>
  <c r="N17" i="46"/>
  <c r="O17" i="46"/>
  <c r="M17" i="46"/>
  <c r="L17" i="46"/>
  <c r="H101" i="46"/>
  <c r="H102" i="46" s="1"/>
  <c r="F101" i="46"/>
  <c r="F106" i="46" s="1"/>
  <c r="P11" i="1"/>
  <c r="AP7" i="1"/>
  <c r="D59" i="34"/>
  <c r="E59" i="34" s="1"/>
  <c r="F59" i="34" s="1"/>
  <c r="G59" i="34" s="1"/>
  <c r="H70" i="46"/>
  <c r="H73" i="46"/>
  <c r="H50" i="46"/>
  <c r="H48" i="46"/>
  <c r="F35" i="46"/>
  <c r="I17" i="46"/>
  <c r="G17" i="46" s="1"/>
  <c r="C16" i="46" s="1"/>
  <c r="H63" i="46"/>
  <c r="N101" i="46"/>
  <c r="N105" i="46" s="1"/>
  <c r="H64" i="46"/>
  <c r="H66" i="46"/>
  <c r="D100" i="46"/>
  <c r="H62" i="46"/>
  <c r="AF12" i="46"/>
  <c r="K100" i="46"/>
  <c r="AB12" i="46"/>
  <c r="AJ12" i="46"/>
  <c r="F103" i="46"/>
  <c r="N104" i="45"/>
  <c r="Z7" i="46"/>
  <c r="AA11" i="46"/>
  <c r="AA13" i="46" s="1"/>
  <c r="H60" i="46"/>
  <c r="H59" i="46"/>
  <c r="H74" i="46"/>
  <c r="H65" i="46"/>
  <c r="AB11" i="46"/>
  <c r="AB13" i="46" s="1"/>
  <c r="H75" i="46"/>
  <c r="E10" i="46"/>
  <c r="E9" i="46"/>
  <c r="E11" i="46"/>
  <c r="E8" i="46"/>
  <c r="H72" i="46"/>
  <c r="H69" i="46"/>
  <c r="H77" i="46"/>
  <c r="H76" i="46"/>
  <c r="H55" i="46"/>
  <c r="H54" i="46"/>
  <c r="H52" i="46"/>
  <c r="H47" i="46"/>
  <c r="AD12" i="46"/>
  <c r="AH12" i="46"/>
  <c r="B12" i="59"/>
  <c r="B11" i="59" s="1"/>
  <c r="B10" i="59" s="1"/>
  <c r="B9" i="59" s="1"/>
  <c r="B8" i="59" s="1"/>
  <c r="D67" i="40"/>
  <c r="E70" i="39"/>
  <c r="E72" i="39" s="1"/>
  <c r="V11" i="59"/>
  <c r="H107" i="46"/>
  <c r="E46" i="36"/>
  <c r="N103" i="46"/>
  <c r="C7" i="46"/>
  <c r="F70" i="39"/>
  <c r="F72" i="39" s="1"/>
  <c r="F65" i="40"/>
  <c r="E67" i="40"/>
  <c r="G20" i="46"/>
  <c r="E41" i="46"/>
  <c r="C41" i="46" s="1"/>
  <c r="F46" i="36"/>
  <c r="G46" i="36" s="1"/>
  <c r="H46" i="36" s="1"/>
  <c r="I46" i="36" s="1"/>
  <c r="J46" i="36" s="1"/>
  <c r="K46" i="36" s="1"/>
  <c r="L46" i="36" s="1"/>
  <c r="M46" i="36" s="1"/>
  <c r="N46" i="36" s="1"/>
  <c r="O46" i="36" s="1"/>
  <c r="F67" i="40"/>
  <c r="G65" i="40"/>
  <c r="G67" i="40" s="1"/>
  <c r="C20" i="46"/>
  <c r="H65" i="40"/>
  <c r="I65" i="40" s="1"/>
  <c r="F14" i="67"/>
  <c r="F9" i="67"/>
  <c r="E12" i="67"/>
  <c r="M27" i="15"/>
  <c r="B8" i="67"/>
  <c r="F26" i="15"/>
  <c r="E10" i="67"/>
  <c r="F9" i="15"/>
  <c r="E11" i="67"/>
  <c r="M25" i="44"/>
  <c r="J4" i="65"/>
  <c r="F8" i="67"/>
  <c r="N5" i="65"/>
  <c r="B12" i="67"/>
  <c r="F11" i="67"/>
  <c r="F11" i="44"/>
  <c r="J36" i="15"/>
  <c r="M23" i="44"/>
  <c r="I4" i="65"/>
  <c r="J5" i="65"/>
  <c r="E13" i="67"/>
  <c r="F18" i="44"/>
  <c r="F46" i="44"/>
  <c r="M30" i="44"/>
  <c r="M21" i="15"/>
  <c r="E8" i="67"/>
  <c r="I6" i="65"/>
  <c r="B13" i="67"/>
  <c r="F13" i="15"/>
  <c r="E14" i="67"/>
  <c r="F12" i="67"/>
  <c r="E9" i="67"/>
  <c r="M29" i="15"/>
  <c r="F40" i="15"/>
  <c r="M24" i="44"/>
  <c r="F10" i="44"/>
  <c r="N6" i="65"/>
  <c r="F10" i="67"/>
  <c r="F43" i="44"/>
  <c r="I3" i="65"/>
  <c r="L48" i="44"/>
  <c r="J17" i="44"/>
  <c r="M28" i="44"/>
  <c r="M26" i="44"/>
  <c r="J7" i="65"/>
  <c r="F40" i="44"/>
  <c r="F16" i="15"/>
  <c r="L48" i="15"/>
  <c r="M31" i="44"/>
  <c r="F38" i="44"/>
  <c r="F43" i="15"/>
  <c r="N4" i="65"/>
  <c r="B9" i="67"/>
  <c r="M26" i="15"/>
  <c r="J3" i="65"/>
  <c r="M8" i="44"/>
  <c r="F42" i="15"/>
  <c r="N3" i="65"/>
  <c r="N7" i="65"/>
  <c r="B11" i="67"/>
  <c r="I7" i="65"/>
  <c r="M29" i="44"/>
  <c r="M24" i="15"/>
  <c r="F8" i="15"/>
  <c r="F35" i="15"/>
  <c r="M10" i="44"/>
  <c r="B14" i="67"/>
  <c r="J15" i="15"/>
  <c r="J6" i="65"/>
  <c r="M9" i="15"/>
  <c r="F13" i="67"/>
  <c r="C19" i="44"/>
  <c r="F37" i="44"/>
  <c r="F38" i="15"/>
  <c r="F37" i="15"/>
  <c r="B10" i="67"/>
  <c r="M8" i="15"/>
  <c r="F15" i="44"/>
  <c r="F7" i="15"/>
  <c r="M6" i="15"/>
  <c r="I5" i="65"/>
  <c r="F36" i="15"/>
  <c r="F28" i="44"/>
  <c r="M28" i="15"/>
  <c r="F8" i="44"/>
  <c r="M23" i="15"/>
  <c r="F45" i="44"/>
  <c r="L49" i="44"/>
  <c r="M22" i="15"/>
  <c r="L47" i="15"/>
  <c r="F6" i="15"/>
  <c r="F9" i="44"/>
  <c r="M11" i="44"/>
  <c r="F39" i="44"/>
  <c r="F43" i="39" l="1"/>
  <c r="W11" i="39"/>
  <c r="U13" i="39"/>
  <c r="S41" i="39"/>
  <c r="W41" i="39"/>
  <c r="H29" i="39"/>
  <c r="U29" i="39" s="1"/>
  <c r="F29" i="39"/>
  <c r="AA29" i="39" s="1"/>
  <c r="W29" i="39"/>
  <c r="S29" i="39"/>
  <c r="S27" i="39"/>
  <c r="U23" i="39"/>
  <c r="AB19" i="39"/>
  <c r="S25" i="39"/>
  <c r="AC19" i="39"/>
  <c r="J13" i="39"/>
  <c r="AC13" i="39" s="1"/>
  <c r="S31" i="39"/>
  <c r="AC31" i="39"/>
  <c r="AB29" i="39"/>
  <c r="U27" i="39"/>
  <c r="AB25" i="39"/>
  <c r="S23" i="39"/>
  <c r="W23" i="39"/>
  <c r="AC21" i="39"/>
  <c r="AC17" i="39"/>
  <c r="AB43" i="39"/>
  <c r="C19" i="39"/>
  <c r="B53" i="46"/>
  <c r="B55" i="46"/>
  <c r="B62" i="46"/>
  <c r="B51" i="46"/>
  <c r="B64" i="46"/>
  <c r="B59" i="46"/>
  <c r="C29" i="39"/>
  <c r="W13" i="39"/>
  <c r="F13" i="39"/>
  <c r="AA13" i="39" s="1"/>
  <c r="U40" i="39"/>
  <c r="S40" i="39"/>
  <c r="S13" i="39"/>
  <c r="W14" i="39"/>
  <c r="W10" i="39"/>
  <c r="D24" i="15"/>
  <c r="G21" i="43"/>
  <c r="G27" i="12"/>
  <c r="G22" i="43"/>
  <c r="P75" i="15"/>
  <c r="B41" i="1"/>
  <c r="E15" i="6"/>
  <c r="E8" i="6"/>
  <c r="H103" i="46"/>
  <c r="BA13" i="3"/>
  <c r="E14" i="6"/>
  <c r="E13" i="6"/>
  <c r="E10" i="6"/>
  <c r="E62" i="40"/>
  <c r="E67" i="39"/>
  <c r="F29" i="6"/>
  <c r="E29" i="6" s="1"/>
  <c r="K15" i="1" s="1"/>
  <c r="F30" i="6"/>
  <c r="C23" i="46"/>
  <c r="N109" i="46"/>
  <c r="N104" i="46"/>
  <c r="H106" i="46"/>
  <c r="H109" i="46"/>
  <c r="AF11" i="46"/>
  <c r="AF13" i="46" s="1"/>
  <c r="E22" i="46"/>
  <c r="F22" i="46"/>
  <c r="J101" i="46"/>
  <c r="J105" i="46" s="1"/>
  <c r="F102" i="46"/>
  <c r="F109" i="46"/>
  <c r="AD11" i="46"/>
  <c r="AD13" i="46" s="1"/>
  <c r="I101" i="46"/>
  <c r="I103" i="46" s="1"/>
  <c r="E11" i="6"/>
  <c r="E12" i="6"/>
  <c r="P9" i="1"/>
  <c r="P7" i="1"/>
  <c r="D101" i="46"/>
  <c r="G22" i="46"/>
  <c r="Y11" i="46"/>
  <c r="Y13" i="46" s="1"/>
  <c r="L27" i="6"/>
  <c r="G28" i="6"/>
  <c r="N102" i="46"/>
  <c r="N106" i="46"/>
  <c r="N107" i="46"/>
  <c r="D109" i="46"/>
  <c r="H104" i="46"/>
  <c r="D103" i="46"/>
  <c r="H105" i="46"/>
  <c r="AE11" i="46"/>
  <c r="AE13" i="46" s="1"/>
  <c r="AI11" i="46"/>
  <c r="AI13" i="46" s="1"/>
  <c r="AH11" i="46"/>
  <c r="AH13" i="46" s="1"/>
  <c r="Z11" i="46"/>
  <c r="Z13" i="46" s="1"/>
  <c r="AG11" i="46"/>
  <c r="AG13" i="46" s="1"/>
  <c r="K101" i="46"/>
  <c r="E101" i="46"/>
  <c r="L101" i="46"/>
  <c r="B113" i="46"/>
  <c r="G101" i="46"/>
  <c r="C101" i="46"/>
  <c r="F105" i="46"/>
  <c r="F104" i="46"/>
  <c r="AJ11" i="46"/>
  <c r="AJ13" i="46" s="1"/>
  <c r="AC11" i="46"/>
  <c r="AC13" i="46" s="1"/>
  <c r="M101" i="46"/>
  <c r="M104" i="46" s="1"/>
  <c r="F107" i="46"/>
  <c r="J22" i="46"/>
  <c r="A11" i="55"/>
  <c r="B62" i="63" s="1"/>
  <c r="A2" i="55"/>
  <c r="B55" i="63" s="1"/>
  <c r="A9" i="64"/>
  <c r="O40" i="9"/>
  <c r="H67" i="40"/>
  <c r="G70" i="39"/>
  <c r="G6" i="1"/>
  <c r="G13" i="1"/>
  <c r="L52" i="37"/>
  <c r="M52" i="37" s="1"/>
  <c r="N52" i="37" s="1"/>
  <c r="O52" i="37" s="1"/>
  <c r="I48" i="35"/>
  <c r="J48" i="35" s="1"/>
  <c r="K48" i="35" s="1"/>
  <c r="L48" i="35" s="1"/>
  <c r="M48" i="35" s="1"/>
  <c r="N48" i="35" s="1"/>
  <c r="O48" i="35" s="1"/>
  <c r="J65" i="40"/>
  <c r="I67" i="40"/>
  <c r="H59" i="34"/>
  <c r="I59" i="34" s="1"/>
  <c r="J59" i="34" s="1"/>
  <c r="K59" i="34" s="1"/>
  <c r="L59" i="34" s="1"/>
  <c r="M59" i="34" s="1"/>
  <c r="N59" i="34" s="1"/>
  <c r="O59" i="34" s="1"/>
  <c r="D5" i="46"/>
  <c r="C5" i="46"/>
  <c r="M109" i="46"/>
  <c r="F6" i="59"/>
  <c r="F5" i="59" s="1"/>
  <c r="V7" i="59"/>
  <c r="D13" i="59"/>
  <c r="C12" i="59"/>
  <c r="F58" i="33"/>
  <c r="G58" i="33" s="1"/>
  <c r="H58" i="33" s="1"/>
  <c r="I58" i="33" s="1"/>
  <c r="J58" i="33" s="1"/>
  <c r="K58" i="33" s="1"/>
  <c r="L58" i="33" s="1"/>
  <c r="M58" i="33" s="1"/>
  <c r="N58" i="33" s="1"/>
  <c r="O58" i="33" s="1"/>
  <c r="F7" i="33"/>
  <c r="E58" i="21"/>
  <c r="D12" i="11"/>
  <c r="C12" i="11" s="1"/>
  <c r="D21" i="12"/>
  <c r="C21" i="12" s="1"/>
  <c r="J7" i="36"/>
  <c r="H7" i="36"/>
  <c r="F7" i="36"/>
  <c r="H7" i="34"/>
  <c r="E58" i="40"/>
  <c r="S11" i="59"/>
  <c r="H7" i="33"/>
  <c r="K31" i="9"/>
  <c r="K32" i="9" s="1"/>
  <c r="R7" i="54"/>
  <c r="B52" i="63" s="1"/>
  <c r="A3" i="55"/>
  <c r="B56" i="63" s="1"/>
  <c r="AZ484" i="3"/>
  <c r="AB9" i="21"/>
  <c r="U9" i="21"/>
  <c r="AA8" i="21"/>
  <c r="S8" i="21"/>
  <c r="W35" i="21"/>
  <c r="AC35" i="21"/>
  <c r="J9" i="33"/>
  <c r="H9" i="33"/>
  <c r="F9" i="33"/>
  <c r="AC39" i="34"/>
  <c r="W39" i="34"/>
  <c r="J12" i="33"/>
  <c r="H12" i="33"/>
  <c r="F12" i="33"/>
  <c r="J34" i="35"/>
  <c r="H34" i="35"/>
  <c r="F34" i="35"/>
  <c r="AC23" i="36"/>
  <c r="W23" i="36"/>
  <c r="AC39" i="37"/>
  <c r="W39" i="37"/>
  <c r="U41" i="21"/>
  <c r="AB41" i="21"/>
  <c r="AB34" i="37"/>
  <c r="U34" i="37"/>
  <c r="G536" i="3"/>
  <c r="AZ392" i="3"/>
  <c r="AZ397" i="3"/>
  <c r="AZ408" i="3"/>
  <c r="AZ413" i="3"/>
  <c r="AZ424" i="3"/>
  <c r="AZ437" i="3"/>
  <c r="AZ451" i="3"/>
  <c r="AZ457" i="3"/>
  <c r="AZ470" i="3"/>
  <c r="AZ473" i="3"/>
  <c r="AZ334" i="3"/>
  <c r="U12" i="37"/>
  <c r="U30" i="33"/>
  <c r="AA22" i="35"/>
  <c r="S22" i="35"/>
  <c r="AB36" i="21"/>
  <c r="H5" i="3"/>
  <c r="BL572" i="3"/>
  <c r="BL5" i="3" s="1"/>
  <c r="B70" i="46"/>
  <c r="C23" i="39"/>
  <c r="F9" i="21"/>
  <c r="J9" i="21"/>
  <c r="F28" i="33"/>
  <c r="J28" i="33"/>
  <c r="J9" i="35"/>
  <c r="AC24" i="35"/>
  <c r="U8" i="36"/>
  <c r="AB8" i="36"/>
  <c r="AB26" i="36"/>
  <c r="U26" i="36"/>
  <c r="H25" i="37"/>
  <c r="J25" i="37"/>
  <c r="F25" i="37"/>
  <c r="G553" i="3"/>
  <c r="G548" i="3"/>
  <c r="AZ447" i="3"/>
  <c r="AZ465" i="3"/>
  <c r="A30" i="51"/>
  <c r="B22" i="63" s="1"/>
  <c r="A30" i="64"/>
  <c r="AZ176" i="3"/>
  <c r="AZ204" i="3"/>
  <c r="AZ29" i="3"/>
  <c r="AZ206" i="3"/>
  <c r="AZ210" i="3"/>
  <c r="AZ222" i="3"/>
  <c r="AZ226" i="3"/>
  <c r="AZ238" i="3"/>
  <c r="AZ242" i="3"/>
  <c r="AZ254" i="3"/>
  <c r="AZ258" i="3"/>
  <c r="AZ269" i="3"/>
  <c r="AZ272" i="3"/>
  <c r="AZ285" i="3"/>
  <c r="AZ288" i="3"/>
  <c r="AZ296" i="3"/>
  <c r="AZ125" i="3"/>
  <c r="AZ128" i="3"/>
  <c r="AZ141" i="3"/>
  <c r="AZ144" i="3"/>
  <c r="AZ155" i="3"/>
  <c r="AZ168" i="3"/>
  <c r="AZ171" i="3"/>
  <c r="AZ22" i="3"/>
  <c r="AZ38" i="3"/>
  <c r="AZ41" i="3"/>
  <c r="AZ46" i="3"/>
  <c r="AZ57" i="3"/>
  <c r="AZ62" i="3"/>
  <c r="AZ65" i="3"/>
  <c r="AZ68" i="3"/>
  <c r="AZ75" i="3"/>
  <c r="AZ81" i="3"/>
  <c r="AZ85" i="3"/>
  <c r="AZ88" i="3"/>
  <c r="AZ95" i="3"/>
  <c r="AZ101" i="3"/>
  <c r="AZ104" i="3"/>
  <c r="AZ111" i="3"/>
  <c r="D1" i="57"/>
  <c r="E10" i="57" s="1"/>
  <c r="I21" i="57"/>
  <c r="K13" i="1"/>
  <c r="M13" i="1" s="1"/>
  <c r="K12" i="1"/>
  <c r="B54" i="46"/>
  <c r="C27" i="40"/>
  <c r="S27" i="40"/>
  <c r="S21" i="34"/>
  <c r="Y20" i="59"/>
  <c r="Z20" i="59" s="1"/>
  <c r="C21" i="59"/>
  <c r="AA21" i="59"/>
  <c r="AA16" i="59"/>
  <c r="AA18" i="59"/>
  <c r="AA24" i="59"/>
  <c r="E25" i="59"/>
  <c r="E26" i="59" s="1"/>
  <c r="E27" i="59" s="1"/>
  <c r="U27" i="59" s="1"/>
  <c r="Y28" i="59"/>
  <c r="Z28" i="59" s="1"/>
  <c r="C29" i="59"/>
  <c r="N59" i="59"/>
  <c r="B58" i="59"/>
  <c r="S59" i="59"/>
  <c r="V59" i="59"/>
  <c r="Q59" i="59"/>
  <c r="T67" i="59"/>
  <c r="D67" i="59"/>
  <c r="Y15" i="59"/>
  <c r="Z15" i="59" s="1"/>
  <c r="C19" i="59"/>
  <c r="Y16" i="59"/>
  <c r="Z16" i="59" s="1"/>
  <c r="Y17" i="59"/>
  <c r="Z17" i="59" s="1"/>
  <c r="Y18" i="59"/>
  <c r="Z18" i="59" s="1"/>
  <c r="Y19" i="59"/>
  <c r="Z19" i="59" s="1"/>
  <c r="AB15" i="59"/>
  <c r="F19" i="59"/>
  <c r="AB19" i="59"/>
  <c r="AB16" i="59"/>
  <c r="AB18" i="59"/>
  <c r="T47" i="59"/>
  <c r="T35" i="59"/>
  <c r="C57" i="59"/>
  <c r="D58" i="59"/>
  <c r="E22" i="59"/>
  <c r="E23" i="59" s="1"/>
  <c r="U23" i="59" s="1"/>
  <c r="AA19" i="59"/>
  <c r="AA3" i="59"/>
  <c r="X16" i="59"/>
  <c r="X20" i="59"/>
  <c r="B21" i="59"/>
  <c r="B22" i="59" s="1"/>
  <c r="B23" i="59" s="1"/>
  <c r="S23" i="59" s="1"/>
  <c r="X3" i="59"/>
  <c r="X17" i="59"/>
  <c r="X19" i="59"/>
  <c r="Y21" i="59"/>
  <c r="Z21" i="59" s="1"/>
  <c r="Y23" i="59"/>
  <c r="Z23" i="59" s="1"/>
  <c r="X24" i="59"/>
  <c r="AB24" i="59"/>
  <c r="F25" i="59"/>
  <c r="F26" i="59" s="1"/>
  <c r="F27" i="59" s="1"/>
  <c r="V27" i="59" s="1"/>
  <c r="Y25" i="59"/>
  <c r="Z25" i="59" s="1"/>
  <c r="Y26" i="59"/>
  <c r="Z26" i="59" s="1"/>
  <c r="Y27" i="59"/>
  <c r="Z27" i="59" s="1"/>
  <c r="X28" i="59"/>
  <c r="B29" i="59"/>
  <c r="B30" i="59" s="1"/>
  <c r="B31" i="59" s="1"/>
  <c r="S31" i="59" s="1"/>
  <c r="F58" i="59"/>
  <c r="E58" i="59"/>
  <c r="P59" i="59"/>
  <c r="U67" i="59"/>
  <c r="E66" i="59"/>
  <c r="E65" i="59" s="1"/>
  <c r="AA20" i="59"/>
  <c r="AB21" i="59"/>
  <c r="Y22" i="59"/>
  <c r="Z22" i="59" s="1"/>
  <c r="AB23" i="59"/>
  <c r="Y24" i="59"/>
  <c r="Z24" i="59" s="1"/>
  <c r="X25" i="59"/>
  <c r="AA26" i="59"/>
  <c r="X27" i="59"/>
  <c r="AA28" i="59"/>
  <c r="Y29" i="59"/>
  <c r="Z29" i="59" s="1"/>
  <c r="S19" i="59"/>
  <c r="B18" i="59"/>
  <c r="B17" i="59" s="1"/>
  <c r="U19" i="59"/>
  <c r="E18" i="59"/>
  <c r="E17" i="59" s="1"/>
  <c r="A28" i="64"/>
  <c r="X14" i="59"/>
  <c r="AA14" i="59"/>
  <c r="X9" i="59"/>
  <c r="AA9" i="59"/>
  <c r="X5" i="59"/>
  <c r="AA5" i="59"/>
  <c r="Y14" i="59"/>
  <c r="Z14" i="59" s="1"/>
  <c r="AB14" i="59"/>
  <c r="AA12" i="59"/>
  <c r="X12" i="59"/>
  <c r="Y9" i="59"/>
  <c r="Z9" i="59" s="1"/>
  <c r="AB9" i="59"/>
  <c r="X8" i="59"/>
  <c r="Y8" i="59"/>
  <c r="Z8" i="59" s="1"/>
  <c r="AA8" i="59"/>
  <c r="AB8" i="59"/>
  <c r="Y5" i="59"/>
  <c r="Z5" i="59" s="1"/>
  <c r="X15" i="59"/>
  <c r="AB6" i="59"/>
  <c r="AB5" i="59"/>
  <c r="AA6" i="59"/>
  <c r="X7" i="59"/>
  <c r="C18" i="11"/>
  <c r="K77" i="9"/>
  <c r="K79" i="9" s="1"/>
  <c r="K81" i="9" s="1"/>
  <c r="E12" i="52"/>
  <c r="B15" i="52"/>
  <c r="F31" i="15"/>
  <c r="F33" i="44"/>
  <c r="E7" i="59"/>
  <c r="B7" i="59"/>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6" i="15"/>
  <c r="E3" i="65"/>
  <c r="C17" i="15"/>
  <c r="C18" i="44"/>
  <c r="E2" i="65"/>
  <c r="AA43" i="39" l="1"/>
  <c r="S43" i="39"/>
  <c r="F27" i="43"/>
  <c r="C27" i="43" s="1"/>
  <c r="F71" i="9"/>
  <c r="F70" i="9"/>
  <c r="M20" i="44"/>
  <c r="F30" i="44"/>
  <c r="C30" i="44" s="1"/>
  <c r="F28" i="15"/>
  <c r="C28" i="15" s="1"/>
  <c r="F34" i="44"/>
  <c r="F66" i="9"/>
  <c r="P72" i="9" s="1"/>
  <c r="F72" i="9"/>
  <c r="F32" i="15"/>
  <c r="F59" i="15" s="1"/>
  <c r="F29" i="12"/>
  <c r="D86" i="9"/>
  <c r="F31" i="43"/>
  <c r="C31" i="43" s="1"/>
  <c r="M18" i="15"/>
  <c r="AZ13" i="3"/>
  <c r="BA5" i="3"/>
  <c r="E58" i="39"/>
  <c r="F27" i="6"/>
  <c r="E53" i="40"/>
  <c r="AP16" i="1"/>
  <c r="F22" i="11" s="1"/>
  <c r="I106" i="46"/>
  <c r="M102" i="46"/>
  <c r="M107" i="46"/>
  <c r="F31" i="6"/>
  <c r="E59" i="40"/>
  <c r="E64" i="39"/>
  <c r="I104" i="46"/>
  <c r="I105" i="46"/>
  <c r="I109" i="46"/>
  <c r="J106" i="46"/>
  <c r="J102" i="46"/>
  <c r="J107" i="46"/>
  <c r="J103" i="46"/>
  <c r="D22" i="46"/>
  <c r="C21" i="46" s="1"/>
  <c r="E60" i="40"/>
  <c r="E65" i="39"/>
  <c r="I102" i="46"/>
  <c r="I107" i="46"/>
  <c r="J104" i="46"/>
  <c r="J109" i="46"/>
  <c r="G30" i="6"/>
  <c r="G31" i="6" s="1"/>
  <c r="E28" i="6"/>
  <c r="D106" i="46"/>
  <c r="D107" i="46"/>
  <c r="D104" i="46"/>
  <c r="D102" i="46"/>
  <c r="D105" i="46"/>
  <c r="E16" i="6"/>
  <c r="E63" i="39"/>
  <c r="E61" i="40"/>
  <c r="E66" i="39"/>
  <c r="G106" i="46"/>
  <c r="G104" i="46"/>
  <c r="G107" i="46"/>
  <c r="G102" i="46"/>
  <c r="G109" i="46"/>
  <c r="G103" i="46"/>
  <c r="G105" i="46"/>
  <c r="L102" i="46"/>
  <c r="L104" i="46"/>
  <c r="L109" i="46"/>
  <c r="L103" i="46"/>
  <c r="L105" i="46"/>
  <c r="L106" i="46"/>
  <c r="L107" i="46"/>
  <c r="K107" i="46"/>
  <c r="K102" i="46"/>
  <c r="K104" i="46"/>
  <c r="K109" i="46"/>
  <c r="K103" i="46"/>
  <c r="K106" i="46"/>
  <c r="K105" i="46"/>
  <c r="M105" i="46"/>
  <c r="M106" i="46"/>
  <c r="M103" i="46"/>
  <c r="C107" i="46"/>
  <c r="C102" i="46"/>
  <c r="C105" i="46"/>
  <c r="C109" i="46"/>
  <c r="C104" i="46"/>
  <c r="C106" i="46"/>
  <c r="C103" i="46"/>
  <c r="I115" i="46"/>
  <c r="J115" i="46" s="1"/>
  <c r="K115" i="46" s="1"/>
  <c r="L115" i="46" s="1"/>
  <c r="M115" i="46" s="1"/>
  <c r="I118" i="46"/>
  <c r="J118" i="46" s="1"/>
  <c r="K118" i="46" s="1"/>
  <c r="L118" i="46" s="1"/>
  <c r="M118" i="46" s="1"/>
  <c r="D116" i="46"/>
  <c r="E116" i="46" s="1"/>
  <c r="F116" i="46" s="1"/>
  <c r="G116" i="46" s="1"/>
  <c r="H116" i="46" s="1"/>
  <c r="D115" i="46"/>
  <c r="E115" i="46" s="1"/>
  <c r="F115" i="46" s="1"/>
  <c r="G115" i="46" s="1"/>
  <c r="H115" i="46" s="1"/>
  <c r="I117" i="46"/>
  <c r="J117" i="46" s="1"/>
  <c r="K117" i="46" s="1"/>
  <c r="L117" i="46" s="1"/>
  <c r="M117" i="46" s="1"/>
  <c r="B116" i="46"/>
  <c r="C116" i="46" s="1"/>
  <c r="D118" i="46"/>
  <c r="E118" i="46" s="1"/>
  <c r="F118" i="46" s="1"/>
  <c r="G118" i="46"/>
  <c r="H118" i="46" s="1"/>
  <c r="B118" i="46"/>
  <c r="C118" i="46" s="1"/>
  <c r="I116" i="46"/>
  <c r="J116" i="46" s="1"/>
  <c r="K116" i="46" s="1"/>
  <c r="L116" i="46" s="1"/>
  <c r="M116" i="46" s="1"/>
  <c r="B115" i="46"/>
  <c r="D117" i="46"/>
  <c r="E117" i="46" s="1"/>
  <c r="F117" i="46" s="1"/>
  <c r="G117" i="46" s="1"/>
  <c r="H117" i="46" s="1"/>
  <c r="B117" i="46"/>
  <c r="C117" i="46" s="1"/>
  <c r="E104" i="46"/>
  <c r="E105" i="46"/>
  <c r="E102" i="46"/>
  <c r="E106" i="46"/>
  <c r="E103" i="46"/>
  <c r="E107" i="46"/>
  <c r="E109" i="46"/>
  <c r="F7" i="34"/>
  <c r="AA7" i="34" s="1"/>
  <c r="R49" i="34" s="1"/>
  <c r="J7" i="37"/>
  <c r="F7" i="37"/>
  <c r="S7" i="37" s="1"/>
  <c r="H7" i="37"/>
  <c r="G72" i="39"/>
  <c r="H70" i="39"/>
  <c r="E6" i="59"/>
  <c r="E5" i="59" s="1"/>
  <c r="U7" i="59"/>
  <c r="F57" i="59"/>
  <c r="Q58" i="59"/>
  <c r="B57" i="59"/>
  <c r="N58" i="59"/>
  <c r="D29" i="59"/>
  <c r="C30" i="59"/>
  <c r="O13" i="1"/>
  <c r="P13" i="1" s="1"/>
  <c r="S25" i="37"/>
  <c r="AA25" i="37"/>
  <c r="U25" i="37"/>
  <c r="AB25" i="37"/>
  <c r="W9" i="35"/>
  <c r="AC9" i="35"/>
  <c r="AA28" i="33"/>
  <c r="S28" i="33"/>
  <c r="AA9" i="21"/>
  <c r="S9" i="21"/>
  <c r="S34" i="35"/>
  <c r="AA34" i="35"/>
  <c r="AC34" i="35"/>
  <c r="W34" i="35"/>
  <c r="U12" i="33"/>
  <c r="AB12" i="33"/>
  <c r="AA9" i="33"/>
  <c r="S9" i="33"/>
  <c r="AC9" i="33"/>
  <c r="W9" i="33"/>
  <c r="U7" i="33"/>
  <c r="AB7" i="33"/>
  <c r="T48" i="33" s="1"/>
  <c r="G48" i="33" s="1"/>
  <c r="U7" i="34"/>
  <c r="AB7" i="34"/>
  <c r="T49" i="34" s="1"/>
  <c r="G49" i="34" s="1"/>
  <c r="AA7" i="36"/>
  <c r="R36" i="36" s="1"/>
  <c r="S7" i="36"/>
  <c r="AC7" i="36"/>
  <c r="V36" i="36" s="1"/>
  <c r="I36" i="36" s="1"/>
  <c r="W7" i="36"/>
  <c r="AA7" i="33"/>
  <c r="R48" i="33" s="1"/>
  <c r="S7" i="33"/>
  <c r="J67" i="40"/>
  <c r="K65" i="40"/>
  <c r="AA7" i="37"/>
  <c r="R42" i="37" s="1"/>
  <c r="U7" i="37"/>
  <c r="AB7" i="37"/>
  <c r="T42" i="37" s="1"/>
  <c r="G42" i="37" s="1"/>
  <c r="B6" i="59"/>
  <c r="B5" i="59" s="1"/>
  <c r="S7" i="59"/>
  <c r="E57" i="59"/>
  <c r="P58" i="59"/>
  <c r="O57" i="59"/>
  <c r="O56" i="59"/>
  <c r="D57" i="59"/>
  <c r="F18" i="59"/>
  <c r="F17" i="59" s="1"/>
  <c r="V19" i="59"/>
  <c r="D19" i="59"/>
  <c r="T19" i="59"/>
  <c r="C18" i="59"/>
  <c r="D21" i="59"/>
  <c r="C22" i="59"/>
  <c r="M12" i="1"/>
  <c r="H16" i="1"/>
  <c r="Q16" i="1"/>
  <c r="E553" i="3"/>
  <c r="W25" i="37"/>
  <c r="AC25" i="37"/>
  <c r="AC28" i="33"/>
  <c r="W28" i="33"/>
  <c r="W9" i="21"/>
  <c r="AC9" i="21"/>
  <c r="G5" i="3"/>
  <c r="B3" i="3" s="1"/>
  <c r="E536" i="3"/>
  <c r="AB34" i="35"/>
  <c r="U34" i="35"/>
  <c r="AA12" i="33"/>
  <c r="S12" i="33"/>
  <c r="W12" i="33"/>
  <c r="AC12" i="33"/>
  <c r="AB9" i="33"/>
  <c r="U9" i="33"/>
  <c r="AZ572" i="3"/>
  <c r="AZ5" i="3" s="1"/>
  <c r="S7" i="34"/>
  <c r="U7" i="36"/>
  <c r="AB7" i="36"/>
  <c r="T36" i="36" s="1"/>
  <c r="G36" i="36" s="1"/>
  <c r="F58" i="21"/>
  <c r="J7" i="33"/>
  <c r="D12" i="59"/>
  <c r="C11" i="59"/>
  <c r="G16" i="1"/>
  <c r="J7" i="34"/>
  <c r="AC7" i="37"/>
  <c r="V42" i="37" s="1"/>
  <c r="I42" i="37" s="1"/>
  <c r="W7" i="37"/>
  <c r="F7" i="35"/>
  <c r="J7" i="35"/>
  <c r="H7" i="35"/>
  <c r="M19" i="44"/>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S3" i="46" l="1"/>
  <c r="S5" i="46"/>
  <c r="S7" i="46"/>
  <c r="S6" i="46"/>
  <c r="S4" i="46"/>
  <c r="S2" i="46"/>
  <c r="E27" i="6"/>
  <c r="K20" i="6"/>
  <c r="M20" i="6" s="1"/>
  <c r="I20" i="6" s="1"/>
  <c r="S20" i="6" s="1"/>
  <c r="K26" i="6"/>
  <c r="M26" i="6" s="1"/>
  <c r="I26" i="6" s="1"/>
  <c r="S26" i="6" s="1"/>
  <c r="K22" i="6"/>
  <c r="M22" i="6" s="1"/>
  <c r="I22" i="6" s="1"/>
  <c r="S22" i="6" s="1"/>
  <c r="K23" i="6"/>
  <c r="M23" i="6" s="1"/>
  <c r="I23" i="6" s="1"/>
  <c r="S23" i="6" s="1"/>
  <c r="K21" i="6"/>
  <c r="M21" i="6" s="1"/>
  <c r="I21" i="6" s="1"/>
  <c r="S21" i="6" s="1"/>
  <c r="K19" i="6"/>
  <c r="S6" i="1" s="1"/>
  <c r="S16" i="1" s="1"/>
  <c r="K24" i="6"/>
  <c r="M24" i="6" s="1"/>
  <c r="I24" i="6" s="1"/>
  <c r="S24" i="6" s="1"/>
  <c r="E30" i="6"/>
  <c r="E31" i="6" s="1"/>
  <c r="K25" i="6"/>
  <c r="M25" i="6" s="1"/>
  <c r="I25" i="6" s="1"/>
  <c r="S25" i="6" s="1"/>
  <c r="K14" i="1"/>
  <c r="C115" i="46"/>
  <c r="D113" i="46" s="1"/>
  <c r="H72" i="39"/>
  <c r="I70" i="39"/>
  <c r="AY6" i="3"/>
  <c r="E3" i="6"/>
  <c r="W7" i="35"/>
  <c r="AC7" i="35"/>
  <c r="V38" i="35" s="1"/>
  <c r="I38" i="35" s="1"/>
  <c r="AC7" i="34"/>
  <c r="V49" i="34" s="1"/>
  <c r="I49" i="34" s="1"/>
  <c r="W7" i="34"/>
  <c r="C10" i="59"/>
  <c r="T11" i="59"/>
  <c r="D11" i="59"/>
  <c r="AC7" i="33"/>
  <c r="V48" i="33" s="1"/>
  <c r="I48" i="33" s="1"/>
  <c r="W7" i="33"/>
  <c r="G58" i="21"/>
  <c r="R50" i="34"/>
  <c r="E49" i="34"/>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200" i="3"/>
  <c r="Z6" i="3"/>
  <c r="E62" i="3"/>
  <c r="E454" i="3"/>
  <c r="E389" i="3"/>
  <c r="E520" i="3"/>
  <c r="E230" i="3"/>
  <c r="AK6" i="3"/>
  <c r="E143"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311" i="3"/>
  <c r="E263" i="3"/>
  <c r="E424" i="3"/>
  <c r="E430" i="3"/>
  <c r="E146" i="3"/>
  <c r="E77" i="3"/>
  <c r="E434" i="3"/>
  <c r="E552"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AC6" i="3" s="1"/>
  <c r="E222" i="3"/>
  <c r="E388" i="3"/>
  <c r="E82" i="3"/>
  <c r="E164" i="3"/>
  <c r="E99" i="3"/>
  <c r="E262" i="3"/>
  <c r="E101" i="3"/>
  <c r="F24" i="43"/>
  <c r="C26" i="43" s="1"/>
  <c r="D24" i="43" s="1"/>
  <c r="F33" i="12"/>
  <c r="C34" i="12" s="1"/>
  <c r="D33" i="12" s="1"/>
  <c r="D22" i="59"/>
  <c r="C23" i="59"/>
  <c r="D18" i="59"/>
  <c r="C17" i="59"/>
  <c r="D17" i="59" s="1"/>
  <c r="G46" i="37"/>
  <c r="H46" i="37" s="1"/>
  <c r="G47" i="37"/>
  <c r="H47" i="37" s="1"/>
  <c r="K67" i="40"/>
  <c r="L65" i="40"/>
  <c r="G54" i="34"/>
  <c r="H54" i="34" s="1"/>
  <c r="G53" i="34"/>
  <c r="H53" i="34" s="1"/>
  <c r="G52" i="33"/>
  <c r="H52" i="33" s="1"/>
  <c r="G53" i="33"/>
  <c r="H53" i="33" s="1"/>
  <c r="E548" i="3"/>
  <c r="N57" i="59"/>
  <c r="N56" i="59"/>
  <c r="Q56" i="59"/>
  <c r="Q57" i="59"/>
  <c r="AB7" i="35"/>
  <c r="T38" i="35" s="1"/>
  <c r="G38" i="35" s="1"/>
  <c r="U7" i="35"/>
  <c r="AA7" i="35"/>
  <c r="R38" i="35" s="1"/>
  <c r="S7" i="35"/>
  <c r="I46" i="37"/>
  <c r="J46" i="37" s="1"/>
  <c r="J12" i="40"/>
  <c r="F12" i="39"/>
  <c r="F12" i="40"/>
  <c r="H12" i="39"/>
  <c r="H12" i="40"/>
  <c r="J12" i="39"/>
  <c r="G41" i="36"/>
  <c r="H41" i="36" s="1"/>
  <c r="G40" i="36"/>
  <c r="H40" i="36" s="1"/>
  <c r="O12" i="1"/>
  <c r="P12" i="1" s="1"/>
  <c r="P57" i="59"/>
  <c r="P56" i="59"/>
  <c r="R43" i="37"/>
  <c r="E42" i="37"/>
  <c r="R49" i="33"/>
  <c r="E48" i="33"/>
  <c r="I40" i="36"/>
  <c r="J40" i="36" s="1"/>
  <c r="R37" i="36"/>
  <c r="E36" i="36"/>
  <c r="D30" i="59"/>
  <c r="C31" i="59"/>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H6" i="3"/>
  <c r="M14" i="1"/>
  <c r="K16" i="1"/>
  <c r="K27" i="6"/>
  <c r="M19" i="6"/>
  <c r="G33" i="46"/>
  <c r="I33" i="46" s="1"/>
  <c r="C27" i="46" s="1"/>
  <c r="E35" i="46"/>
  <c r="E36" i="46"/>
  <c r="J70" i="39"/>
  <c r="I72" i="39"/>
  <c r="D31" i="59"/>
  <c r="T31" i="59"/>
  <c r="E40" i="36"/>
  <c r="F40" i="36" s="1"/>
  <c r="E41" i="36"/>
  <c r="F41" i="36" s="1"/>
  <c r="I41" i="36"/>
  <c r="J41" i="36" s="1"/>
  <c r="E52" i="33"/>
  <c r="F52" i="33" s="1"/>
  <c r="E53" i="33"/>
  <c r="F53" i="33" s="1"/>
  <c r="C37" i="36"/>
  <c r="B3" i="36" s="1"/>
  <c r="B2" i="36" s="1"/>
  <c r="C36" i="36"/>
  <c r="C48" i="33"/>
  <c r="C49" i="33"/>
  <c r="B3" i="33" s="1"/>
  <c r="B2" i="33" s="1"/>
  <c r="E47" i="37"/>
  <c r="F47" i="37" s="1"/>
  <c r="E46" i="37"/>
  <c r="F46" i="37" s="1"/>
  <c r="AC12" i="39"/>
  <c r="W12" i="39"/>
  <c r="U12" i="39"/>
  <c r="AB12" i="39"/>
  <c r="S12" i="39"/>
  <c r="AA12" i="39"/>
  <c r="I47" i="37"/>
  <c r="J47" i="37" s="1"/>
  <c r="D23" i="59"/>
  <c r="T23" i="59"/>
  <c r="E6" i="3"/>
  <c r="E54" i="34"/>
  <c r="F54" i="34" s="1"/>
  <c r="E53" i="34"/>
  <c r="F53" i="34" s="1"/>
  <c r="H58" i="21"/>
  <c r="I52" i="33"/>
  <c r="J52" i="33" s="1"/>
  <c r="I53" i="33"/>
  <c r="J53" i="33" s="1"/>
  <c r="I42" i="35"/>
  <c r="J42" i="35" s="1"/>
  <c r="D16" i="43"/>
  <c r="C16" i="43" s="1"/>
  <c r="E6" i="6"/>
  <c r="L38" i="9"/>
  <c r="B14" i="66" s="1"/>
  <c r="B1" i="66" s="1"/>
  <c r="D45" i="9"/>
  <c r="C21" i="4"/>
  <c r="O5" i="54" s="1"/>
  <c r="B45" i="63" s="1"/>
  <c r="D16" i="12"/>
  <c r="C43" i="37"/>
  <c r="B3" i="37" s="1"/>
  <c r="B2" i="37" s="1"/>
  <c r="C42" i="37"/>
  <c r="AB12" i="40"/>
  <c r="U12" i="40"/>
  <c r="AA12" i="40"/>
  <c r="S12" i="40"/>
  <c r="W12" i="40"/>
  <c r="AC12" i="40"/>
  <c r="R39" i="35"/>
  <c r="E38" i="35"/>
  <c r="I43" i="35" s="1"/>
  <c r="J43" i="35" s="1"/>
  <c r="G42" i="35"/>
  <c r="H42" i="35" s="1"/>
  <c r="G43" i="35"/>
  <c r="H43" i="35" s="1"/>
  <c r="M65" i="40"/>
  <c r="L67" i="40"/>
  <c r="C50" i="34"/>
  <c r="B3" i="34" s="1"/>
  <c r="B2" i="34" s="1"/>
  <c r="C49" i="34"/>
  <c r="C9" i="59"/>
  <c r="D10" i="59"/>
  <c r="I53" i="34"/>
  <c r="J53" i="34" s="1"/>
  <c r="I54" i="34"/>
  <c r="J54" i="34"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29" i="46"/>
  <c r="C65" i="15"/>
  <c r="C59" i="15"/>
  <c r="B5" i="11"/>
  <c r="B3" i="11"/>
  <c r="B4" i="11"/>
  <c r="C27" i="12"/>
  <c r="D26" i="12" s="1"/>
  <c r="C32" i="12" s="1"/>
  <c r="D30" i="12" s="1"/>
  <c r="J26" i="15"/>
  <c r="J29" i="15" s="1"/>
  <c r="J24" i="15"/>
  <c r="C38" i="15"/>
  <c r="Q58" i="44"/>
  <c r="Q67" i="44"/>
  <c r="Q49" i="44"/>
  <c r="Q55" i="44" s="1"/>
  <c r="F7" i="67"/>
  <c r="T11" i="1" l="1"/>
  <c r="T8" i="1"/>
  <c r="T7" i="1"/>
  <c r="T9" i="1"/>
  <c r="T6" i="1"/>
  <c r="T10" i="1"/>
  <c r="T12" i="1"/>
  <c r="T13" i="1"/>
  <c r="O14" i="1"/>
  <c r="M16" i="1"/>
  <c r="I19" i="6"/>
  <c r="H19" i="6" s="1"/>
  <c r="M27" i="6"/>
  <c r="J72" i="39"/>
  <c r="K70" i="39"/>
  <c r="N65" i="40"/>
  <c r="N67" i="40" s="1"/>
  <c r="H9" i="40" s="1"/>
  <c r="M67" i="40"/>
  <c r="C38" i="35"/>
  <c r="C39" i="35"/>
  <c r="B3" i="35" s="1"/>
  <c r="B2" i="35" s="1"/>
  <c r="D19" i="12"/>
  <c r="C19" i="12" s="1"/>
  <c r="C16" i="12"/>
  <c r="D13" i="11"/>
  <c r="C13" i="11" s="1"/>
  <c r="D22" i="12"/>
  <c r="C22" i="12" s="1"/>
  <c r="C20" i="12" s="1"/>
  <c r="C22" i="4"/>
  <c r="D21" i="6"/>
  <c r="D10" i="6"/>
  <c r="H21" i="6"/>
  <c r="D6" i="6"/>
  <c r="D14" i="6"/>
  <c r="D20" i="6"/>
  <c r="H23" i="6"/>
  <c r="F45" i="9"/>
  <c r="E68" i="39"/>
  <c r="D24" i="6"/>
  <c r="D11" i="6"/>
  <c r="H20" i="6"/>
  <c r="D9" i="6"/>
  <c r="D29" i="6"/>
  <c r="D15" i="6"/>
  <c r="D19" i="6"/>
  <c r="D25" i="6"/>
  <c r="D13" i="6"/>
  <c r="H24" i="6"/>
  <c r="D23" i="6"/>
  <c r="D28" i="6"/>
  <c r="D30" i="6" s="1"/>
  <c r="D8" i="6"/>
  <c r="E45" i="9"/>
  <c r="K38" i="9"/>
  <c r="C14" i="66" s="1"/>
  <c r="B2" i="66" s="1"/>
  <c r="D26" i="6"/>
  <c r="D12" i="6"/>
  <c r="H25" i="6"/>
  <c r="H22" i="6"/>
  <c r="E63" i="40"/>
  <c r="D22" i="6"/>
  <c r="D5" i="6"/>
  <c r="H26" i="6"/>
  <c r="C8" i="59"/>
  <c r="D9" i="59"/>
  <c r="E43" i="35"/>
  <c r="F43" i="35" s="1"/>
  <c r="E42" i="35"/>
  <c r="F42" i="35" s="1"/>
  <c r="C7" i="66"/>
  <c r="I58" i="21"/>
  <c r="J58" i="21" s="1"/>
  <c r="K58" i="21" s="1"/>
  <c r="L58" i="21" s="1"/>
  <c r="M58" i="21" s="1"/>
  <c r="N58" i="21" s="1"/>
  <c r="O58" i="21" s="1"/>
  <c r="J7" i="21"/>
  <c r="E4" i="67"/>
  <c r="C26" i="46"/>
  <c r="B2" i="46" s="1"/>
  <c r="D77" i="9"/>
  <c r="N75" i="9" s="1"/>
  <c r="B7" i="67"/>
  <c r="E7" i="67"/>
  <c r="C14" i="15"/>
  <c r="C16" i="44"/>
  <c r="H27" i="6" l="1"/>
  <c r="D16" i="6"/>
  <c r="C18" i="15"/>
  <c r="C15" i="15"/>
  <c r="C17" i="44"/>
  <c r="C20" i="44"/>
  <c r="R22" i="6"/>
  <c r="N16" i="1"/>
  <c r="C29" i="43" s="1"/>
  <c r="C13" i="43"/>
  <c r="L16" i="1"/>
  <c r="S19" i="6"/>
  <c r="S27" i="6" s="1"/>
  <c r="I27" i="6"/>
  <c r="P14" i="1"/>
  <c r="P16" i="1" s="1"/>
  <c r="C13" i="12" s="1"/>
  <c r="O16" i="1"/>
  <c r="T16" i="1"/>
  <c r="R23" i="6"/>
  <c r="F9" i="40"/>
  <c r="S9" i="40" s="1"/>
  <c r="F7" i="21"/>
  <c r="J9" i="40"/>
  <c r="W9" i="40" s="1"/>
  <c r="K72" i="39"/>
  <c r="L70" i="39"/>
  <c r="AC9" i="40"/>
  <c r="V44" i="40" s="1"/>
  <c r="I44" i="40" s="1"/>
  <c r="I48" i="40" s="1"/>
  <c r="J48" i="40" s="1"/>
  <c r="W7" i="21"/>
  <c r="AC7" i="21"/>
  <c r="V48" i="21" s="1"/>
  <c r="I48" i="21" s="1"/>
  <c r="R26" i="6"/>
  <c r="R25" i="6"/>
  <c r="R21" i="6"/>
  <c r="H7" i="21"/>
  <c r="AA9" i="40"/>
  <c r="R44" i="40" s="1"/>
  <c r="AA7" i="21"/>
  <c r="R48" i="21" s="1"/>
  <c r="S7" i="21"/>
  <c r="U9" i="40"/>
  <c r="AB9" i="40"/>
  <c r="T44" i="40" s="1"/>
  <c r="G44" i="40" s="1"/>
  <c r="C7" i="59"/>
  <c r="D8" i="59"/>
  <c r="D7" i="66"/>
  <c r="D27" i="6"/>
  <c r="D31" i="6" s="1"/>
  <c r="R19" i="6"/>
  <c r="R24" i="6"/>
  <c r="R20" i="6"/>
  <c r="A20" i="64"/>
  <c r="A6" i="64"/>
  <c r="A6" i="51"/>
  <c r="B7" i="63" s="1"/>
  <c r="A20" i="51"/>
  <c r="B15" i="63" s="1"/>
  <c r="N5" i="54"/>
  <c r="B43" i="63" s="1"/>
  <c r="E3" i="67"/>
  <c r="B2" i="67"/>
  <c r="D4" i="46"/>
  <c r="B3" i="46"/>
  <c r="B4" i="46"/>
  <c r="R27" i="6" l="1"/>
  <c r="R6" i="1"/>
  <c r="R16" i="1" s="1"/>
  <c r="C19" i="15"/>
  <c r="C21" i="44"/>
  <c r="C22" i="44" s="1"/>
  <c r="C28" i="44" s="1"/>
  <c r="C17" i="12"/>
  <c r="C14" i="12"/>
  <c r="C14" i="43"/>
  <c r="C17" i="43"/>
  <c r="C20" i="15"/>
  <c r="C26" i="15" s="1"/>
  <c r="M70" i="39"/>
  <c r="L72" i="39"/>
  <c r="I6" i="6"/>
  <c r="I5" i="6"/>
  <c r="G48" i="40"/>
  <c r="H48" i="40" s="1"/>
  <c r="G49" i="40"/>
  <c r="H49" i="40" s="1"/>
  <c r="R45" i="40"/>
  <c r="E44" i="40"/>
  <c r="U7" i="21"/>
  <c r="AB7" i="21"/>
  <c r="T48" i="21" s="1"/>
  <c r="G48" i="21" s="1"/>
  <c r="I52" i="21"/>
  <c r="J52" i="21" s="1"/>
  <c r="C6" i="59"/>
  <c r="T7" i="59"/>
  <c r="D7" i="59"/>
  <c r="R49" i="21"/>
  <c r="E48" i="21"/>
  <c r="I53" i="21" s="1"/>
  <c r="J53" i="21" s="1"/>
  <c r="B3" i="67"/>
  <c r="B4" i="67"/>
  <c r="C23" i="15" l="1"/>
  <c r="C29" i="15" s="1"/>
  <c r="C18" i="12"/>
  <c r="C23" i="12" s="1"/>
  <c r="C25" i="44"/>
  <c r="C31" i="44" s="1"/>
  <c r="C15" i="44" s="1"/>
  <c r="C18" i="43"/>
  <c r="M72" i="39"/>
  <c r="H9" i="39" s="1"/>
  <c r="N70" i="39"/>
  <c r="N72" i="39" s="1"/>
  <c r="C49" i="21"/>
  <c r="B3" i="21" s="1"/>
  <c r="B2" i="21" s="1"/>
  <c r="C48" i="21"/>
  <c r="I49" i="40"/>
  <c r="J49" i="40" s="1"/>
  <c r="E49" i="40"/>
  <c r="F49" i="40" s="1"/>
  <c r="E48" i="40"/>
  <c r="F48" i="40" s="1"/>
  <c r="E52" i="21"/>
  <c r="F52" i="21" s="1"/>
  <c r="E53" i="21"/>
  <c r="F53" i="21" s="1"/>
  <c r="C5" i="59"/>
  <c r="D6" i="59"/>
  <c r="G52" i="21"/>
  <c r="H52" i="21" s="1"/>
  <c r="G53" i="21"/>
  <c r="H53" i="21" s="1"/>
  <c r="C44" i="40"/>
  <c r="C45" i="40"/>
  <c r="J21" i="44" l="1"/>
  <c r="J19" i="44" s="1"/>
  <c r="C35" i="44"/>
  <c r="C33" i="44" s="1"/>
  <c r="C38" i="44"/>
  <c r="Q51" i="44"/>
  <c r="J16" i="44"/>
  <c r="C19" i="43"/>
  <c r="C25" i="43" s="1"/>
  <c r="C24" i="43" s="1"/>
  <c r="Q50" i="15"/>
  <c r="J19" i="15"/>
  <c r="J17" i="15" s="1"/>
  <c r="C36" i="15"/>
  <c r="J14" i="15"/>
  <c r="C13" i="15"/>
  <c r="C56" i="15"/>
  <c r="J59" i="15"/>
  <c r="J60" i="15" s="1"/>
  <c r="C33" i="15"/>
  <c r="C31" i="15" s="1"/>
  <c r="Q72" i="44"/>
  <c r="C43" i="44"/>
  <c r="C39" i="44"/>
  <c r="U9" i="39"/>
  <c r="AB9" i="39"/>
  <c r="T49" i="39" s="1"/>
  <c r="G49" i="39" s="1"/>
  <c r="F9" i="39"/>
  <c r="J9" i="39"/>
  <c r="B53" i="40"/>
  <c r="F53" i="40" s="1"/>
  <c r="B57" i="40"/>
  <c r="F57" i="40" s="1"/>
  <c r="B61" i="40"/>
  <c r="F61" i="40" s="1"/>
  <c r="B62" i="40"/>
  <c r="F62" i="40" s="1"/>
  <c r="F63" i="40"/>
  <c r="B2" i="40" s="1"/>
  <c r="B58" i="40"/>
  <c r="F58" i="40" s="1"/>
  <c r="B55" i="40"/>
  <c r="F55" i="40" s="1"/>
  <c r="B56" i="40"/>
  <c r="F56" i="40" s="1"/>
  <c r="B59" i="40"/>
  <c r="F59" i="40" s="1"/>
  <c r="B60" i="40"/>
  <c r="F60" i="40" s="1"/>
  <c r="B54" i="40"/>
  <c r="F54" i="40" s="1"/>
  <c r="D5" i="59"/>
  <c r="M20" i="46"/>
  <c r="C32" i="44" l="1"/>
  <c r="C42" i="44" s="1"/>
  <c r="Q71" i="44" s="1"/>
  <c r="Q70" i="44" s="1"/>
  <c r="C22" i="43"/>
  <c r="C21" i="43" s="1"/>
  <c r="C28" i="43" s="1"/>
  <c r="C30" i="43" s="1"/>
  <c r="C32" i="43" s="1"/>
  <c r="B2" i="43" s="1"/>
  <c r="B5" i="43" s="1"/>
  <c r="J24" i="44"/>
  <c r="J15" i="44"/>
  <c r="J25" i="44" s="1"/>
  <c r="C37" i="15"/>
  <c r="C30" i="15" s="1"/>
  <c r="C39" i="15" s="1"/>
  <c r="J35" i="15"/>
  <c r="Q71" i="15"/>
  <c r="C55" i="15"/>
  <c r="C64" i="15" s="1"/>
  <c r="C60" i="15"/>
  <c r="C58" i="15" s="1"/>
  <c r="C63" i="15"/>
  <c r="J22" i="15"/>
  <c r="J13" i="15"/>
  <c r="J23" i="15" s="1"/>
  <c r="Q49" i="15"/>
  <c r="L46" i="15"/>
  <c r="AA9" i="39"/>
  <c r="R49" i="39" s="1"/>
  <c r="S9" i="39"/>
  <c r="AC9" i="39"/>
  <c r="V49" i="39" s="1"/>
  <c r="I49" i="39" s="1"/>
  <c r="G54" i="39" s="1"/>
  <c r="H54" i="39" s="1"/>
  <c r="W9" i="39"/>
  <c r="G53" i="39"/>
  <c r="H53" i="39" s="1"/>
  <c r="B3" i="40"/>
  <c r="B5" i="40"/>
  <c r="B4" i="40"/>
  <c r="L51" i="15"/>
  <c r="B3" i="43" l="1"/>
  <c r="C44" i="44"/>
  <c r="C45" i="44" s="1"/>
  <c r="L52" i="44" s="1"/>
  <c r="B4" i="43"/>
  <c r="C57" i="15"/>
  <c r="C66" i="15" s="1"/>
  <c r="C67" i="15" s="1"/>
  <c r="C70" i="15" s="1"/>
  <c r="J39" i="15"/>
  <c r="J40" i="15" s="1"/>
  <c r="J18" i="44"/>
  <c r="J27" i="44" s="1"/>
  <c r="L57" i="15"/>
  <c r="L60" i="15" s="1"/>
  <c r="Q68" i="15"/>
  <c r="J16" i="15"/>
  <c r="J25" i="15" s="1"/>
  <c r="Q70" i="15"/>
  <c r="Q69" i="15" s="1"/>
  <c r="C40" i="15"/>
  <c r="I53" i="39"/>
  <c r="J53" i="39" s="1"/>
  <c r="E49" i="39"/>
  <c r="R50" i="39"/>
  <c r="B2" i="44" l="1"/>
  <c r="B3" i="44" s="1"/>
  <c r="C46" i="15"/>
  <c r="Q67" i="15"/>
  <c r="Q58" i="15"/>
  <c r="Q57" i="15"/>
  <c r="B2" i="15"/>
  <c r="Q48" i="15"/>
  <c r="Q54" i="15" s="1"/>
  <c r="Q66" i="15"/>
  <c r="C43" i="15"/>
  <c r="J42" i="15"/>
  <c r="J43" i="15" s="1"/>
  <c r="L58" i="44"/>
  <c r="L61" i="44" s="1"/>
  <c r="Q69" i="44"/>
  <c r="C50" i="39"/>
  <c r="C49" i="39"/>
  <c r="E54" i="39"/>
  <c r="F54" i="39" s="1"/>
  <c r="E53" i="39"/>
  <c r="F53" i="39" s="1"/>
  <c r="I54" i="39"/>
  <c r="J54" i="39" s="1"/>
  <c r="B4" i="44" l="1"/>
  <c r="B5" i="44"/>
  <c r="B3" i="15"/>
  <c r="C8" i="12" s="1"/>
  <c r="C10" i="12"/>
  <c r="C6" i="12" s="1"/>
  <c r="Q76" i="15"/>
  <c r="Q59" i="44"/>
  <c r="Q64" i="44" s="1"/>
  <c r="Q68" i="44"/>
  <c r="Q77" i="44" s="1"/>
  <c r="Q63" i="15"/>
  <c r="B63" i="39"/>
  <c r="F63" i="39" s="1"/>
  <c r="B67" i="39"/>
  <c r="F67" i="39" s="1"/>
  <c r="B58" i="39"/>
  <c r="F58" i="39" s="1"/>
  <c r="B61" i="39"/>
  <c r="F61" i="39" s="1"/>
  <c r="B65" i="39"/>
  <c r="F65" i="39" s="1"/>
  <c r="B59" i="39"/>
  <c r="F59" i="39" s="1"/>
  <c r="B66" i="39"/>
  <c r="F66" i="39" s="1"/>
  <c r="B62" i="39"/>
  <c r="F62" i="39" s="1"/>
  <c r="B64" i="39"/>
  <c r="F64" i="39" s="1"/>
  <c r="B60" i="39"/>
  <c r="F60" i="39" s="1"/>
  <c r="F68" i="39" l="1"/>
  <c r="B2" i="39" s="1"/>
  <c r="B5" i="39" s="1"/>
  <c r="C24" i="12"/>
  <c r="C29" i="12"/>
  <c r="C19" i="9"/>
  <c r="L43" i="9" l="1"/>
  <c r="B4" i="39"/>
  <c r="B3" i="39"/>
  <c r="C28" i="12"/>
  <c r="C26" i="12" s="1"/>
  <c r="C31" i="12" s="1"/>
  <c r="C30" i="12" s="1"/>
  <c r="C35" i="12"/>
  <c r="C33" i="12" s="1"/>
  <c r="C20" i="9"/>
  <c r="C21" i="9"/>
  <c r="C36" i="12" l="1"/>
  <c r="B2" i="12" s="1"/>
  <c r="D19" i="9"/>
  <c r="L44" i="9" l="1"/>
  <c r="G19" i="9"/>
  <c r="D15" i="66" s="1"/>
  <c r="G15" i="66" s="1"/>
  <c r="D22" i="9"/>
  <c r="B5" i="12"/>
  <c r="B3" i="12"/>
  <c r="B4" i="12"/>
  <c r="D20" i="9"/>
  <c r="D21" i="9"/>
  <c r="F15" i="66" l="1"/>
  <c r="E15" i="66"/>
  <c r="G21" i="9"/>
  <c r="G20" i="9"/>
  <c r="C32" i="9"/>
  <c r="N43" i="9"/>
  <c r="G22" i="9"/>
  <c r="O43" i="9" l="1"/>
  <c r="O38" i="9"/>
  <c r="C42" i="9"/>
  <c r="C33" i="9"/>
  <c r="C34" i="9"/>
  <c r="C35" i="9"/>
  <c r="F42" i="9" s="1"/>
  <c r="N38" i="9" l="1"/>
  <c r="K28" i="9" s="1"/>
  <c r="D42" i="9"/>
  <c r="Q5" i="54" s="1"/>
  <c r="B47" i="63" s="1"/>
  <c r="K26" i="9"/>
  <c r="K25" i="9"/>
  <c r="E42" i="9"/>
  <c r="P5" i="54" s="1"/>
  <c r="B46" i="63" s="1"/>
  <c r="M38" i="9"/>
  <c r="K27" i="9" s="1"/>
  <c r="C44" i="9"/>
  <c r="R5" i="54"/>
  <c r="B48" i="63" s="1"/>
  <c r="D63" i="9"/>
  <c r="D14" i="66"/>
  <c r="N68" i="9"/>
  <c r="E14" i="66" l="1"/>
  <c r="B5" i="66"/>
  <c r="F14" i="66"/>
  <c r="C111" i="9"/>
  <c r="C104" i="9" s="1"/>
  <c r="C82" i="9"/>
  <c r="C81" i="9" s="1"/>
  <c r="C85" i="9" s="1"/>
  <c r="C86" i="9" s="1"/>
  <c r="D72" i="9" s="1"/>
  <c r="D70" i="9"/>
  <c r="D71" i="9"/>
  <c r="D66" i="9" s="1"/>
  <c r="N72" i="9" s="1"/>
  <c r="D73" i="9"/>
  <c r="N73" i="9" s="1"/>
  <c r="C96" i="9"/>
  <c r="C91" i="9" s="1"/>
  <c r="C103" i="9"/>
  <c r="C113" i="9" s="1"/>
  <c r="C90" i="9"/>
  <c r="G14" i="66"/>
  <c r="B6" i="66" s="1"/>
  <c r="D44" i="9"/>
  <c r="O39" i="9"/>
  <c r="N69" i="9"/>
  <c r="E44" i="9"/>
  <c r="F44" i="9"/>
  <c r="C97" i="9" l="1"/>
  <c r="K29" i="9"/>
  <c r="K30" i="9" s="1"/>
  <c r="R6" i="54"/>
  <c r="B50" i="63" s="1"/>
  <c r="C6" i="66"/>
  <c r="D6" i="66"/>
  <c r="C114" i="9"/>
  <c r="E114" i="9" s="1"/>
  <c r="E115" i="9" s="1"/>
  <c r="D5" i="66"/>
  <c r="C5" i="66"/>
  <c r="M86" i="9"/>
  <c r="N86" i="9" s="1"/>
  <c r="M85" i="9"/>
  <c r="N85" i="9" s="1"/>
  <c r="M87" i="9"/>
  <c r="N87" i="9" s="1"/>
  <c r="M88" i="9"/>
  <c r="N88" i="9" s="1"/>
  <c r="M84" i="9"/>
  <c r="N84" i="9" s="1"/>
  <c r="M83" i="9"/>
  <c r="N83" i="9" s="1"/>
  <c r="C98" i="9"/>
  <c r="E98" i="9" s="1"/>
  <c r="E99" i="9" s="1"/>
  <c r="C99" i="9" l="1"/>
  <c r="N89" i="9"/>
  <c r="O89" i="9" s="1"/>
  <c r="C115" i="9"/>
  <c r="D76" i="9" s="1"/>
  <c r="D74" i="9" s="1"/>
  <c r="N74" i="9" s="1"/>
  <c r="O77" i="9" s="1"/>
  <c r="O78" i="9" s="1"/>
  <c r="Q77" i="9" l="1"/>
  <c r="O79" i="9"/>
  <c r="C46" i="9" s="1"/>
  <c r="O80" i="9" l="1"/>
  <c r="O81" i="9"/>
  <c r="K33" i="9"/>
  <c r="I14" i="66"/>
  <c r="B8" i="66" s="1"/>
  <c r="E46" i="9"/>
  <c r="O41" i="9"/>
  <c r="R8" i="54" s="1"/>
  <c r="B54" i="63" s="1"/>
  <c r="D46" i="9"/>
  <c r="F46" i="9"/>
  <c r="K34" i="9" l="1"/>
  <c r="D8" i="66"/>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<sst xmlns="http://schemas.openxmlformats.org/spreadsheetml/2006/main" count="7152" uniqueCount="3135">
  <si>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</si>
  <si>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</si>
  <si>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</si>
  <si>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</si>
  <si>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</si>
  <si>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</si>
  <si>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</si>
  <si>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</si>
  <si>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</si>
  <si>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</si>
  <si>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</si>
  <si>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</si>
  <si>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</si>
  <si>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</si>
  <si>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</si>
  <si>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</si>
  <si>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</si>
  <si>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</si>
  <si>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</si>
  <si>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</si>
  <si>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</si>
  <si>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</si>
  <si>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</si>
  <si>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</si>
  <si>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</si>
  <si>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</si>
  <si>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</si>
  <si>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</si>
  <si>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</si>
  <si>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</si>
  <si>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</si>
  <si>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</si>
  <si>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</si>
  <si>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</si>
  <si>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</si>
  <si>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</si>
  <si>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</si>
  <si>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</si>
  <si>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</si>
  <si>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</si>
  <si>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</si>
  <si>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</si>
  <si>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</si>
  <si>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</si>
  <si>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</si>
  <si>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</si>
  <si>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</si>
  <si>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</si>
  <si>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</si>
  <si>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</si>
  <si>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</si>
  <si>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</si>
  <si>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</si>
  <si>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</si>
  <si>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</si>
  <si>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</si>
  <si>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</si>
  <si>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</si>
  <si>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</si>
  <si>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</si>
  <si>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</si>
  <si>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</si>
  <si>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</si>
  <si>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</si>
  <si>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</si>
  <si>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</si>
  <si>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</si>
  <si>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</si>
  <si>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</si>
  <si>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</si>
  <si>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</si>
  <si>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</si>
  <si>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</si>
  <si>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</si>
  <si>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</si>
  <si>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</si>
  <si>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</si>
  <si>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</si>
  <si>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</si>
  <si>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</si>
  <si>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</si>
  <si>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</si>
  <si>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</si>
  <si>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</si>
  <si>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</si>
  <si>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</si>
  <si>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</si>
  <si>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</si>
  <si>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</si>
  <si>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</si>
  <si>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</si>
  <si>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</si>
  <si>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</si>
  <si>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</si>
  <si>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</si>
  <si>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</si>
  <si>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</si>
  <si>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</si>
  <si>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</si>
  <si>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</si>
  <si>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</si>
  <si>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</si>
  <si>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</si>
  <si>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</si>
  <si>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</si>
  <si>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</si>
  <si>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</si>
  <si>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</si>
  <si>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</si>
  <si>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</si>
  <si>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</si>
  <si>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</si>
  <si>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</si>
  <si>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</si>
  <si>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</si>
  <si>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</si>
  <si>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</si>
  <si>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</si>
  <si>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</si>
  <si>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</si>
  <si>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</si>
  <si>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</si>
  <si>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</si>
  <si>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</si>
  <si>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</si>
  <si>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</si>
  <si>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</si>
  <si>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</si>
  <si>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</si>
  <si>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</si>
  <si>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</si>
  <si>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</si>
  <si>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</si>
  <si>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</si>
  <si>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</si>
  <si>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</si>
  <si>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</si>
  <si>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</si>
  <si>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</si>
  <si>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</si>
  <si>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</si>
  <si>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</si>
  <si>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</si>
  <si>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</si>
  <si>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</si>
  <si>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</si>
  <si>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</si>
  <si>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</si>
  <si>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</si>
  <si>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</si>
  <si>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</si>
  <si>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</si>
  <si>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</si>
  <si>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</si>
  <si>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</si>
  <si>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</si>
  <si>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</si>
  <si>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</si>
  <si>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</si>
  <si>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</si>
  <si>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</si>
  <si>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</si>
  <si>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</si>
  <si>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</si>
  <si>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</si>
  <si>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</si>
  <si>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</si>
  <si>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</si>
  <si>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</si>
  <si>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</si>
  <si>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</si>
  <si>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</si>
  <si>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</si>
  <si>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</si>
  <si>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</si>
  <si>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</si>
  <si>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</si>
  <si>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</si>
  <si>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</si>
  <si>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</si>
  <si>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</si>
  <si>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</si>
  <si>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</si>
  <si>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</si>
  <si>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</si>
  <si>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</si>
  <si>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</si>
  <si>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</si>
  <si>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</si>
  <si>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</si>
  <si>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</si>
  <si>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</si>
  <si>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</si>
  <si>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</si>
  <si>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</si>
  <si>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</si>
  <si>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</si>
  <si>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</si>
  <si>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</si>
  <si>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</si>
  <si>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</si>
  <si>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</si>
  <si>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</si>
  <si>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</si>
  <si>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</si>
  <si>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</si>
  <si>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</si>
  <si>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</si>
  <si>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</si>
  <si>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</si>
  <si>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</si>
  <si>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</si>
  <si>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</si>
  <si>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</si>
  <si>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</si>
  <si>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</si>
  <si>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</si>
  <si>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</si>
  <si>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</si>
  <si>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</si>
  <si>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</si>
  <si>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</si>
  <si>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</si>
  <si>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</si>
  <si>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</si>
  <si>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</si>
  <si>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</si>
  <si>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</si>
  <si>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</si>
  <si>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</si>
  <si>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</si>
  <si>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</si>
  <si>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</si>
  <si>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</si>
  <si>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</si>
  <si>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</si>
  <si>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</si>
  <si>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</si>
  <si>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</si>
  <si>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</si>
  <si>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</si>
  <si>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</si>
  <si>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</si>
  <si>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</si>
  <si>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</si>
  <si>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</si>
  <si>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</si>
  <si>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</si>
  <si>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</si>
  <si>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</si>
  <si>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</si>
  <si>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</si>
  <si>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</si>
  <si>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</si>
  <si>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</si>
  <si>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</si>
  <si>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</si>
  <si>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</si>
  <si>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</si>
  <si>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</si>
  <si>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</si>
  <si>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</si>
  <si>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</si>
  <si>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</si>
  <si>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</si>
  <si>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</si>
  <si>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</si>
  <si>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</si>
  <si>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</si>
  <si>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</si>
  <si>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</si>
  <si>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</si>
  <si>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</si>
  <si>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</si>
  <si>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</si>
  <si>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</si>
  <si>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</si>
  <si>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</si>
  <si>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</si>
  <si>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</si>
  <si>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</si>
  <si>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</si>
  <si>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</si>
  <si>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</si>
  <si>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</si>
  <si>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</si>
  <si>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</si>
  <si>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</si>
  <si>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</si>
  <si>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</si>
  <si>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</si>
  <si>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</si>
  <si>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</si>
  <si>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</si>
  <si>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</si>
  <si>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</si>
  <si>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</si>
  <si>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</si>
  <si>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</si>
  <si>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</si>
  <si>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</si>
  <si>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</si>
  <si>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</si>
  <si>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</si>
  <si>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</si>
  <si>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</si>
  <si>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</si>
  <si>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</si>
  <si>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</si>
  <si>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</si>
  <si>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</si>
  <si>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</si>
  <si>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</si>
  <si>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</si>
  <si>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</si>
  <si>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</si>
  <si>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</si>
  <si>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</si>
  <si>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</si>
  <si>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</si>
  <si>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</si>
  <si>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</si>
  <si>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</si>
  <si>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</si>
  <si>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</si>
  <si>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</si>
  <si>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</si>
  <si>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</si>
  <si>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</si>
  <si>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</si>
  <si>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</si>
  <si>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</si>
  <si>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</si>
  <si>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</si>
  <si>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</si>
  <si>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</si>
  <si>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</si>
  <si>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</si>
  <si>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</si>
  <si>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</si>
  <si>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</si>
  <si>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</si>
  <si>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</si>
  <si>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</si>
  <si>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</si>
  <si>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</si>
  <si>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</si>
  <si>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</si>
  <si>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</si>
  <si>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</si>
  <si>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</si>
  <si>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</si>
  <si>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</si>
  <si>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</si>
  <si>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</si>
  <si>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</si>
  <si>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</si>
  <si>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</si>
  <si>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</si>
  <si>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</si>
  <si>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</si>
  <si>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</si>
  <si>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</si>
  <si>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</si>
  <si>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</si>
  <si>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</si>
  <si>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</si>
  <si>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</si>
  <si>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</si>
  <si>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</si>
  <si>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</si>
  <si>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</si>
  <si>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</si>
  <si>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</si>
  <si>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</si>
  <si>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</si>
  <si>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</si>
  <si>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</si>
  <si>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</si>
  <si>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</si>
  <si>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</si>
  <si>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</si>
  <si>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</si>
  <si>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</si>
  <si>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</si>
  <si>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</si>
  <si>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</si>
  <si>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</si>
  <si>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</si>
  <si>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</si>
  <si>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</si>
  <si>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</si>
  <si>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</si>
  <si>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</si>
  <si>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</si>
  <si>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</si>
  <si>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</si>
  <si>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</si>
  <si>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</si>
  <si>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</si>
  <si>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</si>
  <si>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</si>
  <si>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</si>
  <si>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</si>
  <si>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</si>
  <si>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</si>
  <si>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</si>
  <si>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</si>
  <si>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</si>
  <si>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</si>
  <si>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</si>
  <si>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</si>
  <si>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</si>
  <si>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</si>
  <si>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</si>
  <si>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</si>
  <si>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</si>
  <si>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</si>
  <si>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</si>
  <si>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</si>
  <si>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</si>
  <si>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</si>
  <si>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</si>
  <si>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</si>
  <si>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</si>
  <si>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</si>
  <si>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</si>
  <si>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</si>
  <si>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</si>
  <si>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</si>
  <si>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</si>
  <si>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</si>
  <si>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</si>
  <si>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</si>
  <si>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</si>
  <si>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</si>
  <si>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</si>
  <si>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</si>
  <si>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</si>
  <si>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</si>
  <si>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</si>
  <si>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</si>
  <si>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</si>
  <si>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</si>
  <si>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</si>
  <si>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</si>
  <si>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</si>
  <si>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</si>
  <si>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</si>
  <si>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</si>
  <si>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</si>
  <si>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</si>
  <si>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</si>
  <si>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</si>
  <si>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</si>
  <si>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</si>
  <si>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</si>
  <si>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</si>
  <si>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</si>
  <si>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</si>
  <si>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</si>
  <si>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</si>
  <si>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</si>
  <si>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</si>
  <si>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</si>
  <si>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</si>
  <si>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</si>
  <si>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</si>
  <si>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</si>
  <si>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</si>
  <si>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</si>
  <si>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</si>
  <si>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</si>
  <si>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</si>
  <si>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</si>
  <si>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</si>
  <si>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</si>
  <si>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</si>
  <si>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</si>
  <si>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</si>
  <si>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</si>
  <si>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</si>
  <si>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</si>
  <si>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</si>
  <si>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</si>
  <si>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</si>
  <si>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</si>
  <si>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</si>
  <si>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</si>
  <si>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</si>
  <si>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</si>
  <si>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</si>
  <si>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</si>
  <si>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</si>
  <si>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</si>
  <si>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</si>
  <si>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</si>
  <si>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</si>
  <si>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</si>
  <si>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</si>
  <si>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</si>
  <si>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</si>
  <si>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</si>
  <si>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</si>
  <si>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</si>
  <si>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</si>
  <si>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</si>
  <si>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</si>
  <si>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</si>
  <si>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</si>
  <si>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</si>
  <si>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</si>
  <si>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</si>
  <si>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</si>
  <si>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</si>
  <si>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</si>
  <si>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</si>
  <si>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</si>
  <si>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</si>
  <si>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</si>
  <si>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</si>
  <si>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</si>
  <si>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</si>
  <si>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</si>
  <si>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</si>
  <si>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</si>
  <si>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</si>
  <si>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</si>
  <si>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</si>
  <si>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</si>
  <si>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</si>
  <si>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</si>
  <si>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</si>
  <si>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</si>
  <si>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</si>
  <si>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</si>
  <si>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</si>
  <si>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</si>
  <si>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</si>
  <si>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</si>
  <si>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</si>
  <si>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</si>
  <si>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</si>
  <si>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</si>
  <si>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</si>
  <si>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</si>
  <si>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</si>
  <si>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</si>
  <si>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</si>
  <si>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</si>
  <si>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</si>
  <si>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</si>
  <si>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</si>
  <si>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</si>
  <si>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</si>
  <si>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</si>
  <si>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</si>
  <si>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</si>
  <si>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</si>
  <si>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</si>
  <si>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</si>
  <si>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</si>
  <si>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</si>
  <si>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</si>
  <si>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</si>
  <si>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</si>
  <si>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</si>
  <si>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</si>
  <si>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</si>
  <si>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</si>
  <si>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</si>
  <si>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</si>
  <si>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</si>
  <si>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</si>
  <si>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</si>
  <si>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</si>
  <si>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</si>
  <si>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</si>
  <si>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</si>
  <si>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</si>
  <si>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</si>
  <si>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</si>
  <si>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</si>
  <si>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</si>
  <si>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</si>
  <si>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</si>
  <si>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</si>
  <si>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</si>
  <si>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</si>
  <si>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</si>
  <si>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</si>
  <si>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</si>
  <si>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</si>
  <si>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</si>
  <si>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</si>
  <si>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</si>
  <si>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</si>
  <si>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</si>
  <si>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</si>
  <si>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</si>
  <si>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</si>
  <si>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</si>
  <si>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</si>
  <si>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</si>
  <si>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</si>
  <si>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</si>
  <si>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</si>
  <si>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</si>
  <si>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</si>
  <si>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</si>
  <si>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</si>
  <si>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</si>
  <si>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</si>
  <si>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</si>
  <si>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</si>
  <si>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</si>
  <si>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</si>
  <si>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</si>
  <si>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</si>
  <si>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</si>
  <si>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</si>
  <si>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</si>
  <si>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</si>
  <si>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</si>
  <si>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</si>
  <si>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</si>
  <si>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</si>
  <si>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</si>
  <si>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</si>
  <si>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</si>
  <si>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</si>
  <si>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</si>
  <si>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</si>
  <si>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</si>
  <si>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</si>
  <si>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</si>
  <si>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</si>
  <si>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</si>
  <si>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</si>
  <si>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</si>
  <si>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</si>
  <si>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</si>
  <si>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</si>
  <si>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</si>
  <si>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</si>
  <si>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</si>
  <si>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</si>
  <si>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</si>
  <si>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</si>
  <si>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</si>
  <si>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</si>
  <si>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</si>
  <si>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</si>
  <si>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</si>
  <si>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</si>
  <si>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</si>
  <si>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</si>
  <si>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</si>
  <si>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</si>
  <si>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</si>
  <si>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</si>
  <si>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</si>
  <si>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</si>
  <si>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</si>
  <si>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</si>
  <si>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</si>
  <si>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</si>
  <si>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</si>
  <si>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</si>
  <si>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</si>
  <si>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</si>
  <si>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</si>
  <si>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</si>
  <si>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</si>
  <si>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</si>
  <si>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</si>
  <si>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</si>
  <si>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</si>
  <si>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</si>
  <si>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</si>
  <si>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</si>
  <si>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</si>
  <si>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</si>
  <si>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</si>
  <si>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</si>
  <si>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</si>
  <si>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</si>
  <si>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</si>
  <si>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</si>
  <si>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</si>
  <si>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</si>
  <si>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</si>
  <si>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</si>
  <si>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</si>
  <si>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</si>
  <si>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</si>
  <si>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</si>
  <si>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</si>
  <si>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</si>
  <si>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</si>
  <si>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</si>
  <si>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</si>
  <si>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</si>
  <si>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</si>
  <si>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</si>
  <si>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</si>
  <si>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</si>
  <si>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</si>
  <si>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</si>
  <si>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</si>
  <si>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</si>
  <si>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</si>
  <si>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</si>
  <si>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</si>
  <si>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</si>
  <si>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</si>
  <si>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</si>
  <si>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</si>
  <si>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</si>
  <si>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</si>
  <si>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</si>
  <si>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</si>
  <si>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</si>
  <si>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</si>
  <si>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</si>
  <si>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</si>
  <si>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</si>
  <si>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</si>
  <si>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</si>
  <si>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</si>
  <si>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</si>
  <si>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</si>
  <si>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</si>
  <si>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</si>
  <si>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</si>
  <si>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</si>
  <si>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</si>
  <si>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</si>
  <si>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</si>
  <si>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</si>
  <si>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</si>
  <si>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</si>
  <si>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</si>
  <si>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</si>
  <si>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</si>
  <si>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</si>
  <si>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</si>
  <si>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</si>
  <si>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</si>
  <si>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</si>
  <si>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</si>
  <si>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</si>
  <si>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</si>
  <si>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</si>
  <si>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</si>
  <si>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</si>
  <si>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</si>
  <si>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</si>
  <si>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</si>
  <si>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</si>
  <si>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</si>
  <si>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</si>
  <si>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</si>
  <si>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</si>
  <si>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</si>
  <si>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</si>
  <si>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</si>
  <si>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</si>
  <si>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</si>
  <si>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</si>
  <si>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</si>
  <si>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</si>
  <si>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</si>
  <si>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</si>
  <si>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</si>
  <si>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</si>
  <si>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</si>
  <si>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</si>
  <si>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</si>
  <si>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</si>
  <si>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</si>
  <si>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</si>
  <si>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</si>
  <si>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</si>
  <si>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</si>
  <si>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</si>
  <si>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</si>
  <si>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</si>
  <si>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</si>
  <si>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</si>
  <si>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</si>
  <si>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</si>
  <si>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</si>
  <si>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</si>
  <si>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</si>
  <si>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</si>
  <si>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</si>
  <si>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</si>
  <si>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</si>
  <si>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</si>
  <si>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</si>
  <si>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</si>
  <si>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</si>
  <si>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</si>
  <si>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</si>
  <si>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</si>
  <si>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</si>
  <si>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</si>
  <si>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</si>
  <si>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</si>
  <si>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</si>
  <si>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</si>
  <si>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</si>
  <si>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</si>
  <si>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</si>
  <si>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</si>
  <si>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</si>
  <si>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</si>
  <si>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</si>
  <si>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</si>
  <si>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</si>
  <si>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</si>
  <si>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</si>
  <si>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</si>
  <si>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</si>
  <si>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</si>
  <si>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</si>
  <si>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</si>
  <si>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</si>
  <si>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</si>
  <si>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</si>
  <si>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</si>
  <si>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</si>
  <si>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</si>
  <si>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</si>
  <si>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</si>
  <si>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</si>
  <si>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</si>
  <si>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</si>
  <si>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</si>
  <si>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</si>
  <si>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</si>
  <si>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</si>
  <si>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</si>
  <si>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</si>
  <si>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</si>
  <si>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</si>
  <si>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</si>
  <si>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</si>
  <si>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</si>
  <si>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</si>
  <si>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</si>
  <si>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</si>
  <si>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</si>
  <si>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</si>
  <si>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</si>
  <si>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</si>
  <si>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</si>
  <si>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</si>
  <si>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</si>
  <si>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</si>
  <si>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</si>
  <si>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</si>
  <si>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</si>
  <si>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</si>
  <si>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</si>
  <si>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</si>
  <si>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</si>
  <si>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</si>
  <si>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</si>
  <si>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</si>
  <si>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</si>
  <si>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</si>
  <si>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</si>
  <si>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</si>
  <si>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</si>
  <si>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</si>
  <si>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</si>
  <si>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</si>
  <si>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</si>
  <si>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</si>
  <si>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</si>
  <si>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</si>
  <si>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</si>
  <si>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</si>
  <si>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</si>
  <si>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</si>
  <si>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</si>
  <si>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</si>
  <si>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</si>
  <si>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</si>
  <si>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</si>
  <si>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</si>
  <si>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</si>
  <si>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</si>
  <si>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</si>
  <si>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</si>
  <si>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</si>
  <si>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</si>
  <si>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</si>
  <si>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</si>
  <si>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</si>
  <si>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</si>
  <si>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</si>
  <si>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</si>
  <si>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</si>
  <si>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</si>
  <si>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</si>
  <si>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</si>
  <si>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</si>
  <si>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</si>
  <si>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</si>
  <si>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</si>
  <si>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</si>
  <si>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</si>
  <si>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</si>
  <si>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</si>
  <si>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</si>
  <si>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</si>
  <si>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</si>
  <si>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</si>
  <si>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</si>
  <si>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</si>
  <si>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</si>
  <si>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</si>
  <si>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</si>
  <si>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</si>
  <si>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</si>
  <si>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</si>
  <si>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</si>
  <si>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</si>
  <si>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</si>
  <si>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</si>
  <si>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</si>
  <si>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</si>
  <si>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</si>
  <si>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</si>
  <si>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</si>
  <si>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</si>
  <si>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</si>
  <si>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</si>
  <si>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</si>
  <si>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</si>
  <si>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</si>
  <si>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</si>
  <si>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</si>
  <si>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</si>
  <si>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</si>
  <si>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</si>
  <si>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</si>
  <si>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</si>
  <si>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</si>
  <si>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</si>
  <si>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</si>
  <si>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</si>
  <si>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</si>
  <si>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</si>
  <si>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</si>
  <si>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</si>
  <si>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</si>
  <si>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</si>
  <si>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</si>
  <si>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</si>
  <si>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</si>
  <si>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</si>
  <si>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</si>
  <si>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</si>
  <si>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</si>
  <si>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</si>
  <si>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</si>
  <si>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</si>
  <si>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</si>
  <si>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</si>
  <si>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</si>
  <si>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</si>
  <si>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</si>
  <si>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</si>
  <si>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</si>
  <si>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</si>
  <si>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</si>
  <si>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</si>
  <si>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</si>
  <si>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</si>
  <si>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</si>
  <si>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</si>
  <si>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</si>
  <si>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</si>
  <si>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</si>
  <si>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</si>
  <si>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</si>
  <si>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</si>
  <si>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</si>
  <si>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</si>
  <si>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</si>
  <si>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</si>
  <si>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</si>
  <si>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</si>
  <si>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</si>
  <si>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</si>
  <si>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</si>
  <si>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</si>
  <si>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</si>
  <si>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</si>
  <si>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</si>
  <si>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</si>
  <si>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</si>
  <si>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</si>
  <si>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</si>
  <si>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</si>
  <si>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</si>
  <si>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</si>
  <si>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</si>
  <si>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</si>
  <si>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</si>
  <si>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</si>
  <si>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</si>
  <si>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</si>
  <si>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</si>
  <si>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</si>
  <si>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</si>
  <si>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</si>
  <si>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</si>
  <si>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</si>
  <si>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</si>
  <si>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</si>
  <si>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</si>
  <si>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</si>
  <si>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</si>
  <si>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</si>
  <si>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</si>
  <si>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</si>
  <si>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</si>
  <si>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</si>
  <si>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</si>
  <si>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</si>
  <si>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</si>
  <si>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</si>
  <si>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</si>
  <si>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</si>
  <si>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</si>
  <si>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</si>
  <si>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</si>
  <si>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</si>
  <si>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</si>
  <si>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</si>
  <si>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</si>
  <si>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</si>
  <si>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</si>
  <si>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</si>
  <si>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</si>
  <si>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</si>
  <si>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</si>
  <si>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</si>
  <si>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</si>
  <si>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</si>
  <si>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</si>
  <si>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</si>
  <si>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</si>
  <si>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</si>
  <si>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</si>
  <si>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</si>
  <si>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</si>
  <si>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</si>
  <si>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</si>
  <si>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</si>
  <si>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</si>
  <si>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</si>
  <si>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</si>
  <si>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</si>
  <si>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</si>
  <si>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</si>
  <si>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</si>
  <si>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</si>
  <si>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</si>
  <si>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</si>
  <si>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</si>
  <si>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</si>
  <si>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</si>
  <si>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</si>
  <si>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</si>
  <si>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</si>
  <si>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</si>
  <si>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</si>
  <si>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</si>
  <si>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</si>
  <si>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</si>
  <si>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</si>
  <si>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</si>
  <si>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</si>
  <si>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</si>
  <si>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</si>
  <si>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</si>
  <si>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</si>
  <si>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</si>
  <si>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</si>
  <si>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</si>
  <si>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</si>
  <si>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</si>
  <si>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</si>
  <si>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</si>
  <si>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</si>
  <si>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</si>
  <si>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</si>
  <si>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</si>
  <si>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</si>
  <si>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</si>
  <si>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</si>
  <si>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</si>
  <si>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</si>
  <si>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</si>
  <si>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</si>
  <si>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</si>
  <si>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</si>
  <si>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</si>
  <si>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</si>
  <si>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</si>
  <si>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</si>
  <si>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</si>
  <si>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</si>
  <si>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</si>
  <si>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</si>
  <si>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</si>
  <si>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</si>
  <si>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</si>
  <si>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</si>
  <si>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</si>
  <si>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</si>
  <si>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</si>
  <si>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</si>
  <si>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</si>
  <si>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</si>
  <si>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</si>
  <si>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</si>
  <si>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</si>
  <si>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</si>
  <si>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</si>
  <si>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</si>
  <si>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</si>
  <si>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</si>
  <si>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</si>
  <si>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</si>
  <si>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</si>
  <si>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</si>
  <si>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</si>
  <si>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</si>
  <si>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</si>
  <si>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</si>
  <si>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</si>
  <si>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</si>
  <si>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</si>
  <si>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</si>
  <si>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</si>
  <si>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</si>
  <si>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</si>
  <si>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</si>
  <si>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</si>
  <si>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</si>
  <si>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</si>
  <si>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</si>
  <si>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</si>
  <si>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</si>
  <si>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</si>
  <si>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</si>
  <si>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</si>
  <si>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</si>
  <si>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</si>
  <si>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</si>
  <si>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</si>
  <si>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</si>
  <si>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</si>
  <si>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</si>
  <si>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</si>
  <si>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</si>
  <si>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</si>
  <si>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</si>
  <si>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</si>
  <si>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</si>
  <si>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</si>
  <si>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</si>
  <si>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</si>
  <si>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</si>
  <si>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</si>
  <si>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</si>
  <si>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</si>
  <si>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</si>
  <si>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</si>
  <si>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</si>
  <si>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</si>
  <si>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</si>
  <si>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</si>
  <si>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</si>
  <si>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</si>
  <si>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</si>
  <si>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</si>
  <si>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</si>
  <si>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</si>
  <si>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</si>
  <si>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</si>
  <si>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</si>
  <si>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</si>
  <si>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</si>
  <si>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</si>
  <si>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</si>
  <si>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</si>
  <si>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</si>
  <si>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</si>
  <si>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</si>
  <si>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</si>
  <si>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</si>
  <si>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</si>
  <si>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</si>
  <si>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</si>
  <si>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</si>
  <si>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</si>
  <si>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</si>
  <si>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</si>
  <si>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</si>
  <si>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</si>
  <si>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</si>
  <si>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</si>
  <si>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</si>
  <si>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</si>
  <si>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</si>
  <si>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</si>
  <si>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</si>
  <si>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</si>
  <si>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</si>
  <si>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</si>
  <si>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</si>
  <si>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</si>
  <si>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</si>
  <si>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</si>
  <si>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</si>
  <si>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</si>
  <si>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</si>
  <si>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</si>
  <si>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</si>
  <si>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</si>
  <si>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</si>
  <si>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</si>
  <si>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</si>
  <si>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</si>
  <si>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</si>
  <si>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</si>
  <si>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</si>
  <si>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</si>
  <si>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</si>
  <si>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</si>
  <si>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</si>
  <si>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</si>
  <si>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</si>
  <si>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</si>
  <si>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</si>
  <si>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</si>
  <si>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</si>
  <si>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</si>
  <si>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</si>
  <si>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</si>
  <si>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</si>
  <si>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</si>
  <si>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</si>
  <si>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</si>
  <si>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</si>
  <si>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</si>
  <si>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</si>
  <si>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</si>
  <si>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</si>
  <si>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</si>
  <si>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</si>
  <si>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</si>
  <si>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</si>
  <si>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</si>
  <si>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</si>
  <si>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</si>
  <si>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</si>
  <si>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</si>
  <si>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</si>
  <si>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</si>
  <si>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</si>
  <si>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</si>
  <si>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</si>
  <si>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</si>
  <si>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</si>
  <si>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</si>
  <si>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</si>
  <si>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</si>
  <si>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</si>
  <si>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</si>
  <si>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</si>
  <si>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</si>
  <si>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</si>
  <si>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</si>
  <si>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</si>
  <si>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</si>
  <si>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</si>
  <si>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</si>
  <si>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</si>
  <si>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</si>
  <si>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</si>
  <si>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</si>
  <si>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</si>
  <si>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</si>
  <si>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</si>
  <si>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</si>
  <si>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</si>
  <si>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</si>
  <si>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</si>
  <si>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</si>
  <si>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</si>
  <si>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</si>
  <si>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</si>
  <si>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</si>
  <si>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</si>
  <si>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</si>
  <si>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</si>
  <si>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</si>
  <si>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</si>
  <si>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</si>
  <si>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</si>
  <si>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</si>
  <si>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</si>
  <si>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</si>
  <si>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</si>
  <si>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</si>
  <si>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</si>
  <si>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</si>
  <si>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</si>
  <si>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</si>
  <si>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</si>
  <si>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</si>
  <si>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</si>
  <si>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</si>
  <si>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</si>
  <si>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</si>
  <si>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</si>
  <si>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</si>
  <si>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</si>
  <si>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</si>
  <si>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</si>
  <si>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</si>
  <si>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</si>
  <si>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</si>
  <si>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</si>
  <si>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</si>
  <si>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</si>
  <si>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</si>
  <si>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</si>
  <si>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</si>
  <si>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</si>
  <si>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</si>
  <si>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</si>
  <si>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</si>
  <si>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</si>
  <si>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</si>
  <si>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</si>
  <si>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</si>
  <si>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</si>
  <si>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</si>
  <si>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</si>
  <si>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</si>
  <si>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</si>
  <si>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</si>
  <si>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</si>
  <si>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</si>
  <si>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</si>
  <si>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</si>
  <si>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</si>
  <si>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</si>
  <si>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</si>
  <si>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</si>
  <si>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</si>
  <si>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</si>
  <si>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</si>
  <si>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</si>
  <si>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</si>
  <si>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</si>
  <si>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</si>
  <si>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</si>
  <si>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</si>
  <si>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</si>
  <si>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</si>
  <si>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</si>
  <si>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</si>
  <si>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</si>
  <si>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</si>
  <si>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</si>
  <si>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</si>
  <si>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</si>
  <si>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</si>
  <si>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</si>
  <si>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</si>
  <si>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</si>
  <si>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</si>
  <si>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</si>
  <si>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</si>
  <si>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</si>
  <si>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</si>
  <si>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</si>
  <si>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</si>
  <si>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</si>
  <si>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</si>
  <si>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</si>
  <si>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</si>
  <si>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</si>
  <si>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</si>
  <si>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</si>
  <si>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</si>
  <si>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</si>
  <si>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</si>
  <si>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</si>
  <si>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</si>
  <si>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</si>
  <si>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</si>
  <si>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</si>
  <si>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</si>
  <si>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</si>
  <si>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</si>
  <si>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</si>
  <si>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</si>
  <si>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</si>
  <si>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</si>
  <si>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</si>
  <si>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</si>
  <si>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</si>
  <si>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</si>
  <si>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</si>
  <si>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</si>
  <si>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</si>
  <si>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</si>
  <si>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</si>
  <si>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</si>
  <si>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</si>
  <si>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</si>
  <si>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</si>
  <si>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</si>
  <si>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</si>
  <si>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</si>
  <si>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</si>
  <si>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</si>
  <si>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</si>
  <si>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</si>
  <si>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</si>
  <si>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</si>
  <si>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</si>
  <si>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</si>
  <si>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</si>
  <si>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</si>
  <si>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</si>
  <si>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</si>
  <si>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</si>
  <si>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</si>
  <si>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</si>
  <si>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</si>
  <si>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</si>
  <si>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</si>
  <si>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</si>
  <si>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</si>
  <si>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</si>
  <si>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</si>
  <si>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</si>
  <si>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</si>
  <si>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</si>
  <si>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</si>
  <si>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</si>
  <si>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</si>
  <si>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</si>
  <si>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</si>
  <si>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</si>
  <si>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</si>
  <si>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</si>
  <si>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</si>
  <si>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</si>
  <si>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</si>
  <si>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</si>
  <si>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</si>
  <si>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</si>
  <si>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</si>
  <si>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</si>
  <si>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</si>
  <si>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</si>
  <si>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</si>
  <si>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</si>
  <si>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</si>
  <si>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</si>
  <si>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</si>
  <si>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</si>
  <si>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</si>
  <si>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</si>
  <si>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</si>
  <si>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</si>
  <si>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</si>
  <si>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</si>
  <si>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</si>
  <si>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</si>
  <si>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</si>
  <si>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</si>
  <si>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</si>
  <si>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</si>
  <si>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</si>
  <si>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</si>
  <si>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</si>
  <si>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</si>
  <si>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</si>
  <si>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</si>
  <si>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</si>
  <si>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</si>
  <si>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</si>
  <si>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</si>
  <si>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</si>
  <si>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</si>
  <si>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</si>
  <si>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</si>
  <si>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</si>
  <si>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</si>
  <si>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</si>
  <si>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</si>
  <si>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</si>
  <si>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</si>
  <si>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</si>
  <si>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</si>
  <si>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</si>
  <si>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</si>
  <si>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</si>
  <si>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</si>
  <si>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</si>
  <si>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</si>
  <si>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</si>
  <si>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</si>
  <si>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</si>
  <si>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</si>
  <si>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</si>
  <si>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</si>
  <si>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</si>
  <si>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</si>
  <si>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</si>
  <si>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</si>
  <si>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</si>
  <si>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</si>
  <si>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</si>
  <si>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</si>
  <si>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</si>
  <si>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</si>
  <si>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</si>
  <si>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</si>
  <si>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</si>
  <si>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</si>
  <si>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</si>
  <si>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</si>
  <si>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</si>
  <si>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</si>
  <si>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</si>
  <si>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</si>
  <si>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</si>
  <si>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</si>
  <si>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</si>
  <si>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</si>
  <si>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</si>
  <si>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</si>
  <si>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</si>
  <si>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</si>
  <si>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</si>
  <si>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</si>
  <si>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</si>
  <si>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</si>
  <si>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</si>
  <si>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</si>
  <si>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</si>
  <si>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</si>
  <si>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</si>
  <si>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</si>
  <si>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</si>
  <si>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</si>
  <si>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</si>
  <si>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</si>
  <si>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</si>
  <si>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</si>
  <si>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</si>
  <si>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</si>
  <si>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</si>
  <si>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</si>
  <si>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</si>
  <si>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</si>
  <si>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</si>
  <si>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</si>
  <si>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</si>
  <si>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</si>
  <si>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</si>
  <si>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</si>
  <si>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</si>
  <si>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</si>
  <si>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</si>
  <si>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</si>
  <si>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</si>
  <si>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</si>
  <si>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</si>
  <si>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</si>
  <si>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</si>
  <si>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</si>
  <si>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</si>
  <si>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</si>
  <si>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</si>
  <si>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</si>
  <si>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</si>
  <si>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</si>
  <si>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</si>
  <si>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</si>
  <si>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</si>
  <si>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</si>
  <si>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</si>
  <si>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</si>
  <si>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</si>
  <si>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</si>
  <si>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</si>
  <si>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</si>
  <si>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</si>
  <si>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</si>
  <si>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</si>
  <si>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</si>
  <si>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</si>
  <si>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</si>
  <si>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</si>
  <si>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</si>
  <si>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</si>
  <si>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</si>
  <si>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</si>
  <si>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</si>
  <si>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</si>
  <si>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</si>
  <si>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</si>
  <si>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</si>
  <si>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</si>
  <si>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</si>
  <si>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</si>
  <si>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</si>
  <si>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</si>
  <si>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</si>
  <si>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</si>
  <si>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</si>
  <si>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</si>
  <si>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</si>
  <si>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</si>
  <si>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</si>
  <si>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</si>
  <si>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</si>
  <si>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</si>
  <si>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</si>
  <si>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</si>
  <si>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</si>
  <si>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</si>
  <si>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</si>
  <si>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</si>
  <si>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</si>
  <si>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</si>
  <si>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</si>
  <si>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</si>
  <si>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</si>
  <si>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</si>
  <si>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</si>
  <si>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</si>
  <si>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</si>
  <si>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</si>
  <si>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</si>
  <si>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</si>
  <si>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</si>
  <si>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</si>
  <si>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</si>
  <si>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</si>
  <si>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</si>
  <si>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</si>
  <si>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</si>
  <si>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</si>
  <si>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</si>
  <si>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</si>
  <si>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</si>
  <si>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</si>
  <si>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</si>
  <si>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</si>
  <si>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</si>
  <si>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</si>
  <si>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</si>
  <si>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</si>
  <si>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</si>
  <si>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</si>
  <si>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</si>
  <si>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</si>
  <si>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</si>
  <si>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</si>
  <si>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</si>
  <si>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</si>
  <si>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</si>
  <si>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</si>
  <si>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</si>
  <si>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</si>
  <si>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</si>
  <si>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</si>
  <si>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</si>
  <si>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</si>
  <si>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</si>
  <si>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</si>
  <si>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</si>
  <si>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</si>
  <si>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</si>
  <si>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</si>
  <si>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</si>
  <si>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</si>
  <si>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</si>
  <si>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</si>
  <si>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</si>
  <si>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</si>
  <si>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</si>
  <si>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</si>
  <si>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</si>
  <si>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</si>
  <si>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</si>
  <si>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</si>
  <si>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</si>
  <si>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</si>
  <si>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</si>
  <si>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</si>
  <si>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</si>
  <si>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</si>
  <si>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</si>
  <si>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</si>
  <si>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</si>
  <si>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</si>
  <si>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</si>
  <si>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</si>
  <si>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</si>
  <si>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</si>
  <si>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</si>
  <si>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</si>
  <si>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</si>
  <si>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</si>
  <si>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</si>
  <si>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</si>
  <si>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</si>
  <si>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</si>
  <si>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</si>
  <si>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</si>
  <si>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</si>
  <si>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</si>
  <si>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</si>
  <si>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</si>
  <si>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</si>
  <si>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</si>
  <si>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</si>
  <si>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</si>
  <si>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</si>
  <si>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</si>
  <si>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</si>
  <si>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</si>
  <si>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</si>
  <si>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</si>
  <si>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</si>
  <si>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</si>
  <si>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</si>
  <si>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</si>
  <si>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</si>
  <si>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</si>
  <si>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</si>
  <si>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</si>
  <si>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</si>
  <si>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</si>
  <si>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</si>
  <si>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</si>
  <si>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</si>
  <si>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</si>
  <si>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</si>
  <si>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</si>
  <si>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</si>
  <si>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</si>
  <si>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</si>
  <si>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</si>
  <si>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</si>
  <si>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</si>
  <si>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</si>
  <si>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</si>
  <si>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</si>
  <si>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</si>
  <si>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</si>
  <si>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</si>
  <si>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</si>
  <si>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</si>
  <si>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</si>
  <si>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</si>
  <si>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</si>
  <si>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</si>
  <si>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</si>
  <si>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</si>
  <si>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</si>
  <si>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</si>
  <si>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</si>
  <si>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</si>
  <si>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</si>
  <si>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</si>
  <si>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</si>
  <si>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</si>
  <si>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</si>
  <si>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</si>
  <si>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</si>
  <si>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</si>
  <si>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</si>
  <si>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</si>
  <si>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</si>
  <si>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</si>
  <si>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</si>
  <si>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</si>
  <si>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</si>
  <si>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</si>
  <si>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</si>
  <si>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</si>
  <si>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</si>
  <si>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</si>
  <si>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</si>
  <si>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</si>
  <si>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</si>
  <si>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</si>
  <si>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</si>
  <si>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</si>
  <si>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</si>
  <si>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</si>
  <si>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</si>
  <si>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</si>
  <si>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</si>
  <si>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</si>
  <si>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</si>
  <si>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</si>
  <si>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</si>
  <si>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</si>
  <si>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</si>
  <si>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</si>
  <si>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</si>
  <si>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</si>
  <si>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</si>
  <si>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</si>
  <si>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</si>
  <si>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</si>
  <si>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</si>
  <si>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</si>
  <si>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</si>
  <si>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</si>
  <si>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</si>
  <si>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</si>
  <si>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</si>
  <si>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</si>
  <si>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</si>
  <si>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</si>
  <si>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</si>
  <si>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</si>
  <si>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</si>
  <si>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</si>
  <si>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</si>
  <si>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</si>
  <si>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</si>
  <si>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</si>
  <si>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</si>
  <si>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</si>
  <si>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</si>
  <si>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</si>
  <si>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</si>
  <si>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</si>
  <si>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</si>
  <si>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</si>
  <si>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</si>
  <si>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</si>
  <si>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</si>
  <si>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</si>
  <si>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</si>
  <si>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</si>
  <si>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</si>
  <si>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</si>
  <si>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</si>
  <si>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</si>
  <si>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</si>
  <si>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</si>
  <si>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</si>
  <si>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</si>
  <si>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</si>
  <si>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</si>
  <si>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</si>
  <si>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</si>
  <si>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</si>
  <si>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</si>
  <si>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</si>
  <si>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</si>
  <si>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</si>
  <si>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</si>
  <si>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</si>
  <si>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</si>
  <si>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</si>
  <si>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</si>
  <si>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</si>
  <si>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</si>
  <si>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</si>
  <si>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</si>
  <si>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</si>
  <si>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</si>
  <si>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</si>
  <si>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</si>
  <si>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</si>
  <si>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</si>
  <si>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</si>
  <si>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</si>
  <si>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</si>
  <si>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</si>
  <si>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</si>
  <si>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</si>
  <si>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</si>
  <si>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</si>
  <si>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</si>
  <si>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</si>
  <si>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</si>
  <si>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</si>
  <si>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</si>
  <si>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</si>
  <si>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</si>
  <si>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</si>
  <si>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</si>
  <si>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</si>
  <si>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</si>
  <si>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</si>
  <si>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</si>
  <si>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</si>
  <si>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</si>
  <si>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</si>
  <si>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</si>
  <si>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</si>
  <si>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</si>
  <si>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</si>
  <si>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</si>
  <si>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</si>
  <si>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</si>
  <si>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</si>
  <si>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</si>
  <si>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</si>
  <si>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</si>
  <si>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</si>
  <si>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</si>
  <si>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</si>
  <si>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</si>
  <si>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</si>
  <si>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</si>
  <si>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</si>
  <si>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</si>
  <si>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</si>
  <si>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</si>
  <si>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</si>
  <si>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</si>
  <si>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</si>
  <si>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</si>
  <si>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</si>
  <si>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</si>
  <si>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</si>
  <si>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</si>
  <si>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</si>
  <si>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</si>
  <si>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</si>
  <si>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</si>
  <si>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</si>
  <si>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</si>
  <si>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</si>
  <si>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</si>
  <si>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</si>
  <si>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</si>
  <si>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</si>
  <si>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</si>
  <si>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</si>
  <si>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</si>
  <si>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</si>
  <si>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</si>
  <si>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</si>
  <si>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</si>
  <si>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</si>
  <si>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</si>
  <si>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</si>
  <si>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</si>
  <si>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</si>
  <si>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</si>
  <si>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</si>
  <si>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</si>
  <si>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</si>
  <si>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</si>
  <si>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</si>
  <si>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</si>
  <si>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</si>
  <si>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</si>
  <si>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</si>
  <si>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</si>
  <si>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</si>
  <si>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</si>
  <si>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</si>
  <si>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</si>
  <si>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</si>
  <si>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</si>
  <si>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</si>
  <si>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</si>
  <si>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</si>
  <si>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</si>
  <si>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</si>
  <si>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</si>
  <si>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</si>
  <si>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</si>
  <si>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</si>
  <si>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</si>
  <si>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</si>
  <si>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</si>
  <si>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</si>
  <si>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</si>
  <si>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</si>
  <si>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</si>
  <si>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</si>
  <si>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</si>
  <si>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</si>
  <si>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</si>
  <si>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</si>
  <si>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</si>
  <si>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</si>
  <si>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</si>
  <si>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</si>
  <si>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</si>
  <si>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</si>
  <si>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</si>
  <si>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</si>
  <si>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</si>
  <si>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</si>
  <si>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</si>
  <si>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</si>
  <si>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</si>
  <si>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</si>
  <si>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</si>
  <si>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</si>
  <si>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</si>
  <si>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</si>
  <si>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</si>
  <si>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</si>
  <si>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</si>
  <si>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</si>
  <si>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</si>
  <si>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</si>
  <si>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</si>
  <si>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</si>
  <si>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</si>
  <si>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</si>
  <si>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</si>
  <si>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</si>
  <si>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</si>
  <si>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</si>
  <si>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</si>
  <si>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</si>
  <si>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</si>
  <si>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</si>
  <si>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</si>
  <si>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</si>
  <si>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</si>
  <si>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</si>
  <si>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</si>
  <si>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</si>
  <si>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</si>
  <si>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</si>
  <si>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</si>
  <si>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</si>
  <si>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</si>
  <si>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</si>
  <si>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</si>
  <si>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</si>
  <si>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</si>
  <si>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</si>
  <si>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</si>
  <si>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</si>
  <si>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</si>
  <si>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</si>
  <si>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</si>
  <si>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</si>
  <si>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</si>
  <si>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</si>
  <si>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</si>
  <si>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</si>
  <si>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</si>
  <si>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</si>
  <si>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</si>
  <si>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</si>
  <si>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</si>
  <si>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</si>
  <si>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</si>
  <si>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</si>
  <si>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</si>
  <si>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</si>
  <si>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</si>
  <si>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</si>
  <si>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</si>
  <si>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</si>
  <si>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</si>
  <si>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</si>
  <si>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</si>
  <si>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</si>
  <si>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</si>
  <si>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</si>
  <si>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</si>
  <si>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</si>
  <si>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</si>
  <si>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</si>
  <si>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</si>
  <si>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</si>
  <si>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</si>
  <si>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</si>
  <si>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</si>
  <si>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</si>
  <si>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</si>
  <si>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</si>
  <si>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</si>
  <si>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</si>
  <si>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</si>
  <si>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</si>
  <si>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</si>
  <si>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</si>
  <si>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</si>
  <si>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</si>
  <si>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</si>
  <si>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</si>
  <si>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</si>
  <si>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</si>
  <si>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</si>
  <si>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</si>
  <si>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</si>
  <si>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</si>
  <si>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</si>
  <si>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</si>
  <si>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</si>
  <si>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</si>
  <si>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</si>
  <si>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</si>
  <si>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</si>
  <si>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</si>
  <si>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</si>
  <si>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</si>
  <si>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</si>
  <si>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</si>
  <si>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</si>
  <si>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</si>
  <si>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</si>
  <si>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</si>
  <si>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</si>
  <si>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</si>
  <si>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</si>
  <si>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</si>
  <si>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</si>
  <si>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</si>
  <si>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</si>
  <si>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</si>
  <si>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</si>
  <si>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</si>
  <si>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</si>
  <si>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</si>
  <si>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</si>
  <si>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</si>
  <si>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</si>
  <si>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</si>
  <si>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</si>
  <si>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</si>
  <si>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</si>
  <si>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</si>
  <si>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</si>
  <si>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</si>
  <si>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</si>
  <si>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</si>
  <si>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</si>
  <si>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</si>
  <si>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</si>
  <si>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</si>
  <si>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</si>
  <si>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</si>
  <si>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</si>
  <si>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</si>
  <si>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</si>
  <si>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</si>
  <si>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</si>
  <si>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</si>
  <si>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</si>
  <si>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</si>
  <si>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</si>
  <si>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</si>
  <si>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</si>
  <si>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</si>
  <si>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</si>
  <si>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</si>
  <si>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</si>
  <si>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</si>
  <si>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</si>
  <si>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</si>
  <si>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</si>
  <si>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</si>
  <si>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</si>
  <si>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</si>
  <si>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</si>
  <si>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</si>
  <si>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</si>
  <si>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</si>
  <si>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</si>
  <si>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</si>
  <si>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</si>
  <si>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</si>
  <si>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</si>
  <si>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</si>
  <si>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</si>
  <si>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</si>
  <si>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</si>
  <si>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</si>
  <si>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</si>
  <si>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</si>
  <si>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</si>
  <si>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</si>
  <si>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</si>
  <si>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</si>
  <si>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</si>
  <si>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</si>
  <si>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</si>
  <si>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</si>
  <si>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</si>
  <si>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</si>
  <si>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</si>
  <si>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</si>
  <si>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</si>
  <si>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</si>
  <si>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</si>
  <si>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</si>
  <si>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</si>
  <si>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</si>
  <si>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</si>
  <si>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</si>
  <si>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</si>
  <si>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</si>
  <si>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</si>
  <si>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</si>
  <si>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</si>
  <si>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</si>
  <si>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</si>
  <si>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</si>
  <si>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</si>
  <si>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</si>
  <si>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</si>
  <si>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</si>
  <si>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</si>
  <si>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</si>
  <si>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</si>
  <si>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</si>
  <si>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</si>
  <si>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</si>
  <si>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</si>
  <si>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</si>
  <si>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</si>
  <si>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</si>
  <si>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</si>
  <si>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</si>
  <si>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</si>
  <si>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</si>
  <si>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</si>
  <si>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</si>
  <si>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</si>
  <si>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</si>
  <si>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</si>
  <si>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</si>
  <si>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</si>
  <si>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</si>
  <si>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</si>
  <si>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</si>
  <si>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</si>
  <si>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</si>
  <si>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</si>
  <si>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</si>
  <si>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</si>
  <si>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</si>
  <si>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</si>
  <si>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</si>
  <si>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</si>
  <si>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</si>
  <si>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</si>
  <si>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</si>
  <si>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</si>
  <si>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</si>
  <si>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</si>
  <si>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</si>
  <si>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</si>
  <si>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</si>
  <si>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</si>
  <si>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</si>
  <si>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</si>
  <si>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</si>
  <si>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</si>
  <si>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</si>
  <si>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</si>
  <si>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</si>
  <si>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</si>
  <si>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</si>
  <si>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</si>
  <si>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</si>
  <si>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</si>
  <si>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</si>
  <si>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</si>
  <si>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</si>
  <si>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</si>
  <si>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</si>
  <si>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</si>
  <si>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</si>
  <si>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</si>
  <si>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</si>
  <si>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</si>
  <si>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</si>
  <si>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</si>
  <si>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</si>
  <si>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</si>
  <si>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</si>
  <si>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</si>
  <si>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</si>
  <si>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</si>
  <si>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</si>
  <si>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</si>
  <si>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</si>
  <si>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</si>
  <si>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</si>
  <si>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</si>
  <si>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</si>
  <si>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</si>
  <si>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</si>
  <si>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</si>
  <si>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</si>
  <si>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</si>
  <si>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</si>
  <si>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</si>
  <si>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</si>
  <si>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</si>
  <si>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</si>
  <si>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</si>
  <si>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</si>
  <si>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</si>
  <si>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</si>
  <si>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</si>
  <si>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</si>
  <si>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</si>
  <si>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</si>
  <si>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</si>
  <si>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</si>
  <si>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</si>
  <si>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</si>
  <si>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</si>
  <si>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</si>
  <si>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</si>
  <si>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</si>
  <si>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</si>
  <si>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</si>
  <si>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</si>
  <si>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</si>
  <si>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</si>
  <si>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</si>
  <si>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</si>
  <si>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</si>
  <si>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</si>
  <si>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</si>
  <si>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</si>
  <si>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</si>
  <si>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</si>
  <si>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</si>
  <si>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</si>
  <si>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</si>
  <si>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</si>
  <si>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</si>
  <si>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</si>
  <si>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</si>
  <si>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</si>
  <si>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</si>
  <si>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</si>
  <si>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</si>
  <si>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</si>
  <si>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</si>
  <si>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</si>
  <si>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</si>
  <si>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</si>
  <si>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</si>
  <si>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</si>
  <si>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</si>
  <si>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</si>
  <si>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</si>
  <si>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</si>
  <si>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</si>
  <si>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</si>
  <si>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</si>
  <si>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</si>
  <si>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</si>
  <si>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</si>
  <si>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</si>
  <si>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</si>
  <si>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</si>
  <si>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</si>
  <si>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</si>
  <si>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</si>
  <si>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</si>
  <si>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</si>
  <si>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</si>
  <si>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</si>
  <si>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</si>
  <si>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</si>
  <si>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</si>
  <si>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</si>
  <si>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</si>
  <si>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</si>
  <si>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</si>
  <si>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</si>
  <si>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</si>
  <si>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</si>
  <si>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</si>
  <si>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</si>
  <si>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</si>
  <si>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</si>
  <si>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</si>
  <si>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</si>
  <si>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</si>
  <si>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</si>
  <si>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</si>
  <si>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</si>
  <si>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</si>
  <si>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</si>
  <si>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</si>
  <si>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</si>
  <si>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</si>
  <si>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</si>
  <si>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</si>
  <si>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</si>
  <si>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</si>
  <si>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</si>
  <si>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</si>
  <si>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</si>
  <si>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</si>
  <si>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</si>
  <si>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</si>
  <si>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</si>
  <si>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</si>
  <si>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</si>
  <si>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</si>
  <si>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</si>
  <si>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</si>
  <si>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</si>
  <si>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</si>
  <si>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</si>
  <si>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</si>
  <si>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</si>
  <si>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</si>
  <si>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</si>
  <si>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</si>
  <si>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</si>
  <si>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</si>
  <si>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</si>
  <si>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</si>
  <si>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</si>
  <si>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</si>
  <si>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</si>
  <si>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</si>
  <si>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</si>
  <si>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</si>
  <si>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</si>
  <si>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</si>
  <si>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</si>
  <si>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</si>
  <si>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</si>
  <si>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</si>
  <si>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</si>
  <si>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</si>
  <si>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</si>
  <si>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</si>
  <si>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</si>
  <si>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</si>
  <si>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</si>
  <si>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</si>
  <si>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</si>
  <si>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</si>
  <si>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</si>
  <si>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</si>
  <si>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</si>
  <si>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</si>
  <si>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</si>
  <si>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</si>
  <si>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</si>
  <si>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</si>
  <si>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</si>
  <si>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</si>
  <si>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</si>
  <si>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</si>
  <si>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</si>
  <si>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</si>
  <si>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</si>
  <si>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</si>
  <si>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</si>
  <si>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</si>
  <si>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</si>
  <si>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</si>
  <si>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</si>
  <si>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</si>
  <si>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</si>
  <si>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</si>
  <si>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</si>
  <si>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</si>
  <si>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</si>
  <si>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</si>
  <si>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</si>
  <si>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</si>
  <si>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</si>
  <si>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</si>
  <si>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</si>
  <si>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</si>
  <si>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</si>
  <si>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</si>
  <si>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</si>
  <si>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</si>
  <si>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</si>
  <si>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</si>
  <si>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</si>
  <si>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</si>
  <si>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</si>
  <si>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</si>
  <si>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</si>
  <si>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</si>
  <si>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</si>
  <si>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</si>
  <si>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</si>
  <si>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</si>
  <si>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</si>
  <si>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</si>
  <si>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</si>
  <si>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</si>
  <si>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</si>
  <si>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</si>
  <si>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</si>
  <si>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</si>
  <si>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</si>
  <si>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</si>
  <si>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</si>
  <si>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</si>
  <si>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</si>
  <si>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</si>
  <si>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</si>
  <si>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</si>
  <si>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</si>
  <si>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</si>
  <si>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</si>
  <si>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</si>
  <si>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</si>
  <si>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</si>
  <si>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</si>
  <si>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</si>
  <si>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</si>
  <si>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</si>
  <si>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</si>
  <si>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</si>
  <si>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</si>
  <si>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</si>
  <si>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</si>
  <si>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</si>
  <si>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</si>
  <si>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</si>
  <si>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</si>
  <si>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</si>
  <si>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</si>
  <si>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</si>
  <si>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</si>
  <si>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</si>
  <si>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</si>
  <si>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</si>
  <si>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</si>
  <si>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</si>
  <si>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</si>
  <si>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</si>
  <si>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</si>
  <si>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</si>
  <si>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</si>
  <si>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</si>
  <si>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</si>
  <si>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</si>
  <si>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</si>
  <si>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</si>
  <si>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</si>
  <si>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</si>
  <si>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</si>
  <si>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</si>
  <si>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</si>
  <si>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</si>
  <si>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</si>
  <si>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</si>
  <si>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</si>
  <si>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</si>
  <si>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</si>
  <si>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</si>
  <si>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</si>
  <si>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</si>
  <si>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</si>
  <si>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</si>
  <si>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</si>
  <si>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</si>
  <si>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</si>
  <si>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</si>
  <si>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</si>
  <si>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</si>
  <si>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</si>
  <si>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</si>
  <si>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</si>
  <si>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</si>
  <si>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</si>
  <si>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</si>
  <si>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</si>
  <si>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</si>
  <si>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</si>
  <si>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</si>
  <si>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</si>
  <si>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</si>
  <si>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</si>
  <si>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</si>
  <si>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</si>
  <si>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</si>
  <si>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</si>
  <si>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</si>
  <si>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</si>
  <si>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</si>
  <si>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</si>
  <si>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</si>
  <si>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</si>
  <si>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</si>
  <si>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</si>
  <si>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</si>
  <si>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</si>
  <si>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</si>
  <si>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</si>
  <si>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</si>
  <si>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</si>
  <si>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</si>
  <si>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</si>
  <si>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</si>
  <si>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</si>
  <si>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</si>
  <si>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</si>
  <si>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</si>
  <si>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</si>
  <si>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</si>
  <si>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</si>
  <si>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</si>
  <si>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</si>
  <si>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</si>
  <si>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</si>
  <si>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</si>
  <si>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</si>
  <si>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</si>
  <si>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</si>
  <si>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</si>
  <si>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</si>
  <si>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</si>
  <si>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</si>
  <si>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</si>
  <si>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</si>
  <si>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</si>
  <si>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</si>
  <si>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</si>
  <si>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</si>
  <si>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</si>
  <si>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</si>
  <si>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</si>
  <si>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</si>
  <si>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</si>
  <si>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</si>
  <si>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</si>
  <si>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</si>
  <si>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</si>
  <si>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</si>
  <si>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</si>
  <si>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</si>
  <si>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</si>
  <si>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</si>
  <si>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</si>
  <si>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</si>
  <si>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</si>
  <si>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</si>
  <si>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</si>
  <si>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</si>
  <si>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</si>
  <si>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</si>
  <si>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</si>
  <si>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</si>
  <si>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</si>
  <si>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</si>
  <si>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</si>
  <si>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</si>
  <si>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</si>
  <si>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</si>
  <si>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</si>
  <si>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</si>
  <si>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</si>
  <si>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</si>
  <si>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</si>
  <si>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</si>
  <si>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</si>
  <si>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</si>
  <si>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</si>
  <si>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</si>
  <si>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</si>
  <si>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</si>
  <si>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</si>
  <si>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</si>
  <si>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</si>
  <si>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</si>
  <si>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</si>
  <si>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</si>
  <si>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</si>
  <si>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</si>
  <si>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</si>
  <si>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</si>
  <si>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</si>
  <si>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</si>
  <si>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</si>
  <si>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</si>
  <si>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</si>
  <si>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</si>
  <si>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</si>
  <si>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</si>
  <si>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</si>
  <si>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</si>
  <si>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</si>
  <si>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</si>
  <si>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</si>
  <si>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</si>
  <si>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</si>
  <si>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</si>
  <si>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</si>
  <si>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</si>
  <si>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</si>
  <si>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</si>
  <si>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</si>
  <si>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</si>
  <si>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</si>
  <si>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</si>
  <si>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</si>
  <si>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</si>
  <si>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</si>
  <si>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</si>
  <si>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</si>
  <si>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</si>
  <si>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</si>
  <si>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</si>
  <si>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</si>
  <si>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</si>
  <si>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</si>
  <si>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</si>
  <si>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</si>
  <si>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</si>
  <si>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</si>
  <si>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</si>
  <si>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</si>
  <si>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</si>
  <si>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</si>
  <si>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</si>
  <si>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</si>
  <si>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</si>
  <si>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</si>
  <si>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</si>
  <si>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</si>
  <si>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</si>
  <si>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</si>
  <si>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</si>
  <si>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</si>
  <si>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</si>
  <si>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</si>
  <si>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</si>
  <si>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</si>
  <si>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</si>
  <si>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</si>
  <si>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</si>
  <si>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</si>
  <si>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</si>
  <si>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</si>
  <si>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</si>
  <si>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</si>
  <si>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</si>
  <si>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</si>
  <si>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</si>
  <si>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</si>
  <si>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</si>
  <si>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</si>
  <si>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</si>
  <si>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</si>
  <si>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</si>
  <si>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</si>
  <si>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</si>
  <si>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</si>
  <si>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</si>
  <si>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</si>
  <si>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</si>
  <si>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</si>
  <si>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</si>
  <si>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</si>
  <si>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</si>
  <si>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</si>
  <si>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</si>
  <si>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</si>
  <si>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</si>
  <si>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</si>
  <si>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</si>
  <si>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</si>
  <si>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</si>
  <si>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</si>
  <si>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</si>
  <si>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</si>
  <si>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</si>
  <si>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</si>
  <si>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</si>
  <si>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</si>
  <si>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</si>
  <si>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</si>
  <si>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</si>
  <si>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</si>
  <si>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</si>
  <si>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</si>
  <si>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</si>
  <si>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</si>
  <si>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</si>
  <si>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</si>
  <si>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</si>
  <si>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</si>
  <si>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</si>
  <si>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</si>
  <si>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</si>
  <si>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</si>
  <si>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</si>
  <si>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</si>
  <si>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</si>
  <si>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</si>
  <si>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</si>
  <si>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</si>
  <si>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</si>
  <si>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</si>
  <si>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</si>
  <si>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</si>
  <si>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</si>
  <si>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</si>
  <si>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</si>
  <si>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</si>
  <si>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</si>
  <si>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</si>
  <si>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</si>
  <si>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</si>
  <si>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</si>
  <si>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</si>
  <si>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</si>
  <si>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</si>
  <si>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</si>
  <si>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</si>
  <si>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</si>
  <si>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</si>
  <si>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</si>
  <si>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</si>
  <si>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</si>
  <si>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</si>
  <si>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</si>
  <si>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</si>
  <si>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</si>
  <si>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</si>
  <si>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</si>
  <si>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</si>
  <si>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</si>
  <si>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</si>
  <si>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</si>
  <si>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</si>
  <si>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</si>
  <si>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</si>
  <si>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</si>
  <si>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</si>
  <si>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</si>
  <si>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</si>
  <si>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</si>
  <si>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</si>
  <si>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</si>
  <si>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</si>
  <si>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</si>
  <si>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</si>
  <si>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</si>
  <si>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</si>
  <si>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</si>
  <si>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</si>
  <si>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</si>
  <si>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</si>
  <si>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</si>
  <si>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</si>
  <si>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</si>
  <si>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</si>
  <si>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</si>
  <si>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</si>
  <si>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</si>
  <si>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</si>
  <si>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</si>
  <si>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</si>
  <si>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</si>
  <si>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</si>
  <si>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</si>
  <si>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</si>
  <si>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</si>
  <si>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</si>
  <si>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</si>
  <si>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</si>
  <si>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</si>
  <si>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</si>
  <si>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</si>
  <si>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</si>
  <si>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</si>
  <si>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</si>
  <si>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</si>
  <si>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</si>
  <si>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</si>
  <si>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</si>
  <si>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</si>
  <si>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</si>
  <si>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</si>
  <si>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</si>
  <si>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</si>
  <si>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</si>
  <si>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</si>
  <si>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</si>
  <si>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</si>
  <si>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</si>
  <si>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</si>
  <si>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</si>
  <si>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</si>
  <si>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</si>
  <si>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</si>
  <si>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</si>
  <si>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</si>
  <si>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</si>
  <si>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</si>
  <si>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</si>
  <si>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</si>
  <si>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</si>
  <si>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</si>
  <si>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</si>
  <si>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</si>
  <si>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</si>
  <si>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</si>
  <si>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</si>
  <si>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</si>
  <si>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</si>
  <si>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</si>
  <si>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</si>
  <si>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</si>
  <si>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</si>
  <si>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</si>
  <si>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</si>
  <si>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</si>
  <si>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</si>
  <si>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</si>
  <si>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</si>
  <si>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</si>
  <si>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</si>
  <si>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</si>
  <si>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</si>
  <si>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</si>
  <si>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</si>
  <si>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</si>
  <si>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</si>
  <si>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</si>
  <si>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</si>
  <si>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</si>
  <si>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</si>
  <si>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</si>
  <si>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</si>
  <si>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</si>
  <si>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</si>
  <si>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</si>
  <si>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</si>
  <si>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</si>
  <si>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</si>
  <si>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</si>
  <si>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</si>
  <si>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</si>
  <si>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</si>
  <si>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</si>
  <si>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</si>
  <si>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</si>
  <si>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</si>
  <si>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</si>
  <si>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</si>
  <si>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</si>
  <si>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</si>
  <si>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</si>
  <si>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</si>
  <si>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</si>
  <si>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</si>
  <si>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</si>
  <si>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</si>
  <si>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</si>
  <si>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</si>
  <si>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</si>
  <si>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</si>
  <si>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抵押价格</t>
  </si>
  <si>
    <t>其他：</t>
  </si>
  <si>
    <t>企业</t>
  </si>
  <si>
    <t>一致</t>
  </si>
  <si>
    <t>符合</t>
  </si>
  <si>
    <t>商业</t>
  </si>
  <si>
    <t>否</t>
  </si>
  <si>
    <t>序号</t>
    <phoneticPr fontId="229" type="noConversion"/>
  </si>
  <si>
    <t>土地使用权人</t>
    <phoneticPr fontId="229" type="noConversion"/>
  </si>
  <si>
    <t>广东聚廷峰酒店有限公司</t>
    <phoneticPr fontId="229" type="noConversion"/>
  </si>
  <si>
    <t>肇庆高尔夫发展有限公司</t>
    <phoneticPr fontId="229" type="noConversion"/>
  </si>
  <si>
    <t>坐落</t>
    <phoneticPr fontId="229" type="noConversion"/>
  </si>
  <si>
    <t>高要市回龙镇肇庆高尔夫度假村</t>
    <phoneticPr fontId="229" type="noConversion"/>
  </si>
  <si>
    <r>
      <t>4</t>
    </r>
    <r>
      <rPr>
        <sz val="11"/>
        <color theme="1"/>
        <rFont val="宋体"/>
        <family val="3"/>
        <charset val="134"/>
        <scheme val="minor"/>
      </rPr>
      <t>41283112211GB00010</t>
    </r>
    <phoneticPr fontId="229" type="noConversion"/>
  </si>
  <si>
    <t>441283112211GB00009</t>
    <phoneticPr fontId="229" type="noConversion"/>
  </si>
  <si>
    <r>
      <t>4</t>
    </r>
    <r>
      <rPr>
        <sz val="11"/>
        <color theme="1"/>
        <rFont val="宋体"/>
        <family val="3"/>
        <charset val="134"/>
        <scheme val="minor"/>
      </rPr>
      <t>41283112211GB99997</t>
    </r>
    <phoneticPr fontId="229" type="noConversion"/>
  </si>
  <si>
    <t>地号</t>
    <phoneticPr fontId="229" type="noConversion"/>
  </si>
  <si>
    <t>土地用途</t>
    <phoneticPr fontId="229" type="noConversion"/>
  </si>
  <si>
    <t>商业金融业用地</t>
    <phoneticPr fontId="229" type="noConversion"/>
  </si>
  <si>
    <t>规划用途</t>
    <phoneticPr fontId="229" type="noConversion"/>
  </si>
  <si>
    <t>娱乐康体</t>
    <phoneticPr fontId="229" type="noConversion"/>
  </si>
  <si>
    <t>商务金融</t>
    <phoneticPr fontId="229" type="noConversion"/>
  </si>
  <si>
    <t>容积率</t>
    <phoneticPr fontId="229" type="noConversion"/>
  </si>
  <si>
    <t>规划建筑面积</t>
    <phoneticPr fontId="229" type="noConversion"/>
  </si>
  <si>
    <t>合计</t>
    <phoneticPr fontId="229" type="noConversion"/>
  </si>
  <si>
    <t>高要区土地案例</t>
    <phoneticPr fontId="229"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</si>
  <si>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</si>
  <si>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</si>
  <si>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</si>
  <si>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</si>
  <si>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</si>
  <si>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</si>
  <si>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</si>
  <si>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</si>
  <si>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</si>
  <si>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</si>
  <si>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</si>
  <si>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</si>
  <si>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</si>
  <si>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</si>
  <si>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</si>
  <si>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肇庆市</t>
  </si>
  <si>
    <t>商业/办公用地</t>
  </si>
  <si>
    <t>≤4</t>
  </si>
  <si>
    <t>拍卖</t>
  </si>
  <si>
    <t>零售商业用地</t>
  </si>
  <si>
    <t>2019-12-03</t>
  </si>
  <si>
    <t>广东中铁西江高科投资有限公司</t>
  </si>
  <si>
    <t>3星</t>
  </si>
  <si>
    <t>小湘镇地段</t>
  </si>
  <si>
    <t>小于或等于1.2</t>
  </si>
  <si>
    <t>商务金融用地</t>
  </si>
  <si>
    <t>2019-09-03</t>
  </si>
  <si>
    <t>肇庆瑞世界旅游开发有限公司</t>
  </si>
  <si>
    <t>2星</t>
  </si>
  <si>
    <t>小于或等于2</t>
  </si>
  <si>
    <t>莲塘镇江滨新城地段</t>
  </si>
  <si>
    <t>2019-06-11</t>
  </si>
  <si>
    <t>肇庆中铁西江高科投资有限公司</t>
  </si>
  <si>
    <t>计算容积率</t>
    <phoneticPr fontId="229" type="noConversion"/>
  </si>
  <si>
    <t>肇庆市鼎湖区29区,北为平川路,东为鼎湖大道,西为振兴路,南为同兴路</t>
  </si>
  <si>
    <t>小于或等于1.5</t>
  </si>
  <si>
    <t>2020-07-08</t>
  </si>
  <si>
    <t>肇庆市鼎湖区合盛石化能源有限公司</t>
  </si>
  <si>
    <t>肇庆新区核心商务区中央绿轴西侧,新安大道以北、绿轴南一路以东、绿轴南二路以西、罗水路以南</t>
  </si>
  <si>
    <t>≤6</t>
  </si>
  <si>
    <t>2019-12-17</t>
  </si>
  <si>
    <t>肇庆新区公共物业管理服务有限公司</t>
  </si>
  <si>
    <t>肇庆新区文化创意产业区,XQ-WL2402地块,鼎湖大道以北侧、兴肇大道西侧、规划24米路以南,现状进港路以东</t>
  </si>
  <si>
    <t>≤0.3</t>
  </si>
  <si>
    <t>娱乐用地</t>
  </si>
  <si>
    <t>肇庆华侨城小镇文旅开发有限公司</t>
  </si>
  <si>
    <t>肇庆新区创新与总部经济区</t>
  </si>
  <si>
    <t>2019-11-19</t>
  </si>
  <si>
    <t>肇庆新区东进石化能源有限公司</t>
  </si>
  <si>
    <t>鼎湖60区60-03-A、60-03-B、|60-03-C号地块,西北为星湖大道,东北为春秀路,东南为鼎湖大道,西南为桃源路</t>
  </si>
  <si>
    <t>≤2.6</t>
  </si>
  <si>
    <t>万达地产集团有限公司</t>
  </si>
  <si>
    <t>肇庆新区创新与总部经济区,吉庆大道以东,迎宾路以南、总部一路以北、创新路北侧</t>
  </si>
  <si>
    <t>≤3.9</t>
  </si>
  <si>
    <t>2018-11-27</t>
  </si>
  <si>
    <t>民商华南(广东)投资有限公司</t>
  </si>
  <si>
    <t>|端州区28区大鼎二路北侧地段</t>
  </si>
  <si>
    <t>≤3</t>
  </si>
  <si>
    <t>2019-11-20</t>
  </si>
  <si>
    <t>广东心里程置业集团有限公司</t>
  </si>
  <si>
    <t>5星</t>
  </si>
  <si>
    <t>端州区28区大鼎路北侧地段</t>
  </si>
  <si>
    <t>挂牌</t>
  </si>
  <si>
    <t>2018-02-08</t>
  </si>
  <si>
    <t>肇庆市端州区三榕光电元器件开发投资有限公司</t>
  </si>
  <si>
    <t>端州区63区工农北路东侧地段</t>
  </si>
  <si>
    <t>≤6.2</t>
  </si>
  <si>
    <t>批发零售、商务金融、文体娱乐用地</t>
  </si>
  <si>
    <t>2018-01-05</t>
  </si>
  <si>
    <t>肇庆华伦世纪酒店有限公司</t>
  </si>
  <si>
    <t>端州区双龙片区飞龙路北侧、龙腾路西侧地段</t>
  </si>
  <si>
    <t>2017-11-14</t>
  </si>
  <si>
    <t>肇庆市端州区高新产业园开发投资有限公司</t>
  </si>
  <si>
    <t>端州区</t>
    <phoneticPr fontId="229" type="noConversion"/>
  </si>
  <si>
    <t>鼎湖区土地案例</t>
    <phoneticPr fontId="229" type="noConversion"/>
  </si>
  <si>
    <t>端州区土地案例</t>
    <phoneticPr fontId="229" type="noConversion"/>
  </si>
  <si>
    <t>成交楼面价(元/㎡)</t>
    <phoneticPr fontId="229" type="noConversion"/>
  </si>
  <si>
    <t>成交地面价(元/㎡)</t>
    <phoneticPr fontId="229" type="noConversion"/>
  </si>
  <si>
    <t>莲塘镇江滨新城地段</t>
    <phoneticPr fontId="229" type="noConversion"/>
  </si>
  <si>
    <t>江滨新城</t>
    <phoneticPr fontId="229" type="noConversion"/>
  </si>
  <si>
    <t>地上</t>
  </si>
  <si>
    <t>办公楼</t>
  </si>
  <si>
    <t>商业用房</t>
  </si>
  <si>
    <t>商业用房</t>
    <phoneticPr fontId="8" type="noConversion"/>
  </si>
  <si>
    <t>不动产收益法</t>
  </si>
  <si>
    <r>
      <rPr>
        <sz val="11"/>
        <color indexed="8"/>
        <rFont val="宋体"/>
        <family val="3"/>
        <charset val="134"/>
      </rPr>
      <t>设定</t>
    </r>
    <r>
      <rPr>
        <sz val="11"/>
        <color indexed="8"/>
        <rFont val="Arial"/>
        <family val="2"/>
      </rPr>
      <t>10</t>
    </r>
    <r>
      <rPr>
        <sz val="11"/>
        <color indexed="8"/>
        <rFont val="宋体"/>
        <family val="3"/>
        <charset val="134"/>
      </rPr>
      <t>层</t>
    </r>
    <phoneticPr fontId="4" type="noConversion"/>
  </si>
  <si>
    <t>土地（套用方法）</t>
  </si>
  <si>
    <t>钢混</t>
  </si>
  <si>
    <t>按租金收入计税</t>
  </si>
  <si>
    <t>押一</t>
  </si>
  <si>
    <t>正常</t>
  </si>
  <si>
    <t>楼面地价</t>
  </si>
  <si>
    <t>较差</t>
  </si>
  <si>
    <t>较差</t>
    <phoneticPr fontId="22" type="noConversion"/>
  </si>
  <si>
    <t>较差</t>
    <phoneticPr fontId="4" type="noConversion"/>
  </si>
  <si>
    <t>一般</t>
    <phoneticPr fontId="4" type="noConversion"/>
  </si>
  <si>
    <t>支路</t>
    <phoneticPr fontId="4" type="noConversion"/>
  </si>
  <si>
    <t>一般</t>
  </si>
  <si>
    <t>六通</t>
  </si>
  <si>
    <t>六通</t>
    <phoneticPr fontId="27" type="noConversion"/>
  </si>
  <si>
    <t>五通</t>
    <phoneticPr fontId="27" type="noConversion"/>
  </si>
  <si>
    <t>四通</t>
    <phoneticPr fontId="27" type="noConversion"/>
  </si>
  <si>
    <t>三通</t>
  </si>
  <si>
    <t>三通</t>
    <phoneticPr fontId="27" type="noConversion"/>
  </si>
  <si>
    <t>较好</t>
  </si>
  <si>
    <t>比较法-住宅、综合</t>
  </si>
  <si>
    <t>剩余法-待开发</t>
  </si>
  <si>
    <t>办公</t>
    <phoneticPr fontId="229" type="noConversion"/>
  </si>
  <si>
    <r>
      <t>新房9500</t>
    </r>
    <r>
      <rPr>
        <sz val="11"/>
        <color theme="1"/>
        <rFont val="宋体"/>
        <family val="3"/>
        <charset val="134"/>
        <scheme val="minor"/>
      </rPr>
      <t>二手房5000-8000</t>
    </r>
    <phoneticPr fontId="229" type="noConversion"/>
  </si>
  <si>
    <t>规则</t>
  </si>
  <si>
    <t>较规则</t>
  </si>
  <si>
    <t>较不规则</t>
  </si>
  <si>
    <t>不规则</t>
  </si>
  <si>
    <t>批发零售</t>
  </si>
  <si>
    <t>商务金融</t>
  </si>
  <si>
    <t>康体娱乐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</si>
</sst>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indexed="8"/>
      <name val="Arial"/>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cellStyleXfs>
  <cellXfs count="362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146" fillId="0" borderId="2" xfId="0" applyFont="1" applyBorder="1">
      <alignment vertical="center"/>
    </xf>
    <xf numFmtId="0" fontId="0" fillId="0" borderId="2" xfId="0" applyBorder="1">
      <alignment vertical="center"/>
    </xf>
    <xf numFmtId="2" fontId="0" fillId="0" borderId="2" xfId="0" applyNumberFormat="1" applyBorder="1">
      <alignment vertical="center"/>
    </xf>
    <xf numFmtId="0" fontId="146" fillId="0" borderId="0" xfId="0" applyFont="1" applyAlignment="1"/>
    <xf numFmtId="0" fontId="0" fillId="0" borderId="0" xfId="0" applyAlignment="1">
      <alignment horizontal="center" vertical="center" wrapText="1"/>
    </xf>
    <xf numFmtId="0" fontId="0" fillId="0" borderId="0" xfId="0" applyFont="1" applyAlignment="1">
      <alignment horizontal="center" vertical="center" wrapText="1"/>
    </xf>
    <xf numFmtId="0" fontId="146" fillId="0" borderId="0" xfId="0" applyFont="1" applyAlignment="1">
      <alignment horizontal="center" vertical="center" wrapText="1"/>
    </xf>
    <xf numFmtId="0" fontId="0" fillId="20" borderId="0" xfId="0" applyFill="1" applyAlignment="1"/>
    <xf numFmtId="0" fontId="0" fillId="20" borderId="0" xfId="0" applyFill="1">
      <alignment vertical="center"/>
    </xf>
    <xf numFmtId="0" fontId="146" fillId="20" borderId="0" xfId="0" applyFont="1" applyFill="1" applyAlignment="1"/>
    <xf numFmtId="180" fontId="281" fillId="13" borderId="0" xfId="0" applyNumberFormat="1" applyFont="1" applyFill="1" applyAlignment="1" applyProtection="1">
      <alignment horizontal="center" vertical="center"/>
      <protection locked="0"/>
    </xf>
    <xf numFmtId="0" fontId="282" fillId="0" borderId="12" xfId="0" applyFont="1" applyBorder="1" applyAlignment="1" applyProtection="1">
      <alignment horizontal="center" vertical="center" wrapText="1"/>
      <protection locked="0"/>
    </xf>
    <xf numFmtId="49" fontId="282" fillId="0" borderId="12" xfId="0" applyNumberFormat="1" applyFont="1" applyBorder="1" applyAlignment="1" applyProtection="1">
      <alignment horizontal="center" vertical="center" wrapText="1"/>
      <protection locked="0"/>
    </xf>
    <xf numFmtId="0" fontId="282" fillId="0" borderId="46" xfId="0" applyFont="1" applyBorder="1" applyAlignment="1" applyProtection="1">
      <alignment horizontal="center" vertical="center"/>
      <protection locked="0"/>
    </xf>
    <xf numFmtId="49" fontId="282" fillId="0" borderId="12" xfId="0" applyNumberFormat="1"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79" fontId="72" fillId="0" borderId="2" xfId="0" applyNumberFormat="1" applyFont="1" applyFill="1" applyBorder="1" applyAlignment="1" applyProtection="1">
      <alignment horizontal="center" vertical="center" wrapText="1"/>
      <protection locked="0"/>
    </xf>
    <xf numFmtId="0" fontId="104" fillId="20" borderId="64" xfId="0" applyFont="1" applyFill="1" applyBorder="1" applyAlignment="1" applyProtection="1">
      <alignment vertical="center" wrapText="1"/>
    </xf>
    <xf numFmtId="0" fontId="76" fillId="20" borderId="16" xfId="0" applyFont="1" applyFill="1" applyBorder="1" applyAlignment="1" applyProtection="1">
      <alignment horizontal="left" vertical="center" wrapText="1"/>
    </xf>
    <xf numFmtId="0" fontId="72" fillId="20" borderId="20" xfId="0" applyNumberFormat="1" applyFont="1" applyFill="1" applyBorder="1" applyAlignment="1" applyProtection="1">
      <alignment horizontal="center" vertical="center" wrapText="1"/>
      <protection locked="0"/>
    </xf>
    <xf numFmtId="0" fontId="72" fillId="20" borderId="12" xfId="0" applyNumberFormat="1" applyFont="1" applyFill="1" applyBorder="1" applyAlignment="1" applyProtection="1">
      <alignment horizontal="center" vertical="center" wrapText="1"/>
    </xf>
    <xf numFmtId="49" fontId="72" fillId="20" borderId="50" xfId="0" applyNumberFormat="1" applyFont="1" applyFill="1" applyBorder="1" applyAlignment="1" applyProtection="1">
      <alignment horizontal="center" vertical="center" wrapText="1"/>
      <protection locked="0"/>
    </xf>
    <xf numFmtId="49" fontId="72" fillId="20" borderId="20" xfId="0" applyNumberFormat="1" applyFont="1" applyFill="1" applyBorder="1" applyAlignment="1" applyProtection="1">
      <alignment horizontal="center" vertical="center" wrapText="1"/>
      <protection locked="0"/>
    </xf>
    <xf numFmtId="0" fontId="100" fillId="20" borderId="9" xfId="0" applyNumberFormat="1" applyFont="1" applyFill="1" applyBorder="1" applyAlignment="1" applyProtection="1">
      <alignment horizontal="center" vertical="center" wrapText="1"/>
    </xf>
    <xf numFmtId="182" fontId="105" fillId="20" borderId="0" xfId="0" applyNumberFormat="1" applyFont="1" applyFill="1" applyBorder="1" applyAlignment="1" applyProtection="1">
      <alignment horizontal="center" vertical="center" wrapText="1"/>
      <protection locked="0"/>
    </xf>
    <xf numFmtId="0" fontId="102" fillId="20" borderId="0" xfId="0" applyFont="1" applyFill="1" applyBorder="1" applyAlignment="1" applyProtection="1">
      <alignment horizontal="center" vertical="center"/>
      <protection locked="0"/>
    </xf>
    <xf numFmtId="0" fontId="105" fillId="20" borderId="18" xfId="0" applyFont="1" applyFill="1" applyBorder="1" applyAlignment="1" applyProtection="1">
      <alignment horizontal="center" vertical="center"/>
      <protection locked="0"/>
    </xf>
    <xf numFmtId="0" fontId="72" fillId="20" borderId="2" xfId="0" applyFont="1" applyFill="1" applyBorder="1" applyAlignment="1" applyProtection="1">
      <alignment horizontal="center" vertical="center" wrapText="1"/>
    </xf>
    <xf numFmtId="187" fontId="72" fillId="20" borderId="5" xfId="0" applyNumberFormat="1" applyFont="1" applyFill="1" applyBorder="1" applyAlignment="1" applyProtection="1">
      <alignment horizontal="center" vertical="center"/>
    </xf>
    <xf numFmtId="49" fontId="72" fillId="20" borderId="9" xfId="0" applyNumberFormat="1" applyFont="1" applyFill="1" applyBorder="1" applyAlignment="1" applyProtection="1">
      <alignment horizontal="center" vertical="center"/>
    </xf>
    <xf numFmtId="0" fontId="72" fillId="20" borderId="3" xfId="0" applyFont="1" applyFill="1" applyBorder="1" applyAlignment="1" applyProtection="1">
      <alignment horizontal="center" vertical="center"/>
    </xf>
    <xf numFmtId="0" fontId="72" fillId="20" borderId="2" xfId="0" applyFont="1" applyFill="1" applyBorder="1" applyAlignment="1" applyProtection="1">
      <alignment horizontal="center" vertical="center"/>
    </xf>
    <xf numFmtId="0" fontId="72" fillId="20" borderId="2" xfId="0" applyNumberFormat="1" applyFont="1" applyFill="1" applyBorder="1" applyAlignment="1" applyProtection="1">
      <alignment horizontal="center" vertical="center"/>
    </xf>
    <xf numFmtId="0" fontId="105" fillId="20" borderId="0" xfId="0" applyFont="1" applyFill="1" applyAlignment="1" applyProtection="1">
      <alignment horizontal="center"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9" borderId="0" xfId="0" applyFont="1" applyFill="1" applyAlignment="1">
      <alignment horizontal="center" vertical="center"/>
    </xf>
    <xf numFmtId="0" fontId="0" fillId="9" borderId="0" xfId="0" applyFill="1" applyAlignment="1">
      <alignment horizontal="center" vertic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79" fontId="257" fillId="0" borderId="2" xfId="14" applyNumberFormat="1" applyBorder="1" applyAlignment="1" applyProtection="1">
      <alignment horizontal="left" vertical="center"/>
      <protection locked="0"/>
    </xf>
    <xf numFmtId="180" fontId="257" fillId="0" borderId="2" xfId="14" applyNumberFormat="1" applyBorder="1" applyAlignment="1" applyProtection="1">
      <alignment horizontal="left" vertical="center"/>
      <protection locked="0"/>
    </xf>
    <xf numFmtId="0" fontId="145" fillId="0" borderId="74" xfId="1" applyNumberFormat="1" applyFont="1" applyFill="1" applyBorder="1" applyAlignment="1" applyProtection="1">
      <alignment horizontal="center" vertical="center" wrapText="1"/>
      <protection locked="0"/>
    </xf>
    <xf numFmtId="0" fontId="85" fillId="0" borderId="44" xfId="1" applyNumberFormat="1" applyFont="1" applyFill="1" applyBorder="1" applyAlignment="1" applyProtection="1">
      <alignment horizontal="center" vertical="center" wrapText="1"/>
      <protection locked="0"/>
    </xf>
    <xf numFmtId="0" fontId="72" fillId="0" borderId="2" xfId="1" applyNumberFormat="1" applyFont="1" applyFill="1" applyBorder="1" applyAlignment="1" applyProtection="1">
      <alignment horizontal="center" vertical="center" wrapText="1"/>
      <protection locked="0"/>
    </xf>
    <xf numFmtId="0" fontId="150" fillId="0" borderId="2" xfId="1" applyNumberFormat="1" applyFont="1" applyFill="1" applyBorder="1" applyAlignment="1" applyProtection="1">
      <alignment horizontal="center" vertical="center" wrapText="1"/>
      <protection locked="0"/>
    </xf>
    <xf numFmtId="0" fontId="85" fillId="0" borderId="71" xfId="1" applyNumberFormat="1" applyFont="1" applyFill="1" applyBorder="1" applyAlignment="1" applyProtection="1">
      <alignment horizontal="center" vertical="center" wrapText="1"/>
      <protection locked="0"/>
    </xf>
    <xf numFmtId="0" fontId="145" fillId="0" borderId="6" xfId="1" applyNumberFormat="1" applyFont="1" applyFill="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常规 9 2" xfId="16" xr:uid="{1F321F7B-29E0-44C1-A401-01A2F55B687B}"/>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31</xdr:row>
      <xdr:rowOff>0</xdr:rowOff>
    </xdr:from>
    <xdr:to>
      <xdr:col>9</xdr:col>
      <xdr:colOff>400828</xdr:colOff>
      <xdr:row>55</xdr:row>
      <xdr:rowOff>0</xdr:rowOff>
    </xdr:to>
    <xdr:pic>
      <xdr:nvPicPr>
        <xdr:cNvPr id="3" name="图片 2">
          <a:extLst>
            <a:ext uri="{FF2B5EF4-FFF2-40B4-BE49-F238E27FC236}">
              <a16:creationId xmlns:a16="http://schemas.microsoft.com/office/drawing/2014/main" id="{77D86C17-3D4B-4EFA-BC9E-32425B8923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86100" y="5829300"/>
          <a:ext cx="6373003" cy="4114800"/>
        </a:xfrm>
        <a:prstGeom prst="rect">
          <a:avLst/>
        </a:prstGeom>
      </xdr:spPr>
    </xdr:pic>
    <xdr:clientData/>
  </xdr:twoCellAnchor>
  <xdr:twoCellAnchor editAs="oneCell">
    <xdr:from>
      <xdr:col>10</xdr:col>
      <xdr:colOff>0</xdr:colOff>
      <xdr:row>30</xdr:row>
      <xdr:rowOff>0</xdr:rowOff>
    </xdr:from>
    <xdr:to>
      <xdr:col>18</xdr:col>
      <xdr:colOff>390525</xdr:colOff>
      <xdr:row>72</xdr:row>
      <xdr:rowOff>113782</xdr:rowOff>
    </xdr:to>
    <xdr:pic>
      <xdr:nvPicPr>
        <xdr:cNvPr id="5" name="图片 4">
          <a:extLst>
            <a:ext uri="{FF2B5EF4-FFF2-40B4-BE49-F238E27FC236}">
              <a16:creationId xmlns:a16="http://schemas.microsoft.com/office/drawing/2014/main" id="{75E8E51C-A8D1-485A-A8E1-352F01AA4D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44100" y="5657850"/>
          <a:ext cx="7772400" cy="7314682"/>
        </a:xfrm>
        <a:prstGeom prst="rect">
          <a:avLst/>
        </a:prstGeom>
      </xdr:spPr>
    </xdr:pic>
    <xdr:clientData/>
  </xdr:twoCellAnchor>
  <xdr:twoCellAnchor editAs="oneCell">
    <xdr:from>
      <xdr:col>10</xdr:col>
      <xdr:colOff>0</xdr:colOff>
      <xdr:row>74</xdr:row>
      <xdr:rowOff>0</xdr:rowOff>
    </xdr:from>
    <xdr:to>
      <xdr:col>18</xdr:col>
      <xdr:colOff>390525</xdr:colOff>
      <xdr:row>113</xdr:row>
      <xdr:rowOff>103986</xdr:rowOff>
    </xdr:to>
    <xdr:pic>
      <xdr:nvPicPr>
        <xdr:cNvPr id="7" name="图片 6">
          <a:extLst>
            <a:ext uri="{FF2B5EF4-FFF2-40B4-BE49-F238E27FC236}">
              <a16:creationId xmlns:a16="http://schemas.microsoft.com/office/drawing/2014/main" id="{0993EF0C-B5F4-4E0D-9145-D7B49A6175C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44100" y="13201650"/>
          <a:ext cx="7772400" cy="6790536"/>
        </a:xfrm>
        <a:prstGeom prst="rect">
          <a:avLst/>
        </a:prstGeom>
      </xdr:spPr>
    </xdr:pic>
    <xdr:clientData/>
  </xdr:twoCellAnchor>
  <xdr:twoCellAnchor editAs="oneCell">
    <xdr:from>
      <xdr:col>10</xdr:col>
      <xdr:colOff>0</xdr:colOff>
      <xdr:row>115</xdr:row>
      <xdr:rowOff>0</xdr:rowOff>
    </xdr:from>
    <xdr:to>
      <xdr:col>18</xdr:col>
      <xdr:colOff>390525</xdr:colOff>
      <xdr:row>154</xdr:row>
      <xdr:rowOff>43414</xdr:rowOff>
    </xdr:to>
    <xdr:pic>
      <xdr:nvPicPr>
        <xdr:cNvPr id="9" name="图片 8">
          <a:extLst>
            <a:ext uri="{FF2B5EF4-FFF2-40B4-BE49-F238E27FC236}">
              <a16:creationId xmlns:a16="http://schemas.microsoft.com/office/drawing/2014/main" id="{D38D1C7B-8DE9-4D2D-BDE7-5EC94E78233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44100" y="20231100"/>
          <a:ext cx="7772400" cy="67299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903;&#24198;&#22303;&#22320;&#35810;&#20215;&#23567;&#23481;&#31215;&#2957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土地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J3">
            <v>33333.300000000003</v>
          </cell>
          <cell r="K3">
            <v>66666.600000000006</v>
          </cell>
          <cell r="P3">
            <v>5188</v>
          </cell>
        </row>
        <row r="8">
          <cell r="J8">
            <v>1475064.4</v>
          </cell>
          <cell r="K8">
            <v>115312.37</v>
          </cell>
          <cell r="P8">
            <v>80479</v>
          </cell>
        </row>
      </sheetData>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出让国有建设用地使用权抵押价格预评估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受贵公司委托，我公司对出让国有建设用地使用权抵押价格进行了预评估。</v>
      </c>
      <c r="AM6" s="2619"/>
    </row>
    <row r="7" spans="1:55" s="2593" customFormat="1">
      <c r="A7" s="2594" t="s">
        <v>2638</v>
      </c>
      <c r="B7" s="2595" t="str">
        <f>'预评函-1'!A6</f>
        <v>估价对象为使用的、位于出让国有建设用地使用权。根据《国有土地使用证》[]，估价对象（分摊）出让国有建设用地使用权面积为33333.3平方米。根据《建设工程规划许可证》[]、《出让合同》[]，估价对象规划建筑面积为66666.6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2020年9月27日（评估专业人员勘察现场之日）</v>
      </c>
    </row>
    <row r="11" spans="1:55" s="2593" customFormat="1">
      <c r="A11" s="2594" t="s">
        <v>2646</v>
      </c>
      <c r="B11" s="2595" t="str">
        <f>'预评函-1'!A14</f>
        <v>根据，本次评估估价对象证载（地类）用途为。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根据《国有土地使用证》[]，估价对象（分摊）出让国有建设用地使用权面积为33333.3平方米。根据《建设工程规划许可证》[]、《出让合同》[]，估价对象规划建筑面积为66666.6平方米。</v>
      </c>
    </row>
    <row r="16" spans="1:55" s="2593" customFormat="1">
      <c r="A16" s="2594" t="s">
        <v>2650</v>
      </c>
      <c r="B16" s="2595" t="str">
        <f>'预评函-1'!A22</f>
        <v>本次估价对象为出让国有建设用地使用权，证载土地终止日期为商业2035年8月30日。截至估价期日，出让国有建设用地使用权剩余土地使用年限为。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估价期日：2020年9月27日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33333.300000000003</v>
      </c>
    </row>
    <row r="44" spans="1:2">
      <c r="A44" s="2594" t="s">
        <v>2721</v>
      </c>
      <c r="B44" s="2595" t="str">
        <f>'预评函-2'!O3</f>
        <v>规划建筑面积/㎡</v>
      </c>
    </row>
    <row r="45" spans="1:2">
      <c r="A45" s="2594" t="s">
        <v>2703</v>
      </c>
      <c r="B45" s="2595">
        <f>'预评函-2'!O5</f>
        <v>66666.600000000006</v>
      </c>
    </row>
    <row r="46" spans="1:2">
      <c r="A46" s="2594" t="s">
        <v>2704</v>
      </c>
      <c r="B46" s="2595">
        <f ca="1">'预评函-2'!P5</f>
        <v>1556</v>
      </c>
    </row>
    <row r="47" spans="1:2">
      <c r="A47" s="2594" t="s">
        <v>2705</v>
      </c>
      <c r="B47" s="2595">
        <f ca="1">'预评函-2'!Q5</f>
        <v>778</v>
      </c>
    </row>
    <row r="48" spans="1:2">
      <c r="A48" s="2594" t="s">
        <v>2706</v>
      </c>
      <c r="B48" s="2595">
        <f ca="1">'预评函-2'!R5</f>
        <v>5188</v>
      </c>
    </row>
    <row r="49" spans="1:2">
      <c r="A49" s="2594" t="s">
        <v>2722</v>
      </c>
      <c r="B49" s="2595" t="str">
        <f>'预评函-2'!A6</f>
        <v>抵押价格</v>
      </c>
    </row>
    <row r="50" spans="1:2">
      <c r="A50" s="2594" t="s">
        <v>2707</v>
      </c>
      <c r="B50" s="2595">
        <f ca="1">'预评函-2'!R6</f>
        <v>5188</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F11" sqref="F11"/>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44" t="str">
        <f>IF(B10="北京市","北京市",C10)&amp;F10&amp;B16&amp;"国有建设用地使用权"&amp;B9&amp;"预评估"</f>
        <v>出让国有建设用地使用权抵押价格预评估</v>
      </c>
      <c r="C1" s="3345"/>
      <c r="D1" s="3345"/>
      <c r="E1" s="3345"/>
      <c r="F1" s="3345"/>
      <c r="G1" s="3345"/>
      <c r="H1" s="3345"/>
      <c r="I1" s="3346"/>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v>44101</v>
      </c>
      <c r="C3" s="2996" t="s">
        <v>1984</v>
      </c>
      <c r="D3" s="1589">
        <v>44101</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2991</v>
      </c>
      <c r="C4" s="1759">
        <f ca="1">SUMIF(土地估价师,B4,估价师及机构信息!E3:E16)</f>
        <v>2002110030</v>
      </c>
      <c r="D4" s="1756" t="s">
        <v>2992</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2945</v>
      </c>
      <c r="C8" s="1598"/>
      <c r="D8" s="3350" t="s">
        <v>1933</v>
      </c>
      <c r="E8" s="1757" t="s">
        <v>2993</v>
      </c>
      <c r="F8" s="1599"/>
      <c r="G8" s="3074"/>
      <c r="H8" s="3074"/>
      <c r="I8" s="3077"/>
      <c r="J8" s="3073"/>
      <c r="K8" s="3056"/>
      <c r="L8" s="3052"/>
      <c r="M8" s="3052"/>
      <c r="N8" s="3053"/>
      <c r="O8" s="3054"/>
      <c r="P8" s="3053"/>
      <c r="Q8" s="3053"/>
      <c r="R8" s="3053"/>
      <c r="S8" s="3053"/>
      <c r="T8" s="3053"/>
      <c r="U8" s="3053"/>
    </row>
    <row r="9" spans="1:21" ht="15" thickBot="1">
      <c r="A9" s="2998" t="s">
        <v>1932</v>
      </c>
      <c r="B9" s="1600" t="s">
        <v>2993</v>
      </c>
      <c r="C9" s="1601"/>
      <c r="D9" s="3351"/>
      <c r="E9" s="1600" t="s">
        <v>943</v>
      </c>
      <c r="F9" s="1664"/>
      <c r="G9" s="3078"/>
      <c r="H9" s="3078"/>
      <c r="I9" s="3079"/>
      <c r="J9" s="3073"/>
      <c r="K9" s="3056"/>
      <c r="L9" s="3052"/>
      <c r="M9" s="3052"/>
      <c r="N9" s="3053"/>
      <c r="O9" s="3054"/>
      <c r="P9" s="3053"/>
      <c r="Q9" s="3053"/>
      <c r="R9" s="3053"/>
      <c r="S9" s="3053"/>
      <c r="T9" s="3053"/>
      <c r="U9" s="3053"/>
    </row>
    <row r="10" spans="1:21" ht="15" thickTop="1">
      <c r="A10" s="2999" t="s">
        <v>1988</v>
      </c>
      <c r="B10" s="1640" t="s">
        <v>2994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2995</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7"/>
      <c r="C12" s="3348"/>
      <c r="D12" s="3349"/>
      <c r="E12" s="1620" t="s">
        <v>2050</v>
      </c>
      <c r="F12" s="3365"/>
      <c r="G12" s="3366"/>
      <c r="H12" s="3366"/>
      <c r="I12" s="3367"/>
      <c r="J12" s="3073"/>
      <c r="K12" s="3056"/>
      <c r="L12" s="3052"/>
      <c r="M12" s="3052"/>
      <c r="N12" s="3053"/>
      <c r="O12" s="3054"/>
      <c r="P12" s="3053"/>
      <c r="Q12" s="3053"/>
      <c r="R12" s="3053"/>
      <c r="S12" s="3053"/>
      <c r="T12" s="3053"/>
      <c r="U12" s="3053"/>
    </row>
    <row r="13" spans="1:21">
      <c r="A13" s="1611" t="s">
        <v>2048</v>
      </c>
      <c r="B13" s="3347"/>
      <c r="C13" s="3348"/>
      <c r="D13" s="3349"/>
      <c r="E13" s="1620" t="s">
        <v>2050</v>
      </c>
      <c r="F13" s="3365"/>
      <c r="G13" s="3366"/>
      <c r="H13" s="3366"/>
      <c r="I13" s="3367"/>
      <c r="J13" s="3073"/>
      <c r="K13" s="3056"/>
      <c r="L13" s="3052"/>
      <c r="M13" s="3052"/>
      <c r="N13" s="3053"/>
      <c r="O13" s="3054"/>
      <c r="P13" s="3053"/>
      <c r="Q13" s="3053"/>
      <c r="R13" s="3053"/>
      <c r="S13" s="3053"/>
      <c r="T13" s="3053"/>
      <c r="U13" s="3053"/>
    </row>
    <row r="14" spans="1:21">
      <c r="A14" s="1588" t="s">
        <v>2051</v>
      </c>
      <c r="B14" s="1620"/>
      <c r="C14" s="1758" t="s">
        <v>2996</v>
      </c>
      <c r="D14" s="1654" t="str">
        <f>IF(C14="不一致","是否符合证载地类范围","")</f>
        <v/>
      </c>
      <c r="E14" s="1620"/>
      <c r="F14" s="1704" t="s">
        <v>2997</v>
      </c>
      <c r="G14" s="1649"/>
      <c r="H14" s="1649"/>
      <c r="I14" s="1751"/>
      <c r="J14" s="3073"/>
      <c r="K14" s="3056"/>
      <c r="L14" s="3052"/>
      <c r="M14" s="3052"/>
      <c r="N14" s="3053"/>
      <c r="O14" s="3054"/>
      <c r="P14" s="3053"/>
      <c r="Q14" s="3053"/>
      <c r="R14" s="3053"/>
      <c r="S14" s="3053"/>
      <c r="T14" s="3053"/>
      <c r="U14" s="3053"/>
    </row>
    <row r="15" spans="1:21" hidden="1">
      <c r="A15" s="2486"/>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2940</v>
      </c>
      <c r="C16" s="1620" t="s">
        <v>1937</v>
      </c>
      <c r="D16" s="2487" t="s">
        <v>1938</v>
      </c>
      <c r="E16" s="1643" t="s">
        <v>2998</v>
      </c>
      <c r="F16" s="1643"/>
      <c r="G16" s="1643"/>
      <c r="H16" s="1643"/>
      <c r="I16" s="1610" t="s">
        <v>1943</v>
      </c>
      <c r="J16" s="3073"/>
      <c r="K16" s="2310" t="str">
        <f>IF(D17="","",D16&amp;TEXT(D17,"yyyy年m月d日;;"))</f>
        <v/>
      </c>
      <c r="L16" s="1620" t="str">
        <f>IF(OR(K16="",M16=""),"","、")</f>
        <v/>
      </c>
      <c r="M16" s="2310" t="str">
        <f>IF(E17="","",E16&amp;TEXT(E17,"yyyy年m月d日;;"))</f>
        <v>商业2035年8月30日</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80"/>
      <c r="B17" s="1607"/>
      <c r="C17" s="3002" t="s">
        <v>1944</v>
      </c>
      <c r="D17" s="1621"/>
      <c r="E17" s="1621">
        <v>49551</v>
      </c>
      <c r="F17" s="1621"/>
      <c r="G17" s="1621"/>
      <c r="H17" s="1621"/>
      <c r="I17" s="1621"/>
      <c r="J17" s="3073"/>
      <c r="K17" s="3051" t="str">
        <f>CONCATENATE(K16,L16,M16,N16,O16,P16,Q16,R16,S16,T16,,U16)</f>
        <v>商业2035年8月30日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14.93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2"/>
      <c r="E20" s="3363"/>
      <c r="F20" s="3363"/>
      <c r="G20" s="3363"/>
      <c r="H20" s="3363"/>
      <c r="I20" s="3364"/>
      <c r="J20" s="3073"/>
      <c r="K20" s="3056"/>
      <c r="L20" s="3052"/>
      <c r="M20" s="3052"/>
      <c r="N20" s="3053"/>
      <c r="O20" s="3054"/>
      <c r="P20" s="3053"/>
      <c r="Q20" s="3053"/>
      <c r="R20" s="3053"/>
      <c r="S20" s="3053"/>
      <c r="T20" s="3053"/>
      <c r="U20" s="3053"/>
    </row>
    <row r="21" spans="1:21">
      <c r="A21" s="1680" t="s">
        <v>1947</v>
      </c>
      <c r="B21" s="1681" t="s">
        <v>1948</v>
      </c>
      <c r="C21" s="1676">
        <f>'数据-汇总表'!E3</f>
        <v>66666.600000000006</v>
      </c>
      <c r="D21" s="1677" t="s">
        <v>1949</v>
      </c>
      <c r="E21" s="3352" t="s">
        <v>1987</v>
      </c>
      <c r="F21" s="3353"/>
      <c r="G21" s="3353"/>
      <c r="H21" s="3353"/>
      <c r="I21" s="3354"/>
      <c r="J21" s="3073"/>
      <c r="K21" s="3056"/>
      <c r="L21" s="3052"/>
      <c r="M21" s="3052"/>
      <c r="N21" s="3053"/>
      <c r="O21" s="3054"/>
      <c r="P21" s="3053"/>
      <c r="Q21" s="3053"/>
      <c r="R21" s="3053"/>
      <c r="S21" s="3053"/>
      <c r="T21" s="3053"/>
      <c r="U21" s="3053"/>
    </row>
    <row r="22" spans="1:21">
      <c r="A22" s="2801" t="s">
        <v>943</v>
      </c>
      <c r="B22" s="1588" t="s">
        <v>1950</v>
      </c>
      <c r="C22" s="1610">
        <f>'数据-汇总表'!D3</f>
        <v>33333.300000000003</v>
      </c>
      <c r="D22" s="1611" t="s">
        <v>1949</v>
      </c>
      <c r="E22" s="3352" t="s">
        <v>2868</v>
      </c>
      <c r="F22" s="3353"/>
      <c r="G22" s="3353"/>
      <c r="H22" s="3353"/>
      <c r="I22" s="3354"/>
      <c r="J22" s="3073"/>
      <c r="K22" s="3056"/>
      <c r="L22" s="3052"/>
      <c r="M22" s="3052"/>
      <c r="N22" s="3053"/>
      <c r="O22" s="3054"/>
      <c r="P22" s="3053"/>
      <c r="Q22" s="3053"/>
      <c r="R22" s="3053"/>
      <c r="S22" s="3053"/>
      <c r="T22" s="3053"/>
      <c r="U22" s="3053"/>
    </row>
    <row r="23" spans="1:21" ht="43.5" thickBot="1">
      <c r="A23" s="1682" t="s">
        <v>1951</v>
      </c>
      <c r="B23" s="1622" t="s">
        <v>1952</v>
      </c>
      <c r="C23" s="1623" t="s">
        <v>2999</v>
      </c>
      <c r="D23" s="1624" t="s">
        <v>1953</v>
      </c>
      <c r="E23" s="1625" t="s">
        <v>2999</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55" t="s">
        <v>1955</v>
      </c>
      <c r="C24" s="3356"/>
      <c r="D24" s="3357" t="s">
        <v>1956</v>
      </c>
      <c r="E24" s="3358"/>
      <c r="F24" s="1629" t="s">
        <v>1957</v>
      </c>
      <c r="G24" s="3073"/>
      <c r="H24" s="3073"/>
      <c r="I24" s="3077"/>
      <c r="J24" s="3073"/>
      <c r="K24" s="3343"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4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4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2"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3"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3"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4"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70" t="s">
        <v>1990</v>
      </c>
      <c r="B31" s="1681" t="s">
        <v>1991</v>
      </c>
      <c r="C31" s="3368"/>
      <c r="D31" s="3369"/>
      <c r="E31" s="3073"/>
      <c r="F31" s="3073"/>
      <c r="G31" s="3073"/>
      <c r="H31" s="3073"/>
      <c r="I31" s="3077"/>
      <c r="J31" s="3073"/>
      <c r="K31" s="3059"/>
      <c r="L31" s="3053"/>
      <c r="M31" s="3053"/>
      <c r="N31" s="3053"/>
      <c r="O31" s="3053"/>
      <c r="P31" s="3053"/>
      <c r="Q31" s="3053"/>
      <c r="R31" s="3053"/>
      <c r="S31" s="3053"/>
      <c r="T31" s="3053"/>
      <c r="U31" s="3053"/>
    </row>
    <row r="32" spans="1:21">
      <c r="A32" s="3370"/>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70"/>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71"/>
      <c r="B34" s="1588" t="s">
        <v>1994</v>
      </c>
      <c r="C34" s="3372"/>
      <c r="D34" s="3373"/>
      <c r="E34" s="3073"/>
      <c r="F34" s="3073"/>
      <c r="G34" s="3073"/>
      <c r="H34" s="3073"/>
      <c r="I34" s="3077"/>
      <c r="J34" s="3073"/>
      <c r="K34" s="3059"/>
      <c r="L34" s="3053"/>
      <c r="M34" s="3053"/>
      <c r="N34" s="3053"/>
      <c r="O34" s="3053"/>
      <c r="P34" s="3053"/>
      <c r="Q34" s="3053"/>
      <c r="R34" s="3053"/>
      <c r="S34" s="3053"/>
      <c r="T34" s="3053"/>
      <c r="U34" s="3053"/>
    </row>
    <row r="35" spans="1:28">
      <c r="A35" s="3374" t="s">
        <v>839</v>
      </c>
      <c r="B35" s="1643"/>
      <c r="C35" s="1690" t="str">
        <f>IF(B35="场地平整","——","具体情况：")</f>
        <v>具体情况：</v>
      </c>
      <c r="D35" s="3376"/>
      <c r="E35" s="3377"/>
      <c r="F35" s="3377"/>
      <c r="G35" s="3377"/>
      <c r="H35" s="3377"/>
      <c r="I35" s="3378"/>
      <c r="J35" s="3073"/>
      <c r="K35" s="3060"/>
      <c r="L35" s="3052"/>
      <c r="M35" s="3052"/>
      <c r="N35" s="3053"/>
      <c r="O35" s="3054"/>
      <c r="P35" s="3053"/>
      <c r="Q35" s="3053"/>
      <c r="R35" s="3053"/>
      <c r="S35" s="3053"/>
      <c r="T35" s="3053"/>
      <c r="U35" s="3053"/>
    </row>
    <row r="36" spans="1:28">
      <c r="A36" s="3370"/>
      <c r="B36" s="3379" t="s">
        <v>2043</v>
      </c>
      <c r="C36" s="3380"/>
      <c r="D36" s="1706"/>
      <c r="E36" s="3381"/>
      <c r="F36" s="3381"/>
      <c r="G36" s="1611" t="str">
        <f>IF(B35="场地未平整","估价结果处理","")</f>
        <v/>
      </c>
      <c r="H36" s="3382"/>
      <c r="I36" s="3382"/>
      <c r="J36" s="3073"/>
      <c r="K36" s="3060"/>
      <c r="L36" s="3052"/>
      <c r="M36" s="3052"/>
      <c r="N36" s="3053"/>
      <c r="O36" s="3054"/>
      <c r="P36" s="3053"/>
      <c r="Q36" s="3053"/>
      <c r="R36" s="3053"/>
      <c r="S36" s="3053"/>
      <c r="T36" s="3053"/>
      <c r="U36" s="3053"/>
    </row>
    <row r="37" spans="1:28" ht="28.5">
      <c r="A37" s="3370"/>
      <c r="B37" s="3359"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70"/>
      <c r="B38" s="3360"/>
      <c r="C38" s="1596" t="s">
        <v>842</v>
      </c>
      <c r="D38" s="1705">
        <f>ROUNDDOWN(MIN(('数据-取费表'!$B$2-D37)/365,D34),1)</f>
        <v>120.8</v>
      </c>
      <c r="E38" s="1648" t="s">
        <v>843</v>
      </c>
      <c r="F38" s="3073"/>
      <c r="G38" s="3073"/>
      <c r="H38" s="3073"/>
      <c r="I38" s="3077"/>
      <c r="J38" s="3073"/>
      <c r="K38" s="3060"/>
      <c r="L38" s="3053"/>
      <c r="M38" s="3053"/>
      <c r="N38" s="3053"/>
      <c r="O38" s="3053"/>
      <c r="P38" s="3053"/>
      <c r="Q38" s="3053"/>
      <c r="R38" s="3053"/>
      <c r="S38" s="3053"/>
      <c r="T38" s="3053"/>
      <c r="U38" s="3053"/>
    </row>
    <row r="39" spans="1:28">
      <c r="A39" s="3371"/>
      <c r="B39" s="3361"/>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2" t="s">
        <v>1974</v>
      </c>
      <c r="T40" s="1652" t="str">
        <f>NUMBERSTRING(7-K40,1)&amp;"通"</f>
        <v>七通</v>
      </c>
      <c r="U40" s="3053"/>
    </row>
    <row r="41" spans="1:28">
      <c r="A41" s="1590"/>
      <c r="B41" s="3375" t="s">
        <v>1712</v>
      </c>
      <c r="C41" s="3375"/>
      <c r="D41" s="3375"/>
      <c r="E41" s="3375"/>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2"/>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土地信息!H3</f>
        <v>33333.300000000003</v>
      </c>
      <c r="B3" s="22">
        <f>IF(C3="否",G5-AT5,G5)</f>
        <v>66666.600000000006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66666.600000000006</v>
      </c>
      <c r="H5" s="27">
        <f t="shared" ref="H5:AT5" si="0">SUM(H13:H641)</f>
        <v>66666.600000000006</v>
      </c>
      <c r="I5" s="27">
        <f t="shared" si="0"/>
        <v>66666.600000000006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66666.600000000006</v>
      </c>
      <c r="BA5" s="29">
        <f t="shared" si="1"/>
        <v>66666.600000000006</v>
      </c>
      <c r="BB5" s="29">
        <f t="shared" si="1"/>
        <v>66666.600000000006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33333.300000000003</v>
      </c>
      <c r="F6" s="27" t="s">
        <v>1</v>
      </c>
      <c r="G6" s="27" t="s">
        <v>2</v>
      </c>
      <c r="H6" s="33">
        <f>SUMIF(I$12:AB$12,"总值",I6:AB6)</f>
        <v>33333.300000000003</v>
      </c>
      <c r="I6" s="27">
        <f t="shared" ref="I6:AB6" si="2">ROUND($A$3*I5/$B$3,2)</f>
        <v>33333.300000000003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33333.300000000003</v>
      </c>
      <c r="AZ6" s="27" t="s">
        <v>3</v>
      </c>
      <c r="BA6" s="27">
        <f>ROUND($AY$6*BA5/$AZ$5,2)</f>
        <v>33333.300000000003</v>
      </c>
      <c r="BB6" s="27">
        <f>ROUND($AY$6*BB5/$AZ$5,2)</f>
        <v>33333.300000000003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3099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2998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3100</v>
      </c>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33333.300000000003</v>
      </c>
      <c r="F13" s="81"/>
      <c r="G13" s="82">
        <f t="shared" ref="G13:G20" si="7">H13+AC13+AT13</f>
        <v>66666.600000000006</v>
      </c>
      <c r="H13" s="33">
        <f t="shared" ref="H13:H20" si="8">SUMIF(I$12:AB$12,"总值",I13:AB13)</f>
        <v>66666.600000000006</v>
      </c>
      <c r="I13" s="2730">
        <f>土地信息!I3</f>
        <v>66666.600000000006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33333.300000000003</v>
      </c>
      <c r="AZ13" s="27">
        <f t="shared" ref="AZ13:AZ20" si="12">BA13+BL13</f>
        <v>66666.600000000006</v>
      </c>
      <c r="BA13" s="27">
        <f t="shared" ref="BA13:BA20" si="13">SUM(BB13:BK13)</f>
        <v>66666.600000000006</v>
      </c>
      <c r="BB13" s="27">
        <f t="shared" ref="BB13:BB20" si="14">IF($D13="是",I13-J13,0)</f>
        <v>66666.600000000006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3" t="s">
        <v>0</v>
      </c>
      <c r="B1" s="3383" t="s">
        <v>4</v>
      </c>
      <c r="C1" s="3383" t="s">
        <v>5</v>
      </c>
      <c r="D1" s="3384" t="s">
        <v>40</v>
      </c>
      <c r="E1" s="3384" t="s">
        <v>41</v>
      </c>
      <c r="F1" s="3384"/>
      <c r="G1" s="3384"/>
      <c r="H1" s="3384"/>
      <c r="I1" s="3384"/>
      <c r="J1" s="3384"/>
      <c r="K1" s="3384"/>
      <c r="L1" s="3384"/>
      <c r="M1" s="3384"/>
    </row>
    <row r="2" spans="1:13" ht="27" customHeight="1">
      <c r="A2" s="3383"/>
      <c r="B2" s="3383"/>
      <c r="C2" s="3383"/>
      <c r="D2" s="3384"/>
      <c r="E2" s="3384" t="s">
        <v>24</v>
      </c>
      <c r="F2" s="3384" t="s">
        <v>25</v>
      </c>
      <c r="G2" s="3384"/>
      <c r="H2" s="3384"/>
      <c r="I2" s="3384"/>
      <c r="J2" s="3384" t="s">
        <v>26</v>
      </c>
      <c r="K2" s="3384"/>
      <c r="L2" s="3384"/>
      <c r="M2" s="3384"/>
    </row>
    <row r="3" spans="1:13" ht="28.5">
      <c r="A3" s="3383"/>
      <c r="B3" s="3383"/>
      <c r="C3" s="3383"/>
      <c r="D3" s="3384"/>
      <c r="E3" s="33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4" t="s">
        <v>42</v>
      </c>
      <c r="B9" s="3384"/>
      <c r="C9" s="33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I7" sqref="I7"/>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94" t="s">
        <v>203</v>
      </c>
      <c r="B2" s="3394"/>
      <c r="C2" s="3394"/>
      <c r="D2" s="1889" t="s">
        <v>204</v>
      </c>
      <c r="E2" s="106" t="s">
        <v>205</v>
      </c>
      <c r="F2" s="3082"/>
      <c r="G2" s="1181"/>
      <c r="H2" s="1182"/>
      <c r="I2" s="1183" t="s">
        <v>849</v>
      </c>
      <c r="J2" s="3082"/>
      <c r="K2" s="3082"/>
      <c r="L2" s="3082"/>
      <c r="M2" s="3082"/>
      <c r="N2" s="3082"/>
      <c r="O2" s="3082"/>
      <c r="P2" s="3082"/>
    </row>
    <row r="3" spans="1:16" ht="15.75" thickBot="1">
      <c r="A3" s="3395" t="s">
        <v>206</v>
      </c>
      <c r="B3" s="3395"/>
      <c r="C3" s="3395"/>
      <c r="D3" s="107">
        <f>'数据-基础表'!AY6</f>
        <v>33333.300000000003</v>
      </c>
      <c r="E3" s="107">
        <f>'数据-基础表'!AZ5</f>
        <v>66666.600000000006</v>
      </c>
      <c r="F3" s="3082"/>
      <c r="G3" s="278" t="s">
        <v>850</v>
      </c>
      <c r="H3" s="273" t="s">
        <v>851</v>
      </c>
      <c r="I3" s="1890">
        <f>ROUND('数据-基础表'!B3/'数据-基础表'!A3,2)</f>
        <v>2</v>
      </c>
      <c r="J3" s="3082"/>
      <c r="K3" s="3082"/>
      <c r="L3" s="3082"/>
      <c r="M3" s="3082"/>
      <c r="N3" s="3082"/>
      <c r="O3" s="3082"/>
      <c r="P3" s="3082"/>
    </row>
    <row r="4" spans="1:16" ht="15">
      <c r="A4" s="3396"/>
      <c r="B4" s="3397"/>
      <c r="C4" s="3398"/>
      <c r="D4" s="108" t="s">
        <v>204</v>
      </c>
      <c r="E4" s="109" t="s">
        <v>205</v>
      </c>
      <c r="F4" s="3082"/>
      <c r="G4" s="1184"/>
      <c r="H4" s="273" t="s">
        <v>852</v>
      </c>
      <c r="I4" s="1890">
        <f>ROUND(SUMIF('数据-基础表'!I9:AS9,"地上",'数据-基础表'!I5:AS5)/'数据-基础表'!A3,2)</f>
        <v>2</v>
      </c>
      <c r="J4" s="3082"/>
      <c r="K4" s="3082"/>
      <c r="L4" s="3082"/>
      <c r="M4" s="3082"/>
      <c r="N4" s="3082"/>
      <c r="O4" s="3082"/>
      <c r="P4" s="3082"/>
    </row>
    <row r="5" spans="1:16">
      <c r="A5" s="110" t="s">
        <v>207</v>
      </c>
      <c r="B5" s="3399" t="s">
        <v>230</v>
      </c>
      <c r="C5" s="3399"/>
      <c r="D5" s="111">
        <f>ROUND($D$3*E5/$E$3,2)</f>
        <v>0</v>
      </c>
      <c r="E5" s="112">
        <f>SUMIF('数据-基础表'!$11:$11,"住宅",'数据-基础表'!$5:$5)</f>
        <v>0</v>
      </c>
      <c r="F5" s="3082"/>
      <c r="G5" s="278" t="s">
        <v>853</v>
      </c>
      <c r="H5" s="273" t="s">
        <v>851</v>
      </c>
      <c r="I5" s="1890">
        <f>ROUND(E31/D31,2)</f>
        <v>2</v>
      </c>
      <c r="J5" s="3082"/>
      <c r="K5" s="3082"/>
      <c r="L5" s="3082"/>
      <c r="M5" s="3082"/>
      <c r="N5" s="3082"/>
      <c r="O5" s="3082"/>
      <c r="P5" s="3082"/>
    </row>
    <row r="6" spans="1:16" ht="15" thickBot="1">
      <c r="A6" s="113"/>
      <c r="B6" s="3399" t="s">
        <v>208</v>
      </c>
      <c r="C6" s="3399"/>
      <c r="D6" s="111">
        <f>ROUND($D$3*E6/$E$3,2)</f>
        <v>33333.300000000003</v>
      </c>
      <c r="E6" s="112">
        <f>E3-E5</f>
        <v>66666.600000000006</v>
      </c>
      <c r="F6" s="3082"/>
      <c r="G6" s="1184"/>
      <c r="H6" s="273" t="s">
        <v>852</v>
      </c>
      <c r="I6" s="1890">
        <f>ROUND(F31/D31,2)</f>
        <v>2</v>
      </c>
      <c r="J6" s="3082"/>
      <c r="K6" s="3082"/>
      <c r="L6" s="3082"/>
      <c r="M6" s="3082"/>
      <c r="N6" s="3082"/>
      <c r="O6" s="3082"/>
      <c r="P6" s="3082"/>
    </row>
    <row r="7" spans="1:16" ht="15">
      <c r="A7" s="3391"/>
      <c r="B7" s="3392"/>
      <c r="C7" s="3393"/>
      <c r="D7" s="108" t="s">
        <v>204</v>
      </c>
      <c r="E7" s="114" t="s">
        <v>231</v>
      </c>
      <c r="F7" s="3082"/>
      <c r="G7" s="1139" t="s">
        <v>1636</v>
      </c>
      <c r="H7" s="1140"/>
      <c r="I7" s="1760"/>
      <c r="J7" s="3082"/>
      <c r="K7" s="3082"/>
      <c r="L7" s="3082"/>
      <c r="M7" s="3082"/>
      <c r="N7" s="3082"/>
      <c r="O7" s="3082"/>
      <c r="P7" s="3082"/>
    </row>
    <row r="8" spans="1:16">
      <c r="A8" s="110" t="s">
        <v>209</v>
      </c>
      <c r="B8" s="115" t="s">
        <v>210</v>
      </c>
      <c r="C8" s="111" t="s">
        <v>211</v>
      </c>
      <c r="D8" s="111">
        <f t="shared" ref="D8:D15" si="0">ROUND($D$3*E8/$E$3,2)</f>
        <v>33333.300000000003</v>
      </c>
      <c r="E8" s="116">
        <f>SUMIF('数据-基础表'!BB10:BK10,"地上",'数据-基础表'!BB5:BK5)</f>
        <v>66666.600000000006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33333.300000000003</v>
      </c>
      <c r="E16" s="120">
        <f>SUM(E8:E15)</f>
        <v>66666.600000000006</v>
      </c>
      <c r="F16" s="3082"/>
      <c r="G16" s="3083"/>
      <c r="H16" s="956" t="s">
        <v>219</v>
      </c>
      <c r="I16" s="957"/>
      <c r="J16" s="1898"/>
      <c r="K16" s="3385" t="s">
        <v>2548</v>
      </c>
      <c r="L16" s="3386"/>
      <c r="M16" s="3386"/>
      <c r="N16" s="3386"/>
      <c r="O16" s="3386"/>
      <c r="P16" s="3387"/>
    </row>
    <row r="17" spans="1:19" ht="15">
      <c r="A17" s="121" t="s">
        <v>216</v>
      </c>
      <c r="B17" s="122" t="s">
        <v>217</v>
      </c>
      <c r="C17" s="2178" t="s">
        <v>2301</v>
      </c>
      <c r="D17" s="108" t="s">
        <v>204</v>
      </c>
      <c r="E17" s="124" t="s">
        <v>205</v>
      </c>
      <c r="F17" s="125"/>
      <c r="G17" s="1319"/>
      <c r="H17" s="958" t="s">
        <v>218</v>
      </c>
      <c r="I17" s="959" t="s">
        <v>2300</v>
      </c>
      <c r="J17" s="1898"/>
      <c r="K17" s="3388" t="s">
        <v>2549</v>
      </c>
      <c r="L17" s="3389"/>
      <c r="M17" s="3390"/>
      <c r="N17" s="3388" t="s">
        <v>2550</v>
      </c>
      <c r="O17" s="3389"/>
      <c r="P17" s="3390"/>
      <c r="R17" s="2179" t="s">
        <v>2299</v>
      </c>
      <c r="S17" s="142"/>
    </row>
    <row r="18" spans="1:19" ht="15">
      <c r="A18" s="117"/>
      <c r="B18" s="128"/>
      <c r="C18" s="129"/>
      <c r="D18" s="2483"/>
      <c r="E18" s="130" t="s">
        <v>220</v>
      </c>
      <c r="F18" s="131" t="s">
        <v>221</v>
      </c>
      <c r="G18" s="1320" t="s">
        <v>222</v>
      </c>
      <c r="H18" s="960" t="s">
        <v>223</v>
      </c>
      <c r="I18" s="961" t="s">
        <v>224</v>
      </c>
      <c r="J18" s="1898"/>
      <c r="K18" s="2448" t="s">
        <v>2551</v>
      </c>
      <c r="L18" s="2449" t="s">
        <v>2552</v>
      </c>
      <c r="M18" s="2450" t="s">
        <v>2553</v>
      </c>
      <c r="N18" s="2448" t="s">
        <v>2551</v>
      </c>
      <c r="O18" s="2449" t="s">
        <v>2552</v>
      </c>
      <c r="P18" s="2450" t="s">
        <v>2553</v>
      </c>
      <c r="R18" s="2180" t="s">
        <v>2297</v>
      </c>
      <c r="S18" s="2180" t="s">
        <v>2298</v>
      </c>
    </row>
    <row r="19" spans="1:19">
      <c r="A19" s="133"/>
      <c r="B19" s="115" t="s">
        <v>225</v>
      </c>
      <c r="C19" s="2737" t="s">
        <v>3102</v>
      </c>
      <c r="D19" s="111">
        <f t="shared" ref="D19:D26" si="1">ROUND($D$3*E19/$E$3,2)</f>
        <v>33333.300000000003</v>
      </c>
      <c r="E19" s="134">
        <f t="shared" ref="E19:E26" si="2">SUM(F19:G19)</f>
        <v>66666.600000000006</v>
      </c>
      <c r="F19" s="3084">
        <f>土地信息!I3</f>
        <v>66666.600000000006</v>
      </c>
      <c r="G19" s="3085"/>
      <c r="H19" s="962">
        <f>ROUND($D$3*I19/$E$3,2)</f>
        <v>0</v>
      </c>
      <c r="I19" s="116">
        <f>IF($I$17="自定义",P19,M19)</f>
        <v>0</v>
      </c>
      <c r="J19" s="1898"/>
      <c r="K19" s="2451">
        <f t="shared" ref="K19:K26" si="3">ROUND(E$28*E19/E$27,2)</f>
        <v>0</v>
      </c>
      <c r="L19" s="273">
        <f t="shared" ref="L19:L26" si="4">ROUND(IF(COUNTIF(C19,"*住宅*")&gt;0,E$29*E19/E$32,0),2)</f>
        <v>0</v>
      </c>
      <c r="M19" s="2452">
        <f>K19+L19</f>
        <v>0</v>
      </c>
      <c r="N19" s="2453"/>
      <c r="O19" s="2454"/>
      <c r="P19" s="2455">
        <f>N19+O19</f>
        <v>0</v>
      </c>
      <c r="R19" s="273">
        <f t="shared" ref="R19:S26" si="5">D19+H19</f>
        <v>33333.300000000003</v>
      </c>
      <c r="S19" s="2181">
        <f t="shared" si="5"/>
        <v>66666.600000000006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1">
        <f t="shared" si="3"/>
        <v>0</v>
      </c>
      <c r="L20" s="273">
        <f t="shared" si="4"/>
        <v>0</v>
      </c>
      <c r="M20" s="2452">
        <f t="shared" ref="M20:M26" si="8">K20+L20</f>
        <v>0</v>
      </c>
      <c r="N20" s="2453"/>
      <c r="O20" s="2454"/>
      <c r="P20" s="2455">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1">
        <f t="shared" si="3"/>
        <v>0</v>
      </c>
      <c r="L21" s="273">
        <f t="shared" si="4"/>
        <v>0</v>
      </c>
      <c r="M21" s="2452">
        <f t="shared" si="8"/>
        <v>0</v>
      </c>
      <c r="N21" s="2453"/>
      <c r="O21" s="2454"/>
      <c r="P21" s="2455">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1">
        <f t="shared" si="3"/>
        <v>0</v>
      </c>
      <c r="L22" s="273">
        <f t="shared" si="4"/>
        <v>0</v>
      </c>
      <c r="M22" s="2452">
        <f t="shared" si="8"/>
        <v>0</v>
      </c>
      <c r="N22" s="2453"/>
      <c r="O22" s="2454"/>
      <c r="P22" s="2455">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1">
        <f t="shared" si="3"/>
        <v>0</v>
      </c>
      <c r="L23" s="273">
        <f t="shared" si="4"/>
        <v>0</v>
      </c>
      <c r="M23" s="2452">
        <f t="shared" si="8"/>
        <v>0</v>
      </c>
      <c r="N23" s="2453"/>
      <c r="O23" s="2454"/>
      <c r="P23" s="2455">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1">
        <f t="shared" si="3"/>
        <v>0</v>
      </c>
      <c r="L24" s="273">
        <f t="shared" si="4"/>
        <v>0</v>
      </c>
      <c r="M24" s="2452">
        <f t="shared" si="8"/>
        <v>0</v>
      </c>
      <c r="N24" s="2453"/>
      <c r="O24" s="2454"/>
      <c r="P24" s="2455">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1">
        <f t="shared" si="3"/>
        <v>0</v>
      </c>
      <c r="L25" s="273">
        <f t="shared" si="4"/>
        <v>0</v>
      </c>
      <c r="M25" s="2452">
        <f t="shared" si="8"/>
        <v>0</v>
      </c>
      <c r="N25" s="2453"/>
      <c r="O25" s="2454"/>
      <c r="P25" s="2455">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6">
        <f t="shared" si="3"/>
        <v>0</v>
      </c>
      <c r="L26" s="278">
        <f t="shared" si="4"/>
        <v>0</v>
      </c>
      <c r="M26" s="144">
        <f t="shared" si="8"/>
        <v>0</v>
      </c>
      <c r="N26" s="2457"/>
      <c r="O26" s="2458"/>
      <c r="P26" s="2459">
        <f t="shared" si="9"/>
        <v>0</v>
      </c>
      <c r="R26" s="273">
        <f t="shared" si="5"/>
        <v>0</v>
      </c>
      <c r="S26" s="2181">
        <f t="shared" si="5"/>
        <v>0</v>
      </c>
    </row>
    <row r="27" spans="1:19" ht="15.75" thickBot="1">
      <c r="A27" s="137"/>
      <c r="B27" s="111"/>
      <c r="C27" s="127" t="s">
        <v>215</v>
      </c>
      <c r="D27" s="134">
        <f>SUM(D19:D26)</f>
        <v>33333.300000000003</v>
      </c>
      <c r="E27" s="141">
        <f>IF(SUM(E19:E26)='数据-基础表'!BA5,SUM(E19:E26),IF(F27="地上面积有误","面积有误","地下面积有误"))</f>
        <v>66666.600000000006</v>
      </c>
      <c r="F27" s="134">
        <f>IF(SUM(F19:F26)=E8,SUM(F19:F26),"地上面积有误")</f>
        <v>66666.600000000006</v>
      </c>
      <c r="G27" s="112">
        <f>SUM(G19:G26)</f>
        <v>0</v>
      </c>
      <c r="H27" s="963">
        <f>SUM(H19:H26)</f>
        <v>0</v>
      </c>
      <c r="I27" s="964">
        <f>SUM(I19:I26)</f>
        <v>0</v>
      </c>
      <c r="J27" s="1898"/>
      <c r="K27" s="2460">
        <f>SUM(K19:K26)</f>
        <v>0</v>
      </c>
      <c r="L27" s="2461">
        <f>SUM(L19:L26)</f>
        <v>0</v>
      </c>
      <c r="M27" s="2462">
        <f>SUM(M19:M26)</f>
        <v>0</v>
      </c>
      <c r="N27" s="2460">
        <f t="shared" ref="N27:O27" si="10">SUM(N19:N26)</f>
        <v>0</v>
      </c>
      <c r="O27" s="2461">
        <f t="shared" si="10"/>
        <v>0</v>
      </c>
      <c r="P27" s="2463">
        <f>SUM(P19:P26)</f>
        <v>0</v>
      </c>
      <c r="R27" s="2185">
        <f>IF(SUM(R19:R26)=$D$3,SUM(R19:R26),SUM(R19:R26)&amp;"误差"&amp;ROUND(SUM(R19:R26)-$D$3,2))</f>
        <v>33333.300000000003</v>
      </c>
      <c r="S27" s="273">
        <f>IF(SUM(S19:S26)=$E$3,SUM(S19:S26),SUM(S19:S26)&amp;"误差"&amp;ROUND(SUM(S19:S26)-E3,2))</f>
        <v>66666.600000000006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33333.300000000003</v>
      </c>
      <c r="E31" s="1323">
        <f>E27+E30</f>
        <v>66666.600000000006</v>
      </c>
      <c r="F31" s="1324">
        <f>F27+F30</f>
        <v>66666.600000000006</v>
      </c>
      <c r="G31" s="1325">
        <f>G27+G30</f>
        <v>0</v>
      </c>
      <c r="H31" s="3082"/>
      <c r="I31" s="3082"/>
      <c r="J31" s="3082"/>
      <c r="K31" s="3082"/>
      <c r="L31" s="3082"/>
      <c r="M31" s="3082"/>
      <c r="N31" s="3082"/>
      <c r="O31" s="3082"/>
      <c r="P31" s="3082"/>
    </row>
    <row r="32" spans="1:19">
      <c r="A32" s="1898"/>
      <c r="B32" s="2222" t="s">
        <v>2309</v>
      </c>
      <c r="C32" s="2488"/>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44101</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5" t="s">
        <v>2358</v>
      </c>
      <c r="AO5" s="3103"/>
      <c r="AP5" s="3088" t="s">
        <v>2965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商业用房</v>
      </c>
      <c r="B6" s="2217" t="str">
        <f>IF(A6=0,"","经营性")</f>
        <v>经营性</v>
      </c>
      <c r="C6" s="171" t="s">
        <v>2998</v>
      </c>
      <c r="D6" s="2188">
        <f>SUMIF(项目基本情况!D$15:I$15,C6,项目基本情况!D$18:I$18)</f>
        <v>40</v>
      </c>
      <c r="E6" s="2189">
        <f>IF(B6="","",SUMIF(项目基本情况!D$15:I$15,C6,项目基本情况!D$17:I$17))</f>
        <v>49551</v>
      </c>
      <c r="F6" s="172">
        <f>SUMIF(项目基本情况!D$15:I$15,C6,项目基本情况!D$19:I$19)</f>
        <v>14.93</v>
      </c>
      <c r="G6" s="173">
        <f>IF(ISERROR(ROUND(POWER(1+H6,D6-F6)*(POWER(1+H6,F6)-1)/(POWER(1+H6,D6)-1),3)),0,ROUND(POWER(1+H6,D6-F6)*(POWER(1+H6,F6)-1)/(POWER(1+H6,D6)-1),3))</f>
        <v>0.60299999999999998</v>
      </c>
      <c r="H6" s="2738">
        <v>0.05</v>
      </c>
      <c r="I6" s="2738">
        <v>5.5E-2</v>
      </c>
      <c r="J6" s="174">
        <v>8.5000000000000006E-2</v>
      </c>
      <c r="K6" s="177">
        <f>SUMIF('数据-汇总表'!C$19:C$33,'数据-取费表'!A6,'数据-汇总表'!E$19:E$33)</f>
        <v>66666.600000000006</v>
      </c>
      <c r="L6" s="2739">
        <v>2000</v>
      </c>
      <c r="M6" s="175">
        <f t="shared" ref="M6:M14" si="0">ROUND(K6*L6/10000,0)</f>
        <v>13333</v>
      </c>
      <c r="N6" s="2740">
        <v>0</v>
      </c>
      <c r="O6" s="175">
        <f>IF($N$5="成新度","——",ROUND(M6*N6,0))</f>
        <v>0</v>
      </c>
      <c r="P6" s="176">
        <f>IF($N$5="成新度","——",M6-O6)</f>
        <v>13333</v>
      </c>
      <c r="Q6" s="2741">
        <v>0.1</v>
      </c>
      <c r="R6" s="177">
        <f>SUMIF('数据-汇总表'!C$19:C$33,A6,'数据-汇总表'!R$19:R$33)</f>
        <v>33333.300000000003</v>
      </c>
      <c r="S6" s="132">
        <f>IF('数据-汇总表'!$I$17="按面积比例",SUMIF('数据-汇总表'!C$19:C$33,A6,'数据-汇总表'!K$19:K$33),SUMIF('数据-汇总表'!C$19:C$33,A6,'数据-汇总表'!N$19:N$33))</f>
        <v>0</v>
      </c>
      <c r="T6" s="2114" t="str">
        <f>IF($T$4="按面积比例",IF(ISERROR(ROUND($M$14*S6/S$16,0)),"0",ROUND($M$14*S6/S$16,0)),"需自行计算录入")</f>
        <v>0</v>
      </c>
      <c r="U6" s="178">
        <v>1.5</v>
      </c>
      <c r="V6" s="179">
        <v>2.5000000000000001E-2</v>
      </c>
      <c r="W6" s="179">
        <v>0.15</v>
      </c>
      <c r="X6" s="2201"/>
      <c r="Y6" s="180">
        <v>1</v>
      </c>
      <c r="Z6" s="181"/>
      <c r="AA6" s="174"/>
      <c r="AB6" s="174"/>
      <c r="AC6" s="2204"/>
      <c r="AD6" s="182"/>
      <c r="AE6" s="960">
        <f ca="1">IF(AN6="",0,SUMIF(INDIRECT("'"&amp;AN6&amp;"'"&amp;"!E:E"),$AE$5,INDIRECT("'"&amp;AN6&amp;"'"&amp;"!F:F")))</f>
        <v>13.93</v>
      </c>
      <c r="AF6" s="139"/>
      <c r="AG6" s="1196">
        <f>IF(AF6="",0,AE6-AF6)</f>
        <v>0</v>
      </c>
      <c r="AH6" s="139"/>
      <c r="AI6" s="185">
        <v>365</v>
      </c>
      <c r="AJ6" s="186"/>
      <c r="AK6" s="187">
        <v>1.4999999999999999E-2</v>
      </c>
      <c r="AL6" s="188">
        <v>1.5E-3</v>
      </c>
      <c r="AM6" s="2752">
        <v>0.01</v>
      </c>
      <c r="AN6" s="2246" t="s">
        <v>3103</v>
      </c>
      <c r="AO6" s="3092"/>
      <c r="AP6" s="1187">
        <f>ROUND(1-1/(1+H6)^F6,3)</f>
        <v>0.51700000000000002</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6"/>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6"/>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0.60299999999999998</v>
      </c>
      <c r="H16" s="201">
        <f>ROUND(SUMPRODUCT(H6:H13,K6:K13)/SUMPRODUCT((H6:H13&gt;0)*(K6:K13)),3)</f>
        <v>0.05</v>
      </c>
      <c r="I16" s="202"/>
      <c r="J16" s="202"/>
      <c r="K16" s="203">
        <f>SUM(K6:K15)</f>
        <v>66666.600000000006</v>
      </c>
      <c r="L16" s="204">
        <f>ROUND(M16*10000/SUM(K6:K14),0)</f>
        <v>2000</v>
      </c>
      <c r="M16" s="204">
        <f>SUM(M6:M14)</f>
        <v>13333</v>
      </c>
      <c r="N16" s="205">
        <f>ROUND(SUMPRODUCT(M6:M14,N6:N14)/M16,3)</f>
        <v>0</v>
      </c>
      <c r="O16" s="204">
        <f>SUM(O6:O14)</f>
        <v>0</v>
      </c>
      <c r="P16" s="204">
        <f>SUM(P6:P14)</f>
        <v>13333</v>
      </c>
      <c r="Q16" s="206">
        <f>ROUND(SUMPRODUCT(Q6:Q13,K6:K13)/SUMPRODUCT((Q6:Q13&gt;0)*(K6:K13)),2)</f>
        <v>0.1</v>
      </c>
      <c r="R16" s="2191">
        <f>SUM(R6:R13)</f>
        <v>33333.300000000003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0.51700000000000002</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2978</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2979</v>
      </c>
      <c r="D27" s="3287" t="s">
        <v>3104</v>
      </c>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f>1200*0.04</f>
        <v>48</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150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2966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2967</v>
      </c>
      <c r="D34" s="3108" t="s">
        <v>2975</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150</v>
      </c>
      <c r="C35" s="3107" t="s">
        <v>2968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2971</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2976</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2972</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2973</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2980</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2972</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2974</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2</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2870</v>
      </c>
      <c r="D53" s="3111" t="s">
        <v>2977</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v>12</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v>2</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6" activePane="bottomRight" state="frozen"/>
      <selection activeCell="E29" sqref="E29"/>
      <selection pane="topRight" activeCell="E29" sqref="E29"/>
      <selection pane="bottomLeft" activeCell="E29" sqref="E29"/>
      <selection pane="bottomRight" activeCell="C5" sqref="C5"/>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400" t="s">
        <v>1654</v>
      </c>
      <c r="B1" s="3401"/>
      <c r="C1" s="3401"/>
      <c r="D1" s="3401"/>
      <c r="E1" s="3401"/>
      <c r="F1" s="3401"/>
      <c r="G1" s="3401"/>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126"/>
      <c r="D3" s="3127"/>
      <c r="E3" s="3128" t="s">
        <v>1657</v>
      </c>
      <c r="F3" s="3129" t="s">
        <v>1645</v>
      </c>
      <c r="G3" s="3130"/>
      <c r="H3" s="3123"/>
      <c r="I3" s="3123"/>
      <c r="J3" s="3123"/>
      <c r="K3" s="3123"/>
      <c r="L3" s="3123"/>
      <c r="M3" s="3123"/>
      <c r="N3" s="3123"/>
      <c r="O3" s="3123"/>
      <c r="P3" s="3123"/>
      <c r="Q3" s="3123"/>
      <c r="R3" s="3123"/>
    </row>
    <row r="4" spans="1:18" ht="14.25">
      <c r="A4" s="3128"/>
      <c r="B4" s="3131" t="s">
        <v>1658</v>
      </c>
      <c r="C4" s="3291" t="s">
        <v>3112</v>
      </c>
      <c r="D4" s="3127"/>
      <c r="E4" s="3133"/>
      <c r="F4" s="3134" t="s">
        <v>1659</v>
      </c>
      <c r="G4" s="3135"/>
      <c r="H4" s="3123"/>
      <c r="I4" s="3123"/>
      <c r="J4" s="3123"/>
      <c r="K4" s="3123"/>
      <c r="L4" s="3123"/>
      <c r="M4" s="3123"/>
      <c r="N4" s="3123"/>
      <c r="O4" s="3123"/>
      <c r="P4" s="3123"/>
      <c r="Q4" s="3123"/>
      <c r="R4" s="3123"/>
    </row>
    <row r="5" spans="1:18" ht="14.25">
      <c r="A5" s="3128"/>
      <c r="B5" s="3131" t="s">
        <v>1660</v>
      </c>
      <c r="C5" s="3132"/>
      <c r="D5" s="3127"/>
      <c r="E5" s="3133"/>
      <c r="F5" s="3131" t="s">
        <v>2528</v>
      </c>
      <c r="G5" s="3135"/>
      <c r="H5" s="3123"/>
      <c r="I5" s="3123"/>
      <c r="J5" s="3123"/>
      <c r="K5" s="3123"/>
      <c r="L5" s="3123"/>
      <c r="M5" s="3123"/>
      <c r="N5" s="3123"/>
      <c r="O5" s="3123"/>
      <c r="P5" s="3123"/>
      <c r="Q5" s="3123"/>
      <c r="R5" s="3123"/>
    </row>
    <row r="6" spans="1:18" ht="14.25">
      <c r="A6" s="3128"/>
      <c r="B6" s="3131" t="s">
        <v>1646</v>
      </c>
      <c r="C6" s="3288" t="s">
        <v>3113</v>
      </c>
      <c r="D6" s="3127"/>
      <c r="E6" s="3133"/>
      <c r="F6" s="3131" t="s">
        <v>2529</v>
      </c>
      <c r="G6" s="3135"/>
      <c r="H6" s="3123"/>
      <c r="I6" s="3123"/>
      <c r="J6" s="3123"/>
      <c r="K6" s="3123"/>
      <c r="L6" s="3123"/>
      <c r="M6" s="3123"/>
      <c r="N6" s="3123"/>
      <c r="O6" s="3123"/>
      <c r="P6" s="3123"/>
      <c r="Q6" s="3123"/>
      <c r="R6" s="3123"/>
    </row>
    <row r="7" spans="1:18" ht="15" thickBot="1">
      <c r="A7" s="3128"/>
      <c r="B7" s="3131" t="s">
        <v>2528</v>
      </c>
      <c r="C7" s="3288" t="s">
        <v>3113</v>
      </c>
      <c r="D7" s="3136"/>
      <c r="E7" s="3137"/>
      <c r="F7" s="3138" t="s">
        <v>1661</v>
      </c>
      <c r="G7" s="3139"/>
      <c r="H7" s="3123"/>
      <c r="I7" s="3123"/>
      <c r="J7" s="3123"/>
      <c r="K7" s="3123"/>
      <c r="L7" s="3123"/>
      <c r="M7" s="3123"/>
      <c r="N7" s="3123"/>
      <c r="O7" s="3123"/>
      <c r="P7" s="3123"/>
      <c r="Q7" s="3123"/>
      <c r="R7" s="3123"/>
    </row>
    <row r="8" spans="1:18">
      <c r="A8" s="3128"/>
      <c r="B8" s="3131" t="s">
        <v>2529</v>
      </c>
      <c r="C8" s="3288" t="s">
        <v>1972</v>
      </c>
      <c r="D8" s="3136"/>
      <c r="E8" s="3136"/>
      <c r="F8" s="3140"/>
      <c r="G8" s="3140"/>
      <c r="H8" s="3123"/>
      <c r="I8" s="3123"/>
      <c r="J8" s="3123"/>
      <c r="K8" s="3123"/>
      <c r="L8" s="3123"/>
      <c r="M8" s="3123"/>
      <c r="N8" s="3123"/>
      <c r="O8" s="3123"/>
      <c r="P8" s="3123"/>
      <c r="Q8" s="3123"/>
      <c r="R8" s="3123"/>
    </row>
    <row r="9" spans="1:18">
      <c r="A9" s="3128"/>
      <c r="B9" s="3131" t="s">
        <v>1647</v>
      </c>
      <c r="C9" s="3289" t="s">
        <v>3114</v>
      </c>
      <c r="D9" s="3127"/>
      <c r="E9" s="3136"/>
      <c r="F9" s="3140"/>
      <c r="G9" s="3140"/>
      <c r="H9" s="3123"/>
      <c r="I9" s="3123"/>
      <c r="J9" s="3123"/>
      <c r="K9" s="3123"/>
      <c r="L9" s="3123"/>
      <c r="M9" s="3123"/>
      <c r="N9" s="3123"/>
      <c r="O9" s="3123"/>
      <c r="P9" s="3123"/>
      <c r="Q9" s="3123"/>
      <c r="R9" s="3123"/>
    </row>
    <row r="10" spans="1:18" s="3146" customFormat="1" ht="14.25" thickBot="1">
      <c r="A10" s="3141"/>
      <c r="B10" s="3142" t="s">
        <v>1662</v>
      </c>
      <c r="C10" s="3290" t="s">
        <v>3115</v>
      </c>
      <c r="D10" s="3127"/>
      <c r="E10" s="3127"/>
      <c r="F10" s="3140"/>
      <c r="G10" s="3140"/>
      <c r="H10" s="3143"/>
      <c r="I10" s="3144"/>
      <c r="J10" s="3145"/>
      <c r="K10" s="3143"/>
      <c r="L10" s="3144"/>
      <c r="M10" s="3145"/>
      <c r="N10" s="3143"/>
      <c r="O10" s="3144"/>
      <c r="P10" s="3145"/>
      <c r="Q10" s="3143"/>
      <c r="R10" s="3144"/>
    </row>
    <row r="11" spans="1:18" s="3146" customFormat="1">
      <c r="A11" s="3147"/>
      <c r="B11" s="3136"/>
      <c r="C11" s="3127"/>
      <c r="D11" s="3127"/>
      <c r="E11" s="3127"/>
      <c r="F11" s="3136"/>
      <c r="G11" s="3148"/>
      <c r="H11" s="3143"/>
      <c r="I11" s="3144"/>
      <c r="J11" s="3145"/>
      <c r="K11" s="3143"/>
      <c r="L11" s="3144"/>
      <c r="M11" s="3145"/>
      <c r="N11" s="3143"/>
      <c r="O11" s="3144"/>
      <c r="P11" s="3145"/>
      <c r="Q11" s="3143"/>
      <c r="R11" s="3144"/>
    </row>
    <row r="12" spans="1:18" s="3117" customFormat="1" ht="18.75">
      <c r="A12" s="3147"/>
      <c r="B12" s="3136"/>
      <c r="C12" s="3127"/>
      <c r="D12" s="3149"/>
      <c r="E12" s="3127"/>
      <c r="F12" s="3136"/>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7"/>
      <c r="E14" s="3163"/>
      <c r="F14" s="3163"/>
      <c r="G14" s="3120" t="s">
        <v>1656</v>
      </c>
    </row>
    <row r="15" spans="1:18" ht="27">
      <c r="A15" s="3164" t="s">
        <v>1648</v>
      </c>
      <c r="B15" s="3165" t="s">
        <v>1644</v>
      </c>
      <c r="C15" s="3166">
        <f>C3</f>
        <v>0</v>
      </c>
      <c r="D15" s="3127"/>
      <c r="E15" s="3167" t="s">
        <v>1649</v>
      </c>
      <c r="F15" s="3165" t="s">
        <v>1664</v>
      </c>
      <c r="G15" s="3168">
        <f>G3</f>
        <v>0</v>
      </c>
    </row>
    <row r="16" spans="1:18">
      <c r="A16" s="3169"/>
      <c r="B16" s="3170" t="s">
        <v>1658</v>
      </c>
      <c r="C16" s="3171" t="str">
        <f>C4</f>
        <v>较差</v>
      </c>
      <c r="D16" s="3127"/>
      <c r="E16" s="3172"/>
      <c r="F16" s="3173" t="s">
        <v>1659</v>
      </c>
      <c r="G16" s="3174">
        <f>G4</f>
        <v>0</v>
      </c>
    </row>
    <row r="17" spans="1:7" ht="14.25">
      <c r="A17" s="3169"/>
      <c r="B17" s="3170" t="s">
        <v>1660</v>
      </c>
      <c r="C17" s="3171">
        <f>C5</f>
        <v>0</v>
      </c>
      <c r="D17" s="3136"/>
      <c r="E17" s="3172"/>
      <c r="F17" s="3173" t="s">
        <v>1665</v>
      </c>
      <c r="G17" s="3175"/>
    </row>
    <row r="18" spans="1:7">
      <c r="A18" s="3169"/>
      <c r="B18" s="3173" t="s">
        <v>1646</v>
      </c>
      <c r="C18" s="3174" t="str">
        <f>C6</f>
        <v>较差</v>
      </c>
      <c r="D18" s="3136"/>
      <c r="E18" s="3172"/>
      <c r="F18" s="3173" t="s">
        <v>1661</v>
      </c>
      <c r="G18" s="3174">
        <f>G7</f>
        <v>0</v>
      </c>
    </row>
    <row r="19" spans="1:7" ht="14.25">
      <c r="A19" s="3169"/>
      <c r="B19" s="3173" t="s">
        <v>1650</v>
      </c>
      <c r="C19" s="3175"/>
      <c r="D19" s="3127"/>
      <c r="E19" s="3172"/>
      <c r="F19" s="3131" t="s">
        <v>2528</v>
      </c>
      <c r="G19" s="3174">
        <f>G5</f>
        <v>0</v>
      </c>
    </row>
    <row r="20" spans="1:7">
      <c r="A20" s="3169"/>
      <c r="B20" s="3173" t="s">
        <v>1651</v>
      </c>
      <c r="C20" s="3171" t="str">
        <f>C9</f>
        <v>一般</v>
      </c>
      <c r="D20" s="3136"/>
      <c r="E20" s="3172"/>
      <c r="F20" s="3131" t="s">
        <v>2529</v>
      </c>
      <c r="G20" s="3174">
        <f>G6</f>
        <v>0</v>
      </c>
    </row>
    <row r="21" spans="1:7" ht="14.25">
      <c r="A21" s="3169"/>
      <c r="B21" s="3131" t="s">
        <v>2528</v>
      </c>
      <c r="C21" s="3174" t="str">
        <f>C7</f>
        <v>较差</v>
      </c>
      <c r="D21" s="3127"/>
      <c r="E21" s="3172"/>
      <c r="F21" s="3173" t="s">
        <v>1652</v>
      </c>
      <c r="G21" s="3176"/>
    </row>
    <row r="22" spans="1:7" ht="14.25">
      <c r="A22" s="3169"/>
      <c r="B22" s="3131" t="s">
        <v>2529</v>
      </c>
      <c r="C22" s="3174" t="str">
        <f>C8</f>
        <v>六通</v>
      </c>
      <c r="D22" s="3127"/>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支路</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Normal="80" zoomScaleSheetLayoutView="100" workbookViewId="0">
      <selection activeCell="A31" sqref="A31"/>
    </sheetView>
  </sheetViews>
  <sheetFormatPr defaultColWidth="14.625" defaultRowHeight="13.5"/>
  <cols>
    <col min="1" max="1" width="24.375" style="3185" customWidth="1"/>
    <col min="2" max="16384" width="14.625" style="3185"/>
  </cols>
  <sheetData>
    <row r="1" spans="1:10" ht="16.5">
      <c r="A1" s="3184" t="s">
        <v>2824</v>
      </c>
      <c r="B1" s="3184">
        <f>SUM(B14:B23)</f>
        <v>115312.37</v>
      </c>
      <c r="C1" s="3193"/>
      <c r="D1" s="3193"/>
      <c r="E1" s="3193"/>
      <c r="F1" s="3193"/>
      <c r="G1" s="3194"/>
      <c r="H1" s="3194"/>
      <c r="I1" s="3194"/>
      <c r="J1" s="3194"/>
    </row>
    <row r="2" spans="1:10" ht="16.5">
      <c r="A2" s="3184" t="s">
        <v>2825</v>
      </c>
      <c r="B2" s="3184">
        <f>SUM(C14:C23)</f>
        <v>1475064.4</v>
      </c>
      <c r="C2" s="3193"/>
      <c r="D2" s="3193"/>
      <c r="E2" s="3193"/>
      <c r="F2" s="3193"/>
      <c r="G2" s="3194"/>
      <c r="H2" s="3194"/>
      <c r="I2" s="3194"/>
      <c r="J2" s="3194"/>
    </row>
    <row r="3" spans="1:10" ht="16.5">
      <c r="A3" s="3184" t="s">
        <v>2826</v>
      </c>
      <c r="B3" s="3186">
        <f>项目基本情况!D3</f>
        <v>44101</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80479</v>
      </c>
      <c r="C5" s="3184">
        <f ca="1">ROUND(B5*10000/$B$1,0)</f>
        <v>6979</v>
      </c>
      <c r="D5" s="3184">
        <f ca="1">ROUND(B5*10000/$B$2,0)</f>
        <v>546</v>
      </c>
      <c r="E5" s="3193"/>
      <c r="F5" s="3193"/>
      <c r="G5" s="3194"/>
      <c r="H5" s="3194"/>
      <c r="I5" s="3194"/>
      <c r="J5" s="3194"/>
    </row>
    <row r="6" spans="1:10" ht="16.5">
      <c r="A6" s="3184" t="s">
        <v>2832</v>
      </c>
      <c r="B6" s="3184">
        <f ca="1">SUM(G14:G23)</f>
        <v>80479</v>
      </c>
      <c r="C6" s="3184">
        <f t="shared" ref="C6:C8" ca="1" si="0">ROUND(B6*10000/$B$1,0)</f>
        <v>6979</v>
      </c>
      <c r="D6" s="3184">
        <f t="shared" ref="D6:D8" ca="1" si="1">ROUND(B6*10000/$B$2,0)</f>
        <v>546</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66666.600000000006</v>
      </c>
      <c r="C14" s="3190">
        <f>结果表!K38</f>
        <v>33333.300000000003</v>
      </c>
      <c r="D14" s="3190">
        <f ca="1">结果表!C42</f>
        <v>5188</v>
      </c>
      <c r="E14" s="3190">
        <f ca="1">ROUND(D14*10000/B14,0)</f>
        <v>778</v>
      </c>
      <c r="F14" s="3190">
        <f ca="1">ROUND(D14*10000/C14,0)</f>
        <v>1556</v>
      </c>
      <c r="G14" s="3190">
        <f ca="1">结果表!C44</f>
        <v>5188</v>
      </c>
      <c r="H14" s="3190" t="str">
        <f>结果表!C45</f>
        <v>——</v>
      </c>
      <c r="I14" s="3190" t="str">
        <f>结果表!C46</f>
        <v>——</v>
      </c>
      <c r="J14" s="3194"/>
    </row>
    <row r="15" spans="1:10" ht="16.5">
      <c r="A15" s="3189" t="s">
        <v>2841</v>
      </c>
      <c r="B15" s="3622">
        <f>[1]土地信息!$K$8-[1]土地信息!$K$3</f>
        <v>48645.76999999999</v>
      </c>
      <c r="C15" s="3621">
        <f>[1]土地信息!$J$8-[1]土地信息!$J$3</f>
        <v>1441731.0999999999</v>
      </c>
      <c r="D15" s="3191">
        <f ca="1">[1]土地信息!$P$8-[1]土地信息!$P$3</f>
        <v>75291</v>
      </c>
      <c r="E15" s="3190">
        <f t="shared" ref="E15:E23" ca="1" si="2">ROUND(D15*10000/B15,0)</f>
        <v>15477</v>
      </c>
      <c r="F15" s="3190">
        <f t="shared" ref="F15:F23" ca="1" si="3">ROUND(D15*10000/C15,0)</f>
        <v>522</v>
      </c>
      <c r="G15" s="2757">
        <f ca="1">D15</f>
        <v>75291</v>
      </c>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K3" sqref="K3"/>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6" t="str">
        <f>项目基本情况!K2</f>
        <v>出让国有建设用地使用权</v>
      </c>
      <c r="B2" s="3447"/>
      <c r="C2" s="3448"/>
      <c r="D2" s="3448"/>
      <c r="E2" s="3448"/>
      <c r="F2" s="3448"/>
      <c r="G2" s="3447"/>
      <c r="H2" s="3447"/>
      <c r="I2" s="3449"/>
      <c r="J2" s="1913"/>
      <c r="K2" s="1912"/>
      <c r="L2" s="1912"/>
      <c r="M2" s="1912"/>
      <c r="N2" s="1912"/>
      <c r="O2" s="1912"/>
      <c r="P2" s="1912"/>
      <c r="Q2" s="1912"/>
      <c r="R2" s="1912"/>
      <c r="S2" s="1912"/>
      <c r="T2" s="1912"/>
      <c r="U2" s="1912"/>
      <c r="V2" s="1912"/>
    </row>
    <row r="3" spans="1:22" ht="14.25">
      <c r="A3" s="3457" t="s">
        <v>298</v>
      </c>
      <c r="B3" s="3458"/>
      <c r="C3" s="3458"/>
      <c r="D3" s="3458"/>
      <c r="E3" s="3458"/>
      <c r="F3" s="3458"/>
      <c r="G3" s="3458"/>
      <c r="H3" s="3458"/>
      <c r="I3" s="3458"/>
      <c r="J3" s="1913"/>
      <c r="K3" s="1912"/>
      <c r="L3" s="1912"/>
      <c r="M3" s="1912"/>
      <c r="N3" s="1912"/>
      <c r="O3" s="1912"/>
      <c r="P3" s="1912"/>
      <c r="Q3" s="1912"/>
      <c r="R3" s="1912"/>
      <c r="S3" s="1912"/>
      <c r="T3" s="1912"/>
      <c r="U3" s="1912"/>
      <c r="V3" s="1912"/>
    </row>
    <row r="4" spans="1:22" ht="14.25">
      <c r="A4" s="256" t="s">
        <v>299</v>
      </c>
      <c r="B4" s="257" t="s">
        <v>300</v>
      </c>
      <c r="C4" s="258" t="s">
        <v>3124</v>
      </c>
      <c r="D4" s="258" t="s">
        <v>3125</v>
      </c>
      <c r="E4" s="3421" t="s">
        <v>301</v>
      </c>
      <c r="F4" s="3463"/>
      <c r="G4" s="3463"/>
      <c r="H4" s="3463"/>
      <c r="I4" s="3422"/>
      <c r="J4" s="1913"/>
      <c r="K4" s="1912"/>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50" t="s">
        <v>302</v>
      </c>
      <c r="B5" s="3451">
        <v>25</v>
      </c>
      <c r="C5" s="3459"/>
      <c r="D5" s="3462"/>
      <c r="E5" s="259" t="s">
        <v>303</v>
      </c>
      <c r="F5" s="260"/>
      <c r="G5" s="260"/>
      <c r="H5" s="260"/>
      <c r="I5" s="261"/>
      <c r="J5" s="1913"/>
      <c r="K5" s="1912"/>
      <c r="L5" s="1912"/>
      <c r="M5" s="1912"/>
      <c r="N5" s="1912"/>
      <c r="O5" s="1912"/>
      <c r="P5" s="1912"/>
      <c r="Q5" s="1912"/>
      <c r="R5" s="1912"/>
      <c r="S5" s="1912"/>
      <c r="T5" s="1912"/>
      <c r="U5" s="1912"/>
      <c r="V5" s="1912"/>
    </row>
    <row r="6" spans="1:22" ht="14.25">
      <c r="A6" s="3450"/>
      <c r="B6" s="3451"/>
      <c r="C6" s="3460"/>
      <c r="D6" s="3462"/>
      <c r="E6" s="259" t="s">
        <v>304</v>
      </c>
      <c r="F6" s="260"/>
      <c r="G6" s="260"/>
      <c r="H6" s="260"/>
      <c r="I6" s="261"/>
      <c r="J6" s="1913"/>
      <c r="K6" s="1912"/>
      <c r="L6" s="1912"/>
      <c r="M6" s="1912"/>
      <c r="N6" s="1912"/>
      <c r="O6" s="1912"/>
      <c r="P6" s="1912"/>
      <c r="Q6" s="1912"/>
      <c r="R6" s="1912"/>
      <c r="S6" s="1912"/>
      <c r="T6" s="1912"/>
      <c r="U6" s="1912"/>
      <c r="V6" s="1912"/>
    </row>
    <row r="7" spans="1:22" ht="14.25">
      <c r="A7" s="3450"/>
      <c r="B7" s="3451"/>
      <c r="C7" s="3461"/>
      <c r="D7" s="3462"/>
      <c r="E7" s="259" t="s">
        <v>305</v>
      </c>
      <c r="F7" s="260"/>
      <c r="G7" s="260"/>
      <c r="H7" s="260"/>
      <c r="I7" s="261"/>
      <c r="J7" s="1913"/>
      <c r="K7" s="1912"/>
      <c r="L7" s="1912"/>
      <c r="M7" s="1912"/>
      <c r="N7" s="1912"/>
      <c r="O7" s="1912"/>
      <c r="P7" s="1912"/>
      <c r="Q7" s="1912"/>
      <c r="R7" s="1912"/>
      <c r="S7" s="1912"/>
      <c r="T7" s="1912"/>
      <c r="U7" s="1912"/>
      <c r="V7" s="1912"/>
    </row>
    <row r="8" spans="1:22" ht="14.25">
      <c r="A8" s="3450" t="s">
        <v>306</v>
      </c>
      <c r="B8" s="3451">
        <v>15</v>
      </c>
      <c r="C8" s="3459"/>
      <c r="D8" s="3462"/>
      <c r="E8" s="259" t="s">
        <v>307</v>
      </c>
      <c r="F8" s="260"/>
      <c r="G8" s="260"/>
      <c r="H8" s="260"/>
      <c r="I8" s="261"/>
      <c r="J8" s="1913"/>
      <c r="K8" s="1912"/>
      <c r="L8" s="1912"/>
      <c r="M8" s="1912"/>
      <c r="N8" s="1912"/>
      <c r="O8" s="1912"/>
      <c r="P8" s="1912"/>
      <c r="Q8" s="1912"/>
      <c r="R8" s="1912"/>
      <c r="S8" s="1912"/>
      <c r="T8" s="1912"/>
      <c r="U8" s="1912"/>
      <c r="V8" s="1912"/>
    </row>
    <row r="9" spans="1:22" ht="14.25">
      <c r="A9" s="3450"/>
      <c r="B9" s="3451"/>
      <c r="C9" s="3461"/>
      <c r="D9" s="3462"/>
      <c r="E9" s="259" t="s">
        <v>308</v>
      </c>
      <c r="F9" s="260"/>
      <c r="G9" s="260"/>
      <c r="H9" s="260"/>
      <c r="I9" s="261"/>
      <c r="J9" s="1913"/>
      <c r="K9" s="1912"/>
      <c r="L9" s="1912"/>
      <c r="M9" s="1912"/>
      <c r="N9" s="1912"/>
      <c r="O9" s="1912"/>
      <c r="P9" s="1912"/>
      <c r="Q9" s="1912"/>
      <c r="R9" s="1912"/>
      <c r="S9" s="1912"/>
      <c r="T9" s="1912"/>
      <c r="U9" s="1912"/>
      <c r="V9" s="1912"/>
    </row>
    <row r="10" spans="1:22" ht="14.25">
      <c r="A10" s="3450" t="s">
        <v>309</v>
      </c>
      <c r="B10" s="3451">
        <v>15</v>
      </c>
      <c r="C10" s="3459"/>
      <c r="D10" s="3462"/>
      <c r="E10" s="259" t="s">
        <v>310</v>
      </c>
      <c r="F10" s="260"/>
      <c r="G10" s="260"/>
      <c r="H10" s="260"/>
      <c r="I10" s="261"/>
      <c r="J10" s="1913"/>
      <c r="K10" s="1912"/>
      <c r="L10" s="1912"/>
      <c r="M10" s="1912"/>
      <c r="N10" s="1912"/>
      <c r="O10" s="1912"/>
      <c r="P10" s="1912"/>
      <c r="Q10" s="1912"/>
      <c r="R10" s="1912"/>
      <c r="S10" s="1912"/>
      <c r="T10" s="1912"/>
      <c r="U10" s="1912"/>
      <c r="V10" s="1912"/>
    </row>
    <row r="11" spans="1:22" ht="14.25">
      <c r="A11" s="3450"/>
      <c r="B11" s="3451"/>
      <c r="C11" s="3461"/>
      <c r="D11" s="3462"/>
      <c r="E11" s="259" t="s">
        <v>311</v>
      </c>
      <c r="F11" s="260"/>
      <c r="G11" s="260"/>
      <c r="H11" s="260"/>
      <c r="I11" s="261"/>
      <c r="J11" s="1913"/>
      <c r="K11" s="1912"/>
      <c r="L11" s="1912"/>
      <c r="M11" s="1912"/>
      <c r="N11" s="1912"/>
      <c r="O11" s="1912"/>
      <c r="P11" s="1912"/>
      <c r="Q11" s="1912"/>
      <c r="R11" s="1912"/>
      <c r="S11" s="1912"/>
      <c r="T11" s="1912"/>
      <c r="U11" s="1912"/>
      <c r="V11" s="1912"/>
    </row>
    <row r="12" spans="1:22" ht="14.25">
      <c r="A12" s="3450" t="s">
        <v>312</v>
      </c>
      <c r="B12" s="3451">
        <v>15</v>
      </c>
      <c r="C12" s="3459"/>
      <c r="D12" s="3462"/>
      <c r="E12" s="259" t="s">
        <v>313</v>
      </c>
      <c r="F12" s="260"/>
      <c r="G12" s="260"/>
      <c r="H12" s="260"/>
      <c r="I12" s="261"/>
      <c r="J12" s="1913"/>
      <c r="K12" s="1912"/>
      <c r="L12" s="1912"/>
      <c r="M12" s="1912"/>
      <c r="N12" s="1912"/>
      <c r="O12" s="1912"/>
      <c r="P12" s="1912"/>
      <c r="Q12" s="1912"/>
      <c r="R12" s="1912"/>
      <c r="S12" s="1912"/>
      <c r="T12" s="1912"/>
      <c r="U12" s="1912"/>
      <c r="V12" s="1912"/>
    </row>
    <row r="13" spans="1:22" ht="14.25">
      <c r="A13" s="3450"/>
      <c r="B13" s="3451"/>
      <c r="C13" s="3461"/>
      <c r="D13" s="3462"/>
      <c r="E13" s="259" t="s">
        <v>314</v>
      </c>
      <c r="F13" s="260"/>
      <c r="G13" s="260"/>
      <c r="H13" s="260"/>
      <c r="I13" s="261"/>
      <c r="J13" s="1913"/>
      <c r="K13" s="1912"/>
      <c r="L13" s="1912"/>
      <c r="M13" s="1912"/>
      <c r="N13" s="1912"/>
      <c r="O13" s="1912"/>
      <c r="P13" s="1912"/>
      <c r="Q13" s="1912"/>
      <c r="R13" s="1912"/>
      <c r="S13" s="1912"/>
      <c r="T13" s="1912"/>
      <c r="U13" s="1912"/>
      <c r="V13" s="1912"/>
    </row>
    <row r="14" spans="1:22" ht="14.25">
      <c r="A14" s="3450" t="s">
        <v>315</v>
      </c>
      <c r="B14" s="3451">
        <v>30</v>
      </c>
      <c r="C14" s="3459">
        <v>5</v>
      </c>
      <c r="D14" s="3462">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50"/>
      <c r="B15" s="3451"/>
      <c r="C15" s="3460"/>
      <c r="D15" s="3462"/>
      <c r="E15" s="259" t="s">
        <v>317</v>
      </c>
      <c r="F15" s="260"/>
      <c r="G15" s="260"/>
      <c r="H15" s="260"/>
      <c r="I15" s="261"/>
      <c r="J15" s="1913"/>
      <c r="K15" s="1912"/>
      <c r="L15" s="1912"/>
      <c r="M15" s="1912"/>
      <c r="N15" s="1912"/>
      <c r="O15" s="1912"/>
      <c r="P15" s="1912"/>
      <c r="Q15" s="1912"/>
      <c r="R15" s="1912"/>
      <c r="S15" s="1912"/>
      <c r="T15" s="1912"/>
      <c r="U15" s="1912"/>
      <c r="V15" s="1912"/>
    </row>
    <row r="16" spans="1:22" ht="14.25">
      <c r="A16" s="3450"/>
      <c r="B16" s="3451"/>
      <c r="C16" s="3461"/>
      <c r="D16" s="3462"/>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64" t="s">
        <v>2954</v>
      </c>
      <c r="F18" s="3465"/>
      <c r="G18" s="3465"/>
      <c r="H18" s="3465"/>
      <c r="I18" s="3465"/>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5727</v>
      </c>
      <c r="D19" s="269">
        <f ca="1">SUMIF(INDIRECT("'"&amp;D4&amp;"'"&amp;"!A:A"),结果表!B19,INDIRECT("'"&amp;D4&amp;"'"&amp;"!B:B"))</f>
        <v>4648</v>
      </c>
      <c r="E19" s="266" t="s">
        <v>323</v>
      </c>
      <c r="F19" s="267" t="s">
        <v>322</v>
      </c>
      <c r="G19" s="270">
        <f ca="1">ROUND(C19*$C$18+D19*$D$18,0)</f>
        <v>5188</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859</v>
      </c>
      <c r="D20" s="275">
        <f ca="1">SUMIF(INDIRECT("'"&amp;D4&amp;"'"&amp;"!A:A"),结果表!B20,INDIRECT("'"&amp;D4&amp;"'"&amp;"!B:B"))</f>
        <v>697</v>
      </c>
      <c r="E20" s="272"/>
      <c r="F20" s="273" t="s">
        <v>325</v>
      </c>
      <c r="G20" s="276">
        <f ca="1">ROUND(C20*$C$18+D20*$D$18,0)</f>
        <v>778</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1718</v>
      </c>
      <c r="D21" s="149">
        <f ca="1">SUMIF(INDIRECT("'"&amp;D4&amp;"'"&amp;"!A:A"),结果表!B21,INDIRECT("'"&amp;D4&amp;"'"&amp;"!B:B"))</f>
        <v>1394</v>
      </c>
      <c r="E21" s="272"/>
      <c r="F21" s="278" t="s">
        <v>327</v>
      </c>
      <c r="G21" s="280">
        <f ca="1">ROUND(C21*$C$18+D21*$D$18,0)</f>
        <v>1556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0.23214285714285721</v>
      </c>
      <c r="E22" s="282"/>
      <c r="F22" s="283"/>
      <c r="G22" s="284">
        <f ca="1">ROUND(G19/('数据-汇总表'!D3/666.67),0)</f>
        <v>104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3"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70"/>
      <c r="B25" s="1275" t="s">
        <v>331</v>
      </c>
      <c r="C25" s="288">
        <f>IF(B30=0,0,C30)</f>
        <v>0</v>
      </c>
      <c r="D25" s="289"/>
      <c r="E25" s="309"/>
      <c r="F25" s="309"/>
      <c r="G25" s="309"/>
      <c r="H25" s="309"/>
      <c r="I25" s="309"/>
      <c r="J25" s="1912"/>
      <c r="K25" s="1209" t="str">
        <f ca="1">项目基本情况!B16&amp;"国有建设用地使用权价格："&amp;O38&amp;"万元"</f>
        <v>出让国有建设用地使用权价格：5188万元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大写金额：人民币伍仟壹佰捌拾捌万元整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单位面积地价：1556元/平方米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楼面地价：778元/平方米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抵押价格：5188万元</v>
      </c>
      <c r="L29" s="1206"/>
      <c r="M29" s="1206"/>
      <c r="N29" s="1206"/>
      <c r="O29" s="1205"/>
      <c r="P29" s="1912"/>
      <c r="V29" s="1912"/>
    </row>
    <row r="30" spans="1:26" ht="18.75" thickBot="1">
      <c r="A30" s="2800" t="s">
        <v>336</v>
      </c>
      <c r="B30" s="307"/>
      <c r="C30" s="307"/>
      <c r="D30" s="308"/>
      <c r="E30" s="3003" t="s">
        <v>2955</v>
      </c>
      <c r="F30" s="309"/>
      <c r="G30" s="309"/>
      <c r="H30" s="309"/>
      <c r="I30" s="309"/>
      <c r="J30" s="1912"/>
      <c r="K30" s="1212" t="str">
        <f ca="1">IF(K29="——","——","大写金额：人民币"&amp;NUMBERSTRING(INT(O39*10000),2)&amp;"元整")</f>
        <v>大写金额：人民币伍仟壹佰捌拾捌万元整</v>
      </c>
      <c r="L30" s="1206"/>
      <c r="M30" s="1206"/>
      <c r="N30" s="1206"/>
      <c r="O30" s="1205"/>
      <c r="P30" s="1912"/>
      <c r="V30" s="1912"/>
    </row>
    <row r="31" spans="1:26" ht="24" customHeight="1" thickBot="1">
      <c r="A31" s="3466" t="s">
        <v>2956</v>
      </c>
      <c r="B31" s="3466"/>
      <c r="C31" s="3466"/>
      <c r="D31" s="3466"/>
      <c r="E31" s="3466"/>
      <c r="F31" s="3466"/>
      <c r="G31" s="3466"/>
      <c r="H31" s="3466"/>
      <c r="I31" s="3466"/>
      <c r="J31" s="1912"/>
      <c r="K31" s="2322" t="str">
        <f>IF(项目基本情况!E8="抵押价格","——","抵押担保权已注销时的抵押价格："&amp;O40&amp;"万元")</f>
        <v>——</v>
      </c>
      <c r="L31" s="2318"/>
      <c r="M31" s="2318"/>
      <c r="N31" s="2318"/>
      <c r="O31" s="2319"/>
      <c r="P31" s="1912"/>
      <c r="V31" s="1912"/>
    </row>
    <row r="32" spans="1:26" ht="19.5" thickTop="1" thickBot="1">
      <c r="A32" s="272" t="s">
        <v>337</v>
      </c>
      <c r="B32" s="3004" t="s">
        <v>1679</v>
      </c>
      <c r="C32" s="264">
        <f ca="1">G19-C24</f>
        <v>5188</v>
      </c>
      <c r="D32" s="3005" t="s">
        <v>1680</v>
      </c>
      <c r="E32" s="309"/>
      <c r="F32" s="309"/>
      <c r="G32" s="309"/>
      <c r="H32" s="309"/>
      <c r="I32" s="309"/>
      <c r="J32" s="1912"/>
      <c r="K32" s="2317" t="str">
        <f>IF(K31="——","——","大写金额：人民币"&amp;NUMBERSTRING(INT(O40*10000),2)&amp;"元整")</f>
        <v>——</v>
      </c>
      <c r="L32" s="2320"/>
      <c r="M32" s="2320"/>
      <c r="N32" s="2320"/>
      <c r="O32" s="2321"/>
      <c r="P32" s="1912"/>
      <c r="V32" s="1912"/>
    </row>
    <row r="33" spans="1:26" ht="18.75" thickBot="1">
      <c r="A33" s="296" t="s">
        <v>340</v>
      </c>
      <c r="B33" s="1333" t="s">
        <v>1681</v>
      </c>
      <c r="C33" s="262">
        <f ca="1">ROUND(C32*10000/'数据-汇总表'!E3,0)</f>
        <v>778</v>
      </c>
      <c r="D33" s="1334" t="s">
        <v>1682</v>
      </c>
      <c r="E33" s="3423"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1556</v>
      </c>
      <c r="D34" s="1336" t="s">
        <v>1682</v>
      </c>
      <c r="E34" s="3424"/>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104</v>
      </c>
      <c r="D35" s="1339" t="s">
        <v>1684</v>
      </c>
      <c r="E35" s="3425"/>
      <c r="F35" s="299" t="s">
        <v>342</v>
      </c>
      <c r="G35" s="970"/>
      <c r="H35" s="969" t="s">
        <v>343</v>
      </c>
      <c r="I35" s="309"/>
      <c r="J35" s="1912"/>
      <c r="K35" s="3429" t="s">
        <v>350</v>
      </c>
      <c r="L35" s="3429" t="s">
        <v>351</v>
      </c>
      <c r="M35" s="1218" t="s">
        <v>352</v>
      </c>
      <c r="N35" s="3429" t="s">
        <v>353</v>
      </c>
      <c r="O35" s="3429" t="s">
        <v>354</v>
      </c>
      <c r="P35" s="1912"/>
      <c r="V35" s="1912"/>
    </row>
    <row r="36" spans="1:26" ht="16.5" customHeight="1">
      <c r="A36" s="301" t="s">
        <v>344</v>
      </c>
      <c r="B36" s="302" t="s">
        <v>333</v>
      </c>
      <c r="C36" s="303" t="s">
        <v>345</v>
      </c>
      <c r="D36" s="303" t="s">
        <v>346</v>
      </c>
      <c r="E36" s="304" t="s">
        <v>347</v>
      </c>
      <c r="F36" s="309"/>
      <c r="G36" s="309"/>
      <c r="H36" s="309"/>
      <c r="I36" s="309"/>
      <c r="J36" s="1914"/>
      <c r="K36" s="3430"/>
      <c r="L36" s="3430"/>
      <c r="M36" s="1220" t="s">
        <v>355</v>
      </c>
      <c r="N36" s="3430"/>
      <c r="O36" s="3430"/>
      <c r="P36" s="1912"/>
      <c r="V36" s="1912"/>
    </row>
    <row r="37" spans="1:26" ht="16.5" customHeight="1" thickBot="1">
      <c r="A37" s="1214" t="s">
        <v>348</v>
      </c>
      <c r="B37" s="305"/>
      <c r="C37" s="292"/>
      <c r="D37" s="292"/>
      <c r="E37" s="293"/>
      <c r="F37" s="309"/>
      <c r="G37" s="309"/>
      <c r="H37" s="309"/>
      <c r="I37" s="309"/>
      <c r="J37" s="1914"/>
      <c r="K37" s="3431"/>
      <c r="L37" s="3431"/>
      <c r="M37" s="1221"/>
      <c r="N37" s="3431"/>
      <c r="O37" s="3431"/>
      <c r="P37" s="1912"/>
      <c r="V37" s="1912"/>
    </row>
    <row r="38" spans="1:26" ht="16.5" customHeight="1" thickBot="1">
      <c r="A38" s="1214" t="s">
        <v>349</v>
      </c>
      <c r="B38" s="305"/>
      <c r="C38" s="292"/>
      <c r="D38" s="292"/>
      <c r="E38" s="293"/>
      <c r="F38" s="309"/>
      <c r="G38" s="309"/>
      <c r="H38" s="309"/>
      <c r="I38" s="309"/>
      <c r="J38" s="1914"/>
      <c r="K38" s="1222">
        <f>'数据-汇总表'!D3</f>
        <v>33333.300000000003</v>
      </c>
      <c r="L38" s="1223">
        <f>'数据-汇总表'!E3</f>
        <v>66666.600000000006</v>
      </c>
      <c r="M38" s="1223">
        <f ca="1">C34</f>
        <v>1556</v>
      </c>
      <c r="N38" s="1223">
        <f ca="1">C33</f>
        <v>778</v>
      </c>
      <c r="O38" s="1224">
        <f ca="1">C32</f>
        <v>5188</v>
      </c>
      <c r="P38" s="1912"/>
      <c r="V38" s="1912"/>
    </row>
    <row r="39" spans="1:26" ht="16.5" customHeight="1" thickBot="1">
      <c r="A39" s="1219"/>
      <c r="B39" s="306"/>
      <c r="C39" s="307"/>
      <c r="D39" s="307"/>
      <c r="E39" s="308"/>
      <c r="F39" s="309"/>
      <c r="G39" s="309"/>
      <c r="H39" s="309"/>
      <c r="I39" s="309"/>
      <c r="J39" s="1914"/>
      <c r="K39" s="3442" t="str">
        <f>MID(A44,3,LEN(A44)-2)</f>
        <v>抵押价格</v>
      </c>
      <c r="L39" s="3443"/>
      <c r="M39" s="3443"/>
      <c r="N39" s="3444"/>
      <c r="O39" s="1341">
        <f ca="1">C44</f>
        <v>5188</v>
      </c>
      <c r="P39" s="1912"/>
      <c r="V39" s="1912"/>
    </row>
    <row r="40" spans="1:26" ht="19.5" thickBot="1">
      <c r="A40" s="104" t="s">
        <v>864</v>
      </c>
      <c r="B40" s="309"/>
      <c r="C40" s="309"/>
      <c r="D40" s="309"/>
      <c r="E40" s="309"/>
      <c r="F40" s="309"/>
      <c r="G40" s="309"/>
      <c r="H40" s="309"/>
      <c r="I40" s="309"/>
      <c r="J40" s="1914"/>
      <c r="K40" s="3442" t="str">
        <f t="shared" ref="K40:K41" si="0">MID(A45,3,LEN(A45)-2)</f>
        <v/>
      </c>
      <c r="L40" s="3443"/>
      <c r="M40" s="3443"/>
      <c r="N40" s="344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2" t="str">
        <f t="shared" si="0"/>
        <v/>
      </c>
      <c r="L41" s="3443"/>
      <c r="M41" s="3443"/>
      <c r="N41" s="3444"/>
      <c r="O41" s="1341" t="str">
        <f>C46</f>
        <v>——</v>
      </c>
      <c r="P41" s="1912"/>
      <c r="V41" s="1912"/>
    </row>
    <row r="42" spans="1:26" ht="29.25">
      <c r="A42" s="3471" t="s">
        <v>2056</v>
      </c>
      <c r="B42" s="3472"/>
      <c r="C42" s="262">
        <f ca="1">C32</f>
        <v>5188</v>
      </c>
      <c r="D42" s="315">
        <f ca="1">C33</f>
        <v>778</v>
      </c>
      <c r="E42" s="315">
        <f ca="1">C34</f>
        <v>1556</v>
      </c>
      <c r="F42" s="316">
        <f ca="1">C35</f>
        <v>104</v>
      </c>
      <c r="G42" s="309"/>
      <c r="H42" s="309"/>
      <c r="I42" s="317"/>
      <c r="J42" s="1914"/>
      <c r="K42" s="1225" t="s">
        <v>361</v>
      </c>
      <c r="L42" s="1931" t="s">
        <v>362</v>
      </c>
      <c r="M42" s="1226" t="s">
        <v>363</v>
      </c>
      <c r="N42" s="1932" t="s">
        <v>364</v>
      </c>
      <c r="O42" s="1933" t="s">
        <v>365</v>
      </c>
      <c r="P42" s="1912"/>
      <c r="V42" s="1912"/>
    </row>
    <row r="43" spans="1:26" ht="30">
      <c r="A43" s="3481" t="s">
        <v>2711</v>
      </c>
      <c r="B43" s="3482"/>
      <c r="C43" s="262">
        <f>IF(H33="正常操作",G33+G34+G35,G34+G35)</f>
        <v>0</v>
      </c>
      <c r="D43" s="315" t="s">
        <v>43</v>
      </c>
      <c r="E43" s="315" t="s">
        <v>44</v>
      </c>
      <c r="F43" s="316" t="s">
        <v>44</v>
      </c>
      <c r="G43" s="2583" t="s">
        <v>943</v>
      </c>
      <c r="H43" s="309"/>
      <c r="I43" s="317"/>
      <c r="J43" s="1914"/>
      <c r="K43" s="1227" t="str">
        <f>C4</f>
        <v>比较法-住宅、综合</v>
      </c>
      <c r="L43" s="1228">
        <f ca="1">IF(L42="估价结果/万元",C19,C20)</f>
        <v>5727</v>
      </c>
      <c r="M43" s="1229">
        <f>C18</f>
        <v>0.5</v>
      </c>
      <c r="N43" s="1230">
        <f ca="1">IF(N42="测算结果/万元",G19,G20)</f>
        <v>5188</v>
      </c>
      <c r="O43" s="1231">
        <f ca="1">IF(O42="最终结果/万元",C32,C33)</f>
        <v>5188</v>
      </c>
      <c r="P43" s="1912"/>
      <c r="V43" s="1912"/>
    </row>
    <row r="44" spans="1:26" ht="30.75" thickBot="1">
      <c r="A44" s="3471" t="str">
        <f>IF(OR(项目基本情况!E8="抵押价格",项目基本情况!E8="已注销及未注销"),"3.抵押价格","——")</f>
        <v>3.抵押价格</v>
      </c>
      <c r="B44" s="3472"/>
      <c r="C44" s="262">
        <f ca="1">IF(A44="——","——",C42-C43)</f>
        <v>5188</v>
      </c>
      <c r="D44" s="315">
        <f ca="1">ROUND(C44*10000/'数据-汇总表'!E3,0)</f>
        <v>778</v>
      </c>
      <c r="E44" s="315">
        <f ca="1">ROUND(C44*10000/'数据-汇总表'!D3,0)</f>
        <v>1556</v>
      </c>
      <c r="F44" s="316">
        <f ca="1">ROUND(C44/('数据-汇总表'!D3/666.67),0)</f>
        <v>104</v>
      </c>
      <c r="G44" s="309"/>
      <c r="H44" s="309"/>
      <c r="I44" s="317"/>
      <c r="J44" s="1914"/>
      <c r="K44" s="1232" t="str">
        <f>D4</f>
        <v>剩余法-待开发</v>
      </c>
      <c r="L44" s="1233">
        <f ca="1">IF(L42="估价结果/万元",D19,D20)</f>
        <v>4648</v>
      </c>
      <c r="M44" s="1234">
        <f>D18</f>
        <v>0.5</v>
      </c>
      <c r="N44" s="1235"/>
      <c r="O44" s="1236"/>
      <c r="P44" s="1912"/>
      <c r="V44" s="1912"/>
    </row>
    <row r="45" spans="1:26" ht="15">
      <c r="A45" s="3476" t="str">
        <f>IF(项目基本情况!E8="已注销及未注销","4.抵押担保权已注销时的抵押价格",IF(项目基本情况!E8="已注销","3.抵押担保权已注销时的抵押价格","——"))</f>
        <v>——</v>
      </c>
      <c r="B45" s="3477"/>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73" t="str">
        <f>IF(项目基本情况!E9="抵押净值",IF(A45="——","4.抵押净值","5.抵押净值"),"——")</f>
        <v>——</v>
      </c>
      <c r="B46" s="3474"/>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4" t="s">
        <v>374</v>
      </c>
      <c r="B63" s="3435"/>
      <c r="C63" s="3436"/>
      <c r="D63" s="339">
        <f ca="1">ROUND(C42*F63,0)</f>
        <v>5188</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8" t="s">
        <v>378</v>
      </c>
      <c r="B64" s="3479"/>
      <c r="C64" s="3479"/>
      <c r="D64" s="3479"/>
      <c r="E64" s="3479"/>
      <c r="F64" s="3479"/>
      <c r="G64" s="3480"/>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75" t="s">
        <v>386</v>
      </c>
      <c r="B66" s="3441"/>
      <c r="C66" s="344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02" t="s">
        <v>385</v>
      </c>
      <c r="M66" s="3403"/>
      <c r="N66" s="2312"/>
      <c r="O66" s="2313"/>
      <c r="P66" s="2314"/>
      <c r="Q66" s="1912"/>
      <c r="R66" s="1912"/>
      <c r="S66" s="1912"/>
      <c r="T66" s="1912"/>
      <c r="U66" s="1912"/>
      <c r="V66" s="1912"/>
    </row>
    <row r="67" spans="1:22" ht="25.5" customHeight="1">
      <c r="A67" s="350" t="s">
        <v>389</v>
      </c>
      <c r="B67" s="3453" t="s">
        <v>390</v>
      </c>
      <c r="C67" s="3453"/>
      <c r="D67" s="351">
        <v>0</v>
      </c>
      <c r="E67" s="41" t="s">
        <v>391</v>
      </c>
      <c r="F67" s="62" t="s">
        <v>21</v>
      </c>
      <c r="G67" s="3437"/>
      <c r="H67" s="3006" t="s">
        <v>2957</v>
      </c>
      <c r="I67" s="3008"/>
      <c r="J67" s="1919"/>
      <c r="K67" s="1891">
        <v>2</v>
      </c>
      <c r="L67" s="3407" t="s">
        <v>388</v>
      </c>
      <c r="M67" s="3407"/>
      <c r="N67" s="1279">
        <f>'数据-取费表'!B2</f>
        <v>44101</v>
      </c>
      <c r="O67" s="1279"/>
      <c r="P67" s="1279"/>
      <c r="Q67" s="1912"/>
      <c r="R67" s="1912"/>
      <c r="S67" s="1912"/>
      <c r="T67" s="1912"/>
      <c r="U67" s="1912"/>
      <c r="V67" s="1912"/>
    </row>
    <row r="68" spans="1:22" ht="25.5" customHeight="1">
      <c r="A68" s="352"/>
      <c r="B68" s="3453" t="s">
        <v>393</v>
      </c>
      <c r="C68" s="3453"/>
      <c r="D68" s="353"/>
      <c r="E68" s="77"/>
      <c r="F68" s="354"/>
      <c r="G68" s="3438"/>
      <c r="H68" s="3007" t="s">
        <v>2958</v>
      </c>
      <c r="I68" s="3008"/>
      <c r="J68" s="1919"/>
      <c r="K68" s="1891">
        <v>3</v>
      </c>
      <c r="L68" s="3407" t="s">
        <v>392</v>
      </c>
      <c r="M68" s="3407"/>
      <c r="N68" s="1247">
        <f ca="1">C42</f>
        <v>5188</v>
      </c>
      <c r="O68" s="1247"/>
      <c r="P68" s="1247"/>
      <c r="Q68" s="1912"/>
      <c r="R68" s="1912"/>
      <c r="S68" s="1912"/>
      <c r="T68" s="1912"/>
      <c r="U68" s="1912"/>
      <c r="V68" s="1912"/>
    </row>
    <row r="69" spans="1:22" ht="23.45" customHeight="1">
      <c r="A69" s="355"/>
      <c r="B69" s="3453" t="s">
        <v>394</v>
      </c>
      <c r="C69" s="3453"/>
      <c r="D69" s="356"/>
      <c r="E69" s="73"/>
      <c r="F69" s="354"/>
      <c r="G69" s="3439"/>
      <c r="H69" s="3007" t="s">
        <v>2959</v>
      </c>
      <c r="I69" s="3008"/>
      <c r="J69" s="1919"/>
      <c r="K69" s="1248">
        <v>4</v>
      </c>
      <c r="L69" s="3408" t="s">
        <v>2863</v>
      </c>
      <c r="M69" s="3409"/>
      <c r="N69" s="1249">
        <f ca="1">C44</f>
        <v>5188</v>
      </c>
      <c r="O69" s="1249"/>
      <c r="P69" s="1249"/>
      <c r="Q69" s="1912"/>
      <c r="R69" s="1912"/>
      <c r="S69" s="1912"/>
      <c r="T69" s="1912"/>
      <c r="U69" s="1912"/>
      <c r="V69" s="1912"/>
    </row>
    <row r="70" spans="1:22" ht="24" customHeight="1">
      <c r="A70" s="357" t="s">
        <v>395</v>
      </c>
      <c r="B70" s="3453" t="s">
        <v>396</v>
      </c>
      <c r="C70" s="3453"/>
      <c r="D70" s="356">
        <f ca="1">ROUND(D63*'数据-取费表'!B41/(1+'数据-取费表'!C42),0)</f>
        <v>272</v>
      </c>
      <c r="E70" s="17" t="s">
        <v>397</v>
      </c>
      <c r="F70" s="358">
        <f>'数据-取费表'!B41</f>
        <v>5.5000000000000007E-2</v>
      </c>
      <c r="G70" s="359"/>
      <c r="H70" s="309"/>
      <c r="I70" s="1246"/>
      <c r="J70" s="1919"/>
      <c r="K70" s="2765"/>
      <c r="L70" s="2766"/>
      <c r="M70" s="2766"/>
      <c r="N70" s="2767" t="s">
        <v>2867</v>
      </c>
      <c r="O70" s="2766"/>
      <c r="P70" s="2768"/>
      <c r="Q70" s="1912"/>
      <c r="R70" s="1912"/>
      <c r="S70" s="1912"/>
      <c r="T70" s="1912"/>
      <c r="U70" s="1912"/>
      <c r="V70" s="1912"/>
    </row>
    <row r="71" spans="1:22" ht="12" customHeight="1">
      <c r="A71" s="357" t="s">
        <v>403</v>
      </c>
      <c r="B71" s="3452" t="s">
        <v>2989</v>
      </c>
      <c r="C71" s="3469"/>
      <c r="D71" s="356">
        <f ca="1">ROUND(D63*'数据-取费表'!B41/(1+'数据-取费表'!C42),0)</f>
        <v>272</v>
      </c>
      <c r="E71" s="17" t="s">
        <v>397</v>
      </c>
      <c r="F71" s="358">
        <f>'数据-取费表'!B41</f>
        <v>5.5000000000000007E-2</v>
      </c>
      <c r="G71" s="359"/>
      <c r="H71" s="309"/>
      <c r="I71" s="1246"/>
      <c r="J71" s="1919"/>
      <c r="K71" s="2764" t="s">
        <v>398</v>
      </c>
      <c r="L71" s="3410" t="s">
        <v>399</v>
      </c>
      <c r="M71" s="3410"/>
      <c r="N71" s="2764" t="s">
        <v>400</v>
      </c>
      <c r="O71" s="2764" t="s">
        <v>401</v>
      </c>
      <c r="P71" s="2764" t="s">
        <v>402</v>
      </c>
      <c r="Q71" s="1912"/>
      <c r="R71" s="1912"/>
      <c r="S71" s="1912"/>
      <c r="T71" s="1912"/>
      <c r="U71" s="1912"/>
      <c r="V71" s="1912"/>
    </row>
    <row r="72" spans="1:22" ht="12" customHeight="1">
      <c r="A72" s="357" t="s">
        <v>405</v>
      </c>
      <c r="B72" s="3452" t="s">
        <v>2990</v>
      </c>
      <c r="C72" s="3469"/>
      <c r="D72" s="356">
        <f ca="1">C86</f>
        <v>272</v>
      </c>
      <c r="E72" s="73" t="s">
        <v>406</v>
      </c>
      <c r="F72" s="358">
        <f>'数据-取费表'!B41</f>
        <v>5.5000000000000007E-2</v>
      </c>
      <c r="G72" s="359"/>
      <c r="H72" s="1252"/>
      <c r="I72" s="1246"/>
      <c r="J72" s="1919"/>
      <c r="K72" s="1891">
        <v>1</v>
      </c>
      <c r="L72" s="3406" t="s">
        <v>404</v>
      </c>
      <c r="M72" s="3406"/>
      <c r="N72" s="1250" t="b">
        <f>D66</f>
        <v>0</v>
      </c>
      <c r="O72" s="1774" t="str">
        <f>E66</f>
        <v>销售额×税（费）率</v>
      </c>
      <c r="P72" s="1251">
        <f>F66</f>
        <v>5.5000000000000007E-2</v>
      </c>
      <c r="Q72" s="1912"/>
      <c r="R72" s="1912"/>
      <c r="S72" s="1912"/>
      <c r="T72" s="1912"/>
      <c r="U72" s="1912"/>
      <c r="V72" s="1912"/>
    </row>
    <row r="73" spans="1:22" ht="24" customHeight="1">
      <c r="A73" s="3440" t="s">
        <v>408</v>
      </c>
      <c r="B73" s="3441"/>
      <c r="C73" s="3441"/>
      <c r="D73" s="360">
        <f ca="1">IF(H73="个人住宅",0,ROUND(D63*I73,0))</f>
        <v>3</v>
      </c>
      <c r="E73" s="17" t="s">
        <v>409</v>
      </c>
      <c r="F73" s="358" t="str">
        <f>IF(H73="正常",I73,"免征")</f>
        <v>免征</v>
      </c>
      <c r="G73" s="359"/>
      <c r="H73" s="189"/>
      <c r="I73" s="358">
        <f>'数据-取费表'!B49</f>
        <v>5.0000000000000001E-4</v>
      </c>
      <c r="J73" s="1919"/>
      <c r="K73" s="1891">
        <v>2</v>
      </c>
      <c r="L73" s="3406" t="s">
        <v>407</v>
      </c>
      <c r="M73" s="3406"/>
      <c r="N73" s="1250">
        <f t="shared" ref="N73:P74" ca="1" si="1">D73</f>
        <v>3</v>
      </c>
      <c r="O73" s="1774" t="str">
        <f t="shared" si="1"/>
        <v>销售额×税（费）率</v>
      </c>
      <c r="P73" s="1251" t="str">
        <f t="shared" si="1"/>
        <v>免征</v>
      </c>
      <c r="Q73" s="1912"/>
      <c r="R73" s="1912"/>
      <c r="S73" s="1912"/>
      <c r="T73" s="1912"/>
      <c r="U73" s="1912"/>
      <c r="V73" s="1912"/>
    </row>
    <row r="74" spans="1:22" ht="24.75">
      <c r="A74" s="3440" t="s">
        <v>411</v>
      </c>
      <c r="B74" s="3441"/>
      <c r="C74" s="3441"/>
      <c r="D74" s="360">
        <f ca="1">IF(H74="个人住宅",D75,D76)</f>
        <v>2941</v>
      </c>
      <c r="E74" s="17" t="s">
        <v>412</v>
      </c>
      <c r="F74" s="358" t="str">
        <f>IF(H74="正常",F76,"免征")</f>
        <v>免征</v>
      </c>
      <c r="G74" s="971" t="s">
        <v>413</v>
      </c>
      <c r="H74" s="361"/>
      <c r="I74" s="42"/>
      <c r="J74" s="1919"/>
      <c r="K74" s="1891">
        <v>3</v>
      </c>
      <c r="L74" s="3406" t="s">
        <v>410</v>
      </c>
      <c r="M74" s="3406"/>
      <c r="N74" s="1250">
        <f t="shared" ca="1" si="1"/>
        <v>2941</v>
      </c>
      <c r="O74" s="1774" t="str">
        <f t="shared" si="1"/>
        <v>增值额×税（费）率</v>
      </c>
      <c r="P74" s="1253" t="str">
        <f t="shared" si="1"/>
        <v>免征</v>
      </c>
      <c r="Q74" s="1912"/>
      <c r="R74" s="1912"/>
      <c r="S74" s="1912"/>
      <c r="T74" s="1912"/>
      <c r="U74" s="1912"/>
      <c r="V74" s="1912"/>
    </row>
    <row r="75" spans="1:22" ht="12.75">
      <c r="A75" s="357" t="s">
        <v>414</v>
      </c>
      <c r="B75" s="3421" t="s">
        <v>415</v>
      </c>
      <c r="C75" s="3422"/>
      <c r="D75" s="362">
        <v>0</v>
      </c>
      <c r="E75" s="41" t="s">
        <v>416</v>
      </c>
      <c r="F75" s="363"/>
      <c r="G75" s="359"/>
      <c r="H75" s="42"/>
      <c r="I75" s="42"/>
      <c r="J75" s="1919"/>
      <c r="K75" s="2758">
        <f>IF(H77="非个人房产","",4)</f>
        <v>4</v>
      </c>
      <c r="L75" s="3406" t="str">
        <f>IF(H77="非个人房产","——","个人所得税")</f>
        <v>个人所得税</v>
      </c>
      <c r="M75" s="3406"/>
      <c r="N75" s="1254">
        <f>D77</f>
        <v>0</v>
      </c>
      <c r="O75" s="1787" t="str">
        <f>E77</f>
        <v>差额计税</v>
      </c>
      <c r="P75" s="1255">
        <f>F77</f>
        <v>0.01</v>
      </c>
      <c r="Q75" s="1912"/>
      <c r="R75" s="1912"/>
      <c r="S75" s="1912"/>
      <c r="T75" s="1912"/>
      <c r="U75" s="1912"/>
      <c r="V75" s="1912"/>
    </row>
    <row r="76" spans="1:22" ht="24.75">
      <c r="A76" s="357" t="s">
        <v>395</v>
      </c>
      <c r="B76" s="3421" t="s">
        <v>418</v>
      </c>
      <c r="C76" s="3463"/>
      <c r="D76" s="360">
        <f ca="1">IF(H76="转让取得",C99,C115)</f>
        <v>2941</v>
      </c>
      <c r="E76" s="17" t="s">
        <v>419</v>
      </c>
      <c r="F76" s="53" t="s">
        <v>21</v>
      </c>
      <c r="G76" s="359"/>
      <c r="H76" s="361"/>
      <c r="I76" s="42"/>
      <c r="J76" s="1919"/>
      <c r="K76" s="2758" t="str">
        <f>IF(项目基本情况!K6="上海银行",IF(K75="",4,K75+1),"")</f>
        <v/>
      </c>
      <c r="L76" s="3417" t="str">
        <f>IF(项目基本情况!K6="上海银行","其他处置费用","")</f>
        <v/>
      </c>
      <c r="M76" s="3418"/>
      <c r="N76" s="1250" t="str">
        <f>IF(项目基本情况!K6="上海银行",N89,"")</f>
        <v/>
      </c>
      <c r="O76" s="3419" t="str">
        <f>IF(项目基本情况!K6="上海银行","包含处置中涉及的律师、诉讼、拍卖、评估等费用","")</f>
        <v/>
      </c>
      <c r="P76" s="3420"/>
      <c r="Q76" s="1912"/>
      <c r="R76" s="1912"/>
      <c r="S76" s="1912"/>
      <c r="T76" s="1912"/>
      <c r="U76" s="1912"/>
      <c r="V76" s="1912"/>
    </row>
    <row r="77" spans="1:22" ht="24.75" thickBot="1">
      <c r="A77" s="3432" t="s">
        <v>421</v>
      </c>
      <c r="B77" s="3433"/>
      <c r="C77" s="343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2960</v>
      </c>
      <c r="J77" s="1919"/>
      <c r="K77" s="3428">
        <f>IF(AND(K75="",K76=""),4,IF(项目基本情况!K6="上海银行",K76+1,K75+1))</f>
        <v>5</v>
      </c>
      <c r="L77" s="3406" t="s">
        <v>2864</v>
      </c>
      <c r="M77" s="2763" t="s">
        <v>417</v>
      </c>
      <c r="N77" s="1256"/>
      <c r="O77" s="1257">
        <f ca="1">SUMIF(N72:N76,"&lt;9e307")</f>
        <v>2944</v>
      </c>
      <c r="P77" s="1258"/>
      <c r="Q77" s="2761">
        <f ca="1">O77/N69</f>
        <v>0.56746337702390126</v>
      </c>
      <c r="R77" s="1912"/>
      <c r="S77" s="1912"/>
      <c r="T77" s="1912"/>
      <c r="U77" s="1912"/>
      <c r="V77" s="1912"/>
    </row>
    <row r="78" spans="1:22" ht="12" customHeight="1">
      <c r="A78" s="1259"/>
      <c r="B78" s="309"/>
      <c r="C78" s="309"/>
      <c r="D78" s="309"/>
      <c r="E78" s="42"/>
      <c r="F78" s="42"/>
      <c r="G78" s="42"/>
      <c r="H78" s="991"/>
      <c r="I78" s="309"/>
      <c r="J78" s="1919"/>
      <c r="K78" s="3428"/>
      <c r="L78" s="3406"/>
      <c r="M78" s="2763" t="s">
        <v>420</v>
      </c>
      <c r="N78" s="1256"/>
      <c r="O78" s="1257" t="str">
        <f ca="1">NUMBERSTRING(INT(O77*10000),2)&amp;"元整"</f>
        <v>贰仟玖佰肆拾肆万元整</v>
      </c>
      <c r="P78" s="1258"/>
      <c r="Q78" s="1912"/>
      <c r="R78" s="1912"/>
      <c r="S78" s="1912"/>
      <c r="T78" s="1912"/>
      <c r="U78" s="1912"/>
      <c r="V78" s="1912"/>
    </row>
    <row r="79" spans="1:22" ht="13.5" thickBot="1">
      <c r="A79" s="3483" t="s">
        <v>422</v>
      </c>
      <c r="B79" s="3483"/>
      <c r="C79" s="3483"/>
      <c r="D79" s="3483"/>
      <c r="E79" s="3483"/>
      <c r="F79" s="42"/>
      <c r="G79" s="42"/>
      <c r="H79" s="991"/>
      <c r="I79" s="309"/>
      <c r="J79" s="1919"/>
      <c r="K79" s="3404">
        <f>K77+1</f>
        <v>6</v>
      </c>
      <c r="L79" s="3406" t="s">
        <v>2865</v>
      </c>
      <c r="M79" s="2763" t="s">
        <v>417</v>
      </c>
      <c r="N79" s="1256"/>
      <c r="O79" s="1257">
        <f ca="1">N69-O77</f>
        <v>2244</v>
      </c>
      <c r="P79" s="1258"/>
      <c r="Q79" s="1912"/>
      <c r="R79" s="1912"/>
      <c r="S79" s="1912"/>
      <c r="T79" s="1912"/>
      <c r="U79" s="1912"/>
      <c r="V79" s="1912"/>
    </row>
    <row r="80" spans="1:22" ht="25.5">
      <c r="A80" s="3414" t="s">
        <v>423</v>
      </c>
      <c r="B80" s="3415"/>
      <c r="C80" s="982"/>
      <c r="D80" s="982" t="s">
        <v>424</v>
      </c>
      <c r="E80" s="364" t="s">
        <v>425</v>
      </c>
      <c r="F80" s="42"/>
      <c r="G80" s="42"/>
      <c r="H80" s="991"/>
      <c r="I80" s="309"/>
      <c r="J80" s="1912"/>
      <c r="K80" s="3405"/>
      <c r="L80" s="3406"/>
      <c r="M80" s="2763" t="s">
        <v>420</v>
      </c>
      <c r="N80" s="1256"/>
      <c r="O80" s="1257" t="str">
        <f ca="1">NUMBERSTRING(INT(O79*10000),2)&amp;"元整"</f>
        <v>贰仟贰佰肆拾肆万元整</v>
      </c>
      <c r="P80" s="1258"/>
      <c r="Q80" s="1912"/>
      <c r="R80" s="1912"/>
      <c r="S80" s="1912"/>
      <c r="T80" s="1912"/>
      <c r="U80" s="1912"/>
      <c r="V80" s="1912"/>
    </row>
    <row r="81" spans="1:26" ht="13.5" thickBot="1">
      <c r="A81" s="375" t="s">
        <v>1814</v>
      </c>
      <c r="B81" s="365" t="s">
        <v>426</v>
      </c>
      <c r="C81" s="366">
        <f ca="1">ROUND((C82+C83)/(1+'数据-取费表'!C42),0)</f>
        <v>4941</v>
      </c>
      <c r="D81" s="367"/>
      <c r="E81" s="368"/>
      <c r="F81" s="42"/>
      <c r="G81" s="42"/>
      <c r="H81" s="991"/>
      <c r="I81" s="309"/>
      <c r="J81" s="1912"/>
      <c r="K81" s="2758">
        <f>K79+1</f>
        <v>7</v>
      </c>
      <c r="L81" s="3426" t="s">
        <v>2866</v>
      </c>
      <c r="M81" s="3427"/>
      <c r="N81" s="1260"/>
      <c r="O81" s="1261">
        <f ca="1">ROUND(O79*10000/'数据-汇总表'!E3,0)</f>
        <v>337</v>
      </c>
      <c r="P81" s="1262"/>
      <c r="Q81" s="1912"/>
      <c r="R81" s="1912"/>
      <c r="S81" s="1912"/>
      <c r="T81" s="1912"/>
      <c r="U81" s="1912"/>
      <c r="V81" s="1912"/>
    </row>
    <row r="82" spans="1:26" ht="13.5" thickTop="1">
      <c r="A82" s="369" t="s">
        <v>1815</v>
      </c>
      <c r="B82" s="370" t="s">
        <v>427</v>
      </c>
      <c r="C82" s="371">
        <f ca="1">D63</f>
        <v>5188</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16" t="s">
        <v>2854</v>
      </c>
      <c r="L83" s="2769" t="s">
        <v>2855</v>
      </c>
      <c r="M83" s="2759">
        <f ca="1">IF(N69&gt;10000,N69*0.5%,IF(AND(N69&gt;1000,N69&lt;=10000),N69*1%,IF(AND(N69&gt;100,N69&lt;=1000),N69*3%,IF(AND(N69&gt;10,N69&lt;=100),N69*5%,N69*8%))))</f>
        <v>51.88</v>
      </c>
      <c r="N83" s="53">
        <f ca="1">ROUND(M83,1)</f>
        <v>51.9</v>
      </c>
      <c r="O83" s="2762"/>
      <c r="P83" s="1912"/>
      <c r="Q83" s="1912"/>
      <c r="R83" s="1912"/>
      <c r="S83" s="1912"/>
      <c r="T83" s="1912"/>
      <c r="U83" s="1912"/>
      <c r="V83" s="1912"/>
    </row>
    <row r="84" spans="1:26" ht="12.75">
      <c r="A84" s="375" t="s">
        <v>1817</v>
      </c>
      <c r="B84" s="376" t="s">
        <v>429</v>
      </c>
      <c r="C84" s="377"/>
      <c r="D84" s="378" t="s">
        <v>19</v>
      </c>
      <c r="E84" s="2787" t="s">
        <v>2897</v>
      </c>
      <c r="F84" s="42"/>
      <c r="G84" s="42"/>
      <c r="H84" s="991"/>
      <c r="I84" s="309"/>
      <c r="J84" s="1912"/>
      <c r="K84" s="3416"/>
      <c r="L84" s="2769" t="s">
        <v>2856</v>
      </c>
      <c r="M84" s="2759">
        <f ca="1">IF(N69&gt;2000,N69*0.5%,IF(AND(N69&gt;1000,N69&lt;=2000),N69*0.6%,IF(AND(N69&gt;500,N69&lt;=1000),N69*0.7%,IF(AND(N69&gt;200,N69&lt;=500),N69*0.8%,IF(AND(N69&gt;100,N69&lt;=200),N69*0.9%,IF(AND(N69&gt;50,N69&lt;=100),N69*1%,IF(AND(N69&gt;20,N69&lt;=50),N69*1.5%,IF(AND(N69&gt;10,N69&lt;=20),N69*2%,IF(AND(N69&gt;1,N69&lt;=10),N69*2.5%)))))))))</f>
        <v>25.94</v>
      </c>
      <c r="N84" s="53">
        <f t="shared" ref="N84:N85" ca="1" si="2">ROUND(M84,1)</f>
        <v>25.9</v>
      </c>
      <c r="O84" s="1912" t="s">
        <v>2857</v>
      </c>
      <c r="P84" s="1912"/>
      <c r="Q84" s="1912"/>
      <c r="R84" s="1912"/>
      <c r="S84" s="1912"/>
      <c r="T84" s="1912"/>
      <c r="U84" s="1912"/>
      <c r="V84" s="1912"/>
    </row>
    <row r="85" spans="1:26" ht="12.75">
      <c r="A85" s="375" t="s">
        <v>1818</v>
      </c>
      <c r="B85" s="376" t="s">
        <v>430</v>
      </c>
      <c r="C85" s="379">
        <f ca="1">C81-C84</f>
        <v>4941</v>
      </c>
      <c r="D85" s="372" t="s">
        <v>19</v>
      </c>
      <c r="E85" s="373"/>
      <c r="F85" s="42"/>
      <c r="G85" s="42"/>
      <c r="H85" s="991"/>
      <c r="I85" s="309"/>
      <c r="J85" s="1912"/>
      <c r="K85" s="3416"/>
      <c r="L85" s="2769" t="s">
        <v>2858</v>
      </c>
      <c r="M85" s="2759">
        <f ca="1">IF(N69&gt;1000,N69*0.1%,IF(AND(N69&gt;500,N69&lt;=1000),N69*0.5%,IF(AND(N69&gt;50,N69&lt;=500),N69*1%,IF(AND(N69&gt;1,N69&lt;=50),N69*1.5%))))</f>
        <v>5.1879999999999997</v>
      </c>
      <c r="N85" s="53">
        <f t="shared" ca="1" si="2"/>
        <v>5.2</v>
      </c>
      <c r="O85" s="1912" t="s">
        <v>2857</v>
      </c>
      <c r="P85" s="1912"/>
      <c r="Q85" s="1912"/>
      <c r="R85" s="1912"/>
      <c r="S85" s="1912"/>
      <c r="T85" s="1912"/>
      <c r="U85" s="1912"/>
      <c r="V85" s="1912"/>
    </row>
    <row r="86" spans="1:26" ht="13.5" thickBot="1">
      <c r="A86" s="380" t="s">
        <v>1819</v>
      </c>
      <c r="B86" s="381" t="s">
        <v>431</v>
      </c>
      <c r="C86" s="382">
        <f ca="1">IF(C85&lt;=0,0,ROUND(C85*D86,0))</f>
        <v>272</v>
      </c>
      <c r="D86" s="383">
        <f>'数据-取费表'!B41</f>
        <v>5.5000000000000007E-2</v>
      </c>
      <c r="E86" s="384"/>
      <c r="F86" s="42"/>
      <c r="G86" s="42"/>
      <c r="H86" s="991"/>
      <c r="I86" s="309"/>
      <c r="J86" s="1912"/>
      <c r="K86" s="3416"/>
      <c r="L86" s="2769" t="s">
        <v>2859</v>
      </c>
      <c r="M86" s="2759">
        <f ca="1">N69*0.5%</f>
        <v>25.94</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16"/>
      <c r="L87" s="2769" t="s">
        <v>2861</v>
      </c>
      <c r="M87" s="2759">
        <f ca="1">IF(N69&gt;=10000,(8.25+(N69-10000)*0.01%),IF(AND(N69&gt;=8000,N69&lt;10000),(7.85+(N69-8000)*0.02%),IF(AND(N69&gt;=5000,N69&lt;8000),(6.65+(N69-5000)*0.04%),IF(AND(N69&gt;=2000,N69&lt;5000),(4.25+(PN69-2000)*0.08%),IF(AND(N69&gt;=1000,N69&lt;2000),(2.75+(N69-1000)*0.15%),IF(AND(N69&gt;=100,N69&lt;1000),(0.5+(N69-100)*0.25%),IF(AND(N69&gt;0,N69&lt;100),N69*0.5%)))))))</f>
        <v>6.7252000000000001</v>
      </c>
      <c r="N87" s="53">
        <f ca="1">ROUND(M87*0.9,1)</f>
        <v>6.1</v>
      </c>
      <c r="O87" s="2762"/>
      <c r="P87" s="1912"/>
      <c r="Q87" s="1912"/>
      <c r="R87" s="1912"/>
      <c r="S87" s="1912"/>
      <c r="T87" s="1912"/>
      <c r="U87" s="1912"/>
      <c r="V87" s="1912"/>
      <c r="W87" s="290"/>
      <c r="X87" s="290"/>
      <c r="Y87" s="290"/>
      <c r="Z87" s="290"/>
    </row>
    <row r="88" spans="1:26" s="1268" customFormat="1" ht="15" thickBot="1">
      <c r="A88" s="3455" t="s">
        <v>432</v>
      </c>
      <c r="B88" s="3456"/>
      <c r="C88" s="3456"/>
      <c r="D88" s="3456"/>
      <c r="E88" s="3456"/>
      <c r="F88" s="3456"/>
      <c r="G88" s="3456"/>
      <c r="H88" s="3456"/>
      <c r="I88" s="1269"/>
      <c r="J88" s="1920"/>
      <c r="K88" s="3416"/>
      <c r="L88" s="2769" t="s">
        <v>2862</v>
      </c>
      <c r="M88" s="2759">
        <f ca="1">IF(N69&gt;10000,N69*0.5%,IF(AND(N69&gt;5000,N69&lt;=10000),N69*1%,IF(AND(N69&gt;1000,N69&lt;=5000),N69*2%,IF(AND(N69&gt;200,N69&lt;=1000),N69*3%,N69*5%))))</f>
        <v>51.88</v>
      </c>
      <c r="N88" s="53">
        <f ca="1">ROUND(M88,1)</f>
        <v>51.9</v>
      </c>
      <c r="O88" s="2762"/>
      <c r="P88" s="1917"/>
      <c r="Q88" s="1917"/>
      <c r="R88" s="1917"/>
      <c r="S88" s="1917"/>
      <c r="T88" s="1917"/>
      <c r="U88" s="1917"/>
      <c r="V88" s="1917"/>
      <c r="W88" s="1921"/>
      <c r="X88" s="1921"/>
      <c r="Y88" s="1921"/>
      <c r="Z88" s="1921"/>
    </row>
    <row r="89" spans="1:26" s="1268" customFormat="1" ht="14.25">
      <c r="A89" s="3414" t="s">
        <v>423</v>
      </c>
      <c r="B89" s="3415"/>
      <c r="C89" s="982"/>
      <c r="D89" s="982" t="s">
        <v>424</v>
      </c>
      <c r="E89" s="385" t="s">
        <v>433</v>
      </c>
      <c r="F89" s="386"/>
      <c r="G89" s="386"/>
      <c r="H89" s="387"/>
      <c r="I89" s="1270"/>
      <c r="J89" s="1922"/>
      <c r="K89" s="3416"/>
      <c r="L89" s="2769" t="s">
        <v>27</v>
      </c>
      <c r="M89" s="2760"/>
      <c r="N89" s="53">
        <f ca="1">ROUND(SUM(N83:N88),0)</f>
        <v>142</v>
      </c>
      <c r="O89" s="2770">
        <f ca="1">N89/N69</f>
        <v>2.7370855821125674E-2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4941</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25</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52" t="s">
        <v>441</v>
      </c>
      <c r="F94" s="3453"/>
      <c r="G94" s="3453"/>
      <c r="H94" s="345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25</v>
      </c>
      <c r="D96" s="400">
        <f>'数据-取费表'!B43</f>
        <v>5.000000000000001E-3</v>
      </c>
      <c r="E96" s="3411" t="s">
        <v>2413</v>
      </c>
      <c r="F96" s="3412"/>
      <c r="G96" s="3412"/>
      <c r="H96" s="3413"/>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4916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196.64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2941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55" t="s">
        <v>448</v>
      </c>
      <c r="B101" s="3456"/>
      <c r="C101" s="3456"/>
      <c r="D101" s="3456"/>
      <c r="E101" s="3456"/>
      <c r="F101" s="3456"/>
      <c r="G101" s="3456"/>
      <c r="H101" s="345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4" t="s">
        <v>423</v>
      </c>
      <c r="B102" s="3415"/>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4941</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25</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3" t="s">
        <v>2982</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67" t="s">
        <v>2951</v>
      </c>
      <c r="H108" s="3468"/>
      <c r="I108" s="2859"/>
      <c r="J108" s="1917"/>
      <c r="K108" s="3243" t="s">
        <v>2983</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5" t="s">
        <v>456</v>
      </c>
      <c r="F109" s="3412"/>
      <c r="G109" s="3412"/>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4">
        <v>0</v>
      </c>
      <c r="E110" s="3445" t="s">
        <v>458</v>
      </c>
      <c r="F110" s="3412"/>
      <c r="G110" s="3412"/>
      <c r="H110" s="3413"/>
      <c r="I110" s="11"/>
      <c r="J110" s="1917"/>
      <c r="K110" s="3244" t="s">
        <v>2984</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25</v>
      </c>
      <c r="D111" s="400">
        <f>'数据-取费表'!B43</f>
        <v>5.000000000000001E-3</v>
      </c>
      <c r="E111" s="3411" t="s">
        <v>2413</v>
      </c>
      <c r="F111" s="3412"/>
      <c r="G111" s="3412"/>
      <c r="H111" s="3413"/>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5" t="s">
        <v>2436</v>
      </c>
      <c r="F112" s="3412"/>
      <c r="G112" s="3412"/>
      <c r="H112" s="3413"/>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4916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196.64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2941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40" zoomScale="80" zoomScaleNormal="95" zoomScaleSheetLayoutView="80" workbookViewId="0">
      <selection activeCell="M57" sqref="M5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5"/>
      <c r="Q1" s="2015"/>
      <c r="R1" s="2015"/>
      <c r="S1" s="2015"/>
      <c r="T1" s="2015"/>
      <c r="U1" s="2015"/>
      <c r="V1" s="2015"/>
      <c r="W1" s="2015"/>
      <c r="X1" s="2015"/>
      <c r="Y1" s="2015"/>
      <c r="Z1" s="2015"/>
      <c r="AA1" s="2015"/>
      <c r="AB1" s="2015"/>
      <c r="AC1" s="3211"/>
      <c r="AD1" s="1289"/>
    </row>
    <row r="2" spans="1:30" s="1290" customFormat="1" ht="28.5" customHeight="1">
      <c r="A2" s="417" t="s">
        <v>461</v>
      </c>
      <c r="B2" s="502">
        <f>F68</f>
        <v>5727</v>
      </c>
      <c r="C2" s="3219"/>
      <c r="D2" s="3219"/>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c r="AD2" s="1289"/>
    </row>
    <row r="3" spans="1:30" s="1290" customFormat="1" ht="28.5" customHeight="1">
      <c r="A3" s="1331" t="s">
        <v>1675</v>
      </c>
      <c r="B3" s="504">
        <f>ROUND(B2*10000/'数据-汇总表'!E3,0)</f>
        <v>859</v>
      </c>
      <c r="C3" s="3220"/>
      <c r="D3" s="3224"/>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3212"/>
      <c r="AC3" s="1945"/>
    </row>
    <row r="4" spans="1:30" s="1290" customFormat="1" ht="28.5" customHeight="1">
      <c r="A4" s="505" t="s">
        <v>514</v>
      </c>
      <c r="B4" s="421">
        <f>IF(B48="单位面积地价",C50,ROUND(B2*10000/'数据-汇总表'!D3,0))</f>
        <v>1718</v>
      </c>
      <c r="C4" s="3220"/>
      <c r="D4" s="3224"/>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115</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06" t="s">
        <v>516</v>
      </c>
      <c r="D6" s="3507"/>
      <c r="E6" s="3506" t="s">
        <v>517</v>
      </c>
      <c r="F6" s="3507"/>
      <c r="G6" s="3506" t="s">
        <v>518</v>
      </c>
      <c r="H6" s="3507"/>
      <c r="I6" s="3506" t="s">
        <v>519</v>
      </c>
      <c r="J6" s="3507"/>
      <c r="K6" s="508" t="s">
        <v>520</v>
      </c>
      <c r="L6" s="2016"/>
      <c r="M6" s="2015"/>
      <c r="N6" s="2015"/>
      <c r="O6" s="2017"/>
      <c r="P6" s="3508" t="s">
        <v>521</v>
      </c>
      <c r="Q6" s="3509"/>
      <c r="R6" s="3494" t="s">
        <v>517</v>
      </c>
      <c r="S6" s="3495"/>
      <c r="T6" s="3494" t="s">
        <v>518</v>
      </c>
      <c r="U6" s="3495"/>
      <c r="V6" s="3514" t="s">
        <v>519</v>
      </c>
      <c r="W6" s="3514"/>
      <c r="X6" s="1502"/>
      <c r="Y6" s="3494" t="s">
        <v>521</v>
      </c>
      <c r="Z6" s="3495"/>
      <c r="AA6" s="3489" t="s">
        <v>517</v>
      </c>
      <c r="AB6" s="3490" t="s">
        <v>518</v>
      </c>
      <c r="AC6" s="3489" t="s">
        <v>519</v>
      </c>
    </row>
    <row r="7" spans="1:30" ht="20.25">
      <c r="A7" s="509"/>
      <c r="B7" s="510"/>
      <c r="C7" s="3517" t="s">
        <v>2886</v>
      </c>
      <c r="D7" s="3518"/>
      <c r="E7" s="3517" t="str">
        <f>土地案例!A3</f>
        <v>江滨新城</v>
      </c>
      <c r="F7" s="3518"/>
      <c r="G7" s="3517" t="str">
        <f>土地案例!A25</f>
        <v>|端州区28区大鼎二路北侧地段</v>
      </c>
      <c r="H7" s="3518"/>
      <c r="I7" s="3517" t="str">
        <f>土地案例!A26</f>
        <v>端州区28区大鼎路北侧地段</v>
      </c>
      <c r="J7" s="3518"/>
      <c r="K7" s="508"/>
      <c r="L7" s="2016"/>
      <c r="M7" s="2015"/>
      <c r="N7" s="2015"/>
      <c r="O7" s="2017"/>
      <c r="P7" s="3510"/>
      <c r="Q7" s="3511"/>
      <c r="R7" s="3496"/>
      <c r="S7" s="3497"/>
      <c r="T7" s="3496"/>
      <c r="U7" s="3497"/>
      <c r="V7" s="3514"/>
      <c r="W7" s="3514"/>
      <c r="X7" s="1502"/>
      <c r="Y7" s="3496"/>
      <c r="Z7" s="3497"/>
      <c r="AA7" s="3490"/>
      <c r="AB7" s="3490"/>
      <c r="AC7" s="3490"/>
    </row>
    <row r="8" spans="1:30" ht="21" thickBot="1">
      <c r="A8" s="509"/>
      <c r="B8" s="510"/>
      <c r="C8" s="3519" t="s">
        <v>2890</v>
      </c>
      <c r="D8" s="3520"/>
      <c r="E8" s="3519"/>
      <c r="F8" s="3520"/>
      <c r="G8" s="3515" t="s">
        <v>2890</v>
      </c>
      <c r="H8" s="3516"/>
      <c r="I8" s="3515" t="s">
        <v>2890</v>
      </c>
      <c r="J8" s="3516"/>
      <c r="K8" s="508" t="s">
        <v>522</v>
      </c>
      <c r="L8" s="2016"/>
      <c r="M8" s="2015"/>
      <c r="N8" s="2015"/>
      <c r="O8" s="2017"/>
      <c r="P8" s="3512"/>
      <c r="Q8" s="3513"/>
      <c r="R8" s="3496"/>
      <c r="S8" s="3497"/>
      <c r="T8" s="3498"/>
      <c r="U8" s="3499"/>
      <c r="V8" s="3514"/>
      <c r="W8" s="3514"/>
      <c r="X8" s="1502"/>
      <c r="Y8" s="3498"/>
      <c r="Z8" s="3499"/>
      <c r="AA8" s="3491"/>
      <c r="AB8" s="3491"/>
      <c r="AC8" s="3491"/>
    </row>
    <row r="9" spans="1:30" s="1203" customFormat="1" ht="21" thickBot="1">
      <c r="A9" s="2629"/>
      <c r="B9" s="2636" t="s">
        <v>523</v>
      </c>
      <c r="C9" s="2628">
        <f>'数据-取费表'!B2</f>
        <v>44101</v>
      </c>
      <c r="D9" s="514">
        <v>100</v>
      </c>
      <c r="E9" s="515" t="str">
        <f>土地案例!K3</f>
        <v>2019-12-03</v>
      </c>
      <c r="F9" s="516">
        <f>SUMIF(72:72,YEAR(E9)&amp;"-"&amp;INT((MONTH(E9)+2)/3),73:73)</f>
        <v>100</v>
      </c>
      <c r="G9" s="517" t="str">
        <f>土地案例!K25</f>
        <v>2019-11-20</v>
      </c>
      <c r="H9" s="514">
        <f>SUMIF(72:72,YEAR(G9)&amp;"-"&amp;INT((MONTH(G9)+2)/3),73:73)</f>
        <v>100</v>
      </c>
      <c r="I9" s="517" t="str">
        <f>土地案例!K26</f>
        <v>2018-02-08</v>
      </c>
      <c r="J9" s="514">
        <f>SUMIF(72:72,YEAR(I9)&amp;"-"&amp;INT((MONTH(I9)+2)/3),73:73)</f>
        <v>100</v>
      </c>
      <c r="K9" s="518"/>
      <c r="L9" s="2018"/>
      <c r="M9" s="2015"/>
      <c r="N9" s="2015"/>
      <c r="O9" s="2019"/>
      <c r="P9" s="3492" t="s">
        <v>524</v>
      </c>
      <c r="Q9" s="3501"/>
      <c r="R9" s="1503" t="s">
        <v>8</v>
      </c>
      <c r="S9" s="1504">
        <f t="shared" ref="S9:S17" si="0">F9</f>
        <v>100</v>
      </c>
      <c r="T9" s="1503" t="s">
        <v>8</v>
      </c>
      <c r="U9" s="1504">
        <f t="shared" ref="U9:U17" si="1">H9</f>
        <v>100</v>
      </c>
      <c r="V9" s="1503" t="s">
        <v>8</v>
      </c>
      <c r="W9" s="1504">
        <f t="shared" ref="W9:W17" si="2">J9</f>
        <v>100</v>
      </c>
      <c r="X9" s="1505"/>
      <c r="Y9" s="3492" t="s">
        <v>524</v>
      </c>
      <c r="Z9" s="3493"/>
      <c r="AA9" s="1506">
        <f>D9/F9</f>
        <v>1</v>
      </c>
      <c r="AB9" s="1506">
        <f>D9/H9</f>
        <v>1</v>
      </c>
      <c r="AC9" s="1506">
        <f>D9/J9</f>
        <v>1</v>
      </c>
    </row>
    <row r="10" spans="1:30" s="1203" customFormat="1" ht="21" thickBot="1">
      <c r="A10" s="2630"/>
      <c r="B10" s="2637" t="s">
        <v>525</v>
      </c>
      <c r="C10" s="845" t="s">
        <v>526</v>
      </c>
      <c r="D10" s="514">
        <v>100</v>
      </c>
      <c r="E10" s="519" t="s">
        <v>3109</v>
      </c>
      <c r="F10" s="516">
        <f>SUMIF(75:75,E10,76:76)-SUMIF(75:75,C10,76:76)+100</f>
        <v>100</v>
      </c>
      <c r="G10" s="519" t="s">
        <v>3109</v>
      </c>
      <c r="H10" s="514">
        <f>SUMIF(75:75,G10,76:76)-SUMIF(75:75,C10,76:76)+100</f>
        <v>100</v>
      </c>
      <c r="I10" s="519" t="s">
        <v>3109</v>
      </c>
      <c r="J10" s="514">
        <f>SUMIF(75:75,I10,76:76)-SUMIF(75:75,C10,76:76)+100</f>
        <v>100</v>
      </c>
      <c r="K10" s="518"/>
      <c r="L10" s="2018"/>
      <c r="M10" s="2015"/>
      <c r="N10" s="2015"/>
      <c r="O10" s="2019"/>
      <c r="P10" s="3492" t="s">
        <v>527</v>
      </c>
      <c r="Q10" s="3493"/>
      <c r="R10" s="1503" t="s">
        <v>8</v>
      </c>
      <c r="S10" s="1504">
        <f t="shared" si="0"/>
        <v>100</v>
      </c>
      <c r="T10" s="1503" t="s">
        <v>8</v>
      </c>
      <c r="U10" s="1504">
        <f t="shared" si="1"/>
        <v>100</v>
      </c>
      <c r="V10" s="1503" t="s">
        <v>8</v>
      </c>
      <c r="W10" s="1504">
        <f t="shared" si="2"/>
        <v>100</v>
      </c>
      <c r="X10" s="1505"/>
      <c r="Y10" s="3492" t="s">
        <v>527</v>
      </c>
      <c r="Z10" s="3493"/>
      <c r="AA10" s="1506">
        <f t="shared" ref="AA10:AA47" si="3">D10/F10</f>
        <v>1</v>
      </c>
      <c r="AB10" s="1506">
        <f t="shared" ref="AB10:AB47" si="4">D10/H10</f>
        <v>1</v>
      </c>
      <c r="AC10" s="1506">
        <f t="shared" ref="AC10:AC47" si="5">D10/J10</f>
        <v>1</v>
      </c>
    </row>
    <row r="11" spans="1:30" s="1203" customFormat="1" ht="20.25">
      <c r="A11" s="2631"/>
      <c r="B11" s="2638" t="s">
        <v>2737</v>
      </c>
      <c r="C11" s="2625" t="s">
        <v>3133</v>
      </c>
      <c r="D11" s="252">
        <v>100</v>
      </c>
      <c r="E11" s="520" t="s">
        <v>3132</v>
      </c>
      <c r="F11" s="252">
        <f>SUMIF(77:77,E11,78:78)-SUMIF(77:77,C11,78:78)+100</f>
        <v>130</v>
      </c>
      <c r="G11" s="520" t="s">
        <v>3133</v>
      </c>
      <c r="H11" s="252">
        <f>SUMIF(77:77,G11,78:78)-SUMIF(77:77,C11,78:78)+100</f>
        <v>100</v>
      </c>
      <c r="I11" s="520" t="s">
        <v>3133</v>
      </c>
      <c r="J11" s="252">
        <f>SUMIF(77:77,I11,78:78)-SUMIF(77:77,C11,78:78)+100</f>
        <v>100</v>
      </c>
      <c r="K11" s="518"/>
      <c r="L11" s="2018"/>
      <c r="M11" s="2015"/>
      <c r="N11" s="2015"/>
      <c r="O11" s="2020"/>
      <c r="P11" s="3500" t="s">
        <v>529</v>
      </c>
      <c r="Q11" s="1134" t="str">
        <f t="shared" ref="Q11:Q17" si="6">B11</f>
        <v>用途</v>
      </c>
      <c r="R11" s="1503" t="s">
        <v>8</v>
      </c>
      <c r="S11" s="1504">
        <f t="shared" si="0"/>
        <v>130</v>
      </c>
      <c r="T11" s="1503" t="s">
        <v>8</v>
      </c>
      <c r="U11" s="1504">
        <f t="shared" si="1"/>
        <v>100</v>
      </c>
      <c r="V11" s="1503" t="s">
        <v>8</v>
      </c>
      <c r="W11" s="1504">
        <f t="shared" si="2"/>
        <v>100</v>
      </c>
      <c r="X11" s="1505"/>
      <c r="Y11" s="3451" t="s">
        <v>530</v>
      </c>
      <c r="Z11" s="1133" t="str">
        <f t="shared" ref="Z11:Z17" si="7">Q11</f>
        <v>用途</v>
      </c>
      <c r="AA11" s="1506">
        <f t="shared" si="3"/>
        <v>0.76923076923076927</v>
      </c>
      <c r="AB11" s="1506">
        <f t="shared" si="4"/>
        <v>1</v>
      </c>
      <c r="AC11" s="1506">
        <f t="shared" si="5"/>
        <v>1</v>
      </c>
    </row>
    <row r="12" spans="1:30" s="3310" customFormat="1" ht="27">
      <c r="A12" s="3294"/>
      <c r="B12" s="3295" t="s">
        <v>2738</v>
      </c>
      <c r="C12" s="3296"/>
      <c r="D12" s="3297">
        <v>100</v>
      </c>
      <c r="E12" s="3298"/>
      <c r="F12" s="3297">
        <f>ROUND(100/'数据-取费表'!G16,0)</f>
        <v>166</v>
      </c>
      <c r="G12" s="3299"/>
      <c r="H12" s="3297">
        <f>ROUND(100/'数据-取费表'!G16,0)</f>
        <v>166</v>
      </c>
      <c r="I12" s="3299"/>
      <c r="J12" s="3297">
        <f>ROUND(100/'数据-取费表'!G16,0)</f>
        <v>166</v>
      </c>
      <c r="K12" s="3300"/>
      <c r="L12" s="3301"/>
      <c r="M12" s="3302"/>
      <c r="N12" s="3302"/>
      <c r="O12" s="3303"/>
      <c r="P12" s="3500"/>
      <c r="Q12" s="3304" t="str">
        <f t="shared" si="6"/>
        <v>土地使用年限（年）</v>
      </c>
      <c r="R12" s="3305" t="s">
        <v>8</v>
      </c>
      <c r="S12" s="3306">
        <f t="shared" si="0"/>
        <v>166</v>
      </c>
      <c r="T12" s="3305" t="s">
        <v>8</v>
      </c>
      <c r="U12" s="3306">
        <f t="shared" si="1"/>
        <v>166</v>
      </c>
      <c r="V12" s="3305" t="s">
        <v>8</v>
      </c>
      <c r="W12" s="3306">
        <f t="shared" si="2"/>
        <v>166</v>
      </c>
      <c r="X12" s="3307"/>
      <c r="Y12" s="3451"/>
      <c r="Z12" s="3308" t="str">
        <f t="shared" si="7"/>
        <v>土地使用年限（年）</v>
      </c>
      <c r="AA12" s="3309">
        <f t="shared" si="3"/>
        <v>0.60240963855421692</v>
      </c>
      <c r="AB12" s="3309">
        <f t="shared" si="4"/>
        <v>0.60240963855421692</v>
      </c>
      <c r="AC12" s="3309">
        <f t="shared" si="5"/>
        <v>0.60240963855421692</v>
      </c>
    </row>
    <row r="13" spans="1:30" ht="20.25">
      <c r="A13" s="2633"/>
      <c r="B13" s="2637" t="s">
        <v>2739</v>
      </c>
      <c r="C13" s="528">
        <v>2</v>
      </c>
      <c r="D13" s="253">
        <v>100</v>
      </c>
      <c r="E13" s="527">
        <f>土地案例!G3</f>
        <v>4</v>
      </c>
      <c r="F13" s="253">
        <f>LOOKUP(E13,82:82,83:83)-LOOKUP(C13,82:82,83:83)+100</f>
        <v>90</v>
      </c>
      <c r="G13" s="528">
        <f>土地案例!G25</f>
        <v>3</v>
      </c>
      <c r="H13" s="253">
        <f>LOOKUP(G13,82:82,83:83)-LOOKUP(C13,82:82,83:83)+100</f>
        <v>95</v>
      </c>
      <c r="I13" s="527">
        <f>土地案例!G26</f>
        <v>3</v>
      </c>
      <c r="J13" s="253">
        <f>LOOKUP(I13,82:82,83:83)-LOOKUP(C13,82:82,83:83)+100</f>
        <v>95</v>
      </c>
      <c r="K13" s="529">
        <v>5</v>
      </c>
      <c r="L13" s="2023"/>
      <c r="M13" s="2015"/>
      <c r="N13" s="2015"/>
      <c r="O13" s="2024"/>
      <c r="P13" s="3500"/>
      <c r="Q13" s="1134" t="str">
        <f t="shared" si="6"/>
        <v>容积率</v>
      </c>
      <c r="R13" s="1503" t="s">
        <v>8</v>
      </c>
      <c r="S13" s="1504">
        <f t="shared" si="0"/>
        <v>90</v>
      </c>
      <c r="T13" s="1503" t="s">
        <v>8</v>
      </c>
      <c r="U13" s="1504">
        <f t="shared" si="1"/>
        <v>95</v>
      </c>
      <c r="V13" s="1503" t="s">
        <v>8</v>
      </c>
      <c r="W13" s="1504">
        <f t="shared" si="2"/>
        <v>95</v>
      </c>
      <c r="X13" s="1505"/>
      <c r="Y13" s="3451"/>
      <c r="Z13" s="1133" t="str">
        <f t="shared" si="7"/>
        <v>容积率</v>
      </c>
      <c r="AA13" s="1506">
        <f t="shared" si="3"/>
        <v>1.1111111111111112</v>
      </c>
      <c r="AB13" s="1506">
        <f t="shared" si="4"/>
        <v>1.0526315789473684</v>
      </c>
      <c r="AC13" s="1506">
        <f t="shared" si="5"/>
        <v>1.0526315789473684</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00"/>
      <c r="Q14" s="1134" t="str">
        <f t="shared" si="6"/>
        <v>配建</v>
      </c>
      <c r="R14" s="1503" t="s">
        <v>8</v>
      </c>
      <c r="S14" s="1504">
        <f t="shared" si="0"/>
        <v>100</v>
      </c>
      <c r="T14" s="1503" t="s">
        <v>8</v>
      </c>
      <c r="U14" s="1504">
        <f t="shared" si="1"/>
        <v>100</v>
      </c>
      <c r="V14" s="1503" t="s">
        <v>8</v>
      </c>
      <c r="W14" s="1504">
        <f t="shared" si="2"/>
        <v>100</v>
      </c>
      <c r="X14" s="1505"/>
      <c r="Y14" s="3451"/>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00"/>
      <c r="Q15" s="1134">
        <f t="shared" si="6"/>
        <v>111</v>
      </c>
      <c r="R15" s="1503" t="s">
        <v>8</v>
      </c>
      <c r="S15" s="1504">
        <f t="shared" si="0"/>
        <v>100</v>
      </c>
      <c r="T15" s="1503" t="s">
        <v>8</v>
      </c>
      <c r="U15" s="1504">
        <f t="shared" si="1"/>
        <v>100</v>
      </c>
      <c r="V15" s="1503" t="s">
        <v>8</v>
      </c>
      <c r="W15" s="1504">
        <f t="shared" si="2"/>
        <v>100</v>
      </c>
      <c r="X15" s="1505"/>
      <c r="Y15" s="3451"/>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00"/>
      <c r="Q16" s="1134">
        <f t="shared" si="6"/>
        <v>111</v>
      </c>
      <c r="R16" s="1503" t="s">
        <v>8</v>
      </c>
      <c r="S16" s="1504">
        <f t="shared" si="0"/>
        <v>100</v>
      </c>
      <c r="T16" s="1503" t="s">
        <v>8</v>
      </c>
      <c r="U16" s="1504">
        <f t="shared" si="1"/>
        <v>100</v>
      </c>
      <c r="V16" s="1503" t="s">
        <v>8</v>
      </c>
      <c r="W16" s="1504">
        <f t="shared" si="2"/>
        <v>100</v>
      </c>
      <c r="X16" s="1505"/>
      <c r="Y16" s="3451"/>
      <c r="Z16" s="1133">
        <f t="shared" si="7"/>
        <v>111</v>
      </c>
      <c r="AA16" s="1506">
        <f>D16/F16</f>
        <v>1</v>
      </c>
      <c r="AB16" s="1506">
        <f>D16/H16</f>
        <v>1</v>
      </c>
      <c r="AC16" s="1506">
        <f>D16/J16</f>
        <v>1</v>
      </c>
    </row>
    <row r="17" spans="1:29" ht="20.25">
      <c r="A17" s="2627" t="s">
        <v>2735</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02" t="s">
        <v>534</v>
      </c>
      <c r="Q17" s="1507" t="str">
        <f t="shared" si="6"/>
        <v>居住社区成熟度</v>
      </c>
      <c r="R17" s="1508" t="s">
        <v>8</v>
      </c>
      <c r="S17" s="1509">
        <f t="shared" si="0"/>
        <v>100</v>
      </c>
      <c r="T17" s="1508" t="s">
        <v>8</v>
      </c>
      <c r="U17" s="1509">
        <f t="shared" si="1"/>
        <v>100</v>
      </c>
      <c r="V17" s="1508" t="s">
        <v>8</v>
      </c>
      <c r="W17" s="1509">
        <f t="shared" si="2"/>
        <v>100</v>
      </c>
      <c r="X17" s="1502"/>
      <c r="Y17" s="3502"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03"/>
      <c r="Q18" s="1507"/>
      <c r="R18" s="1508"/>
      <c r="S18" s="1509"/>
      <c r="T18" s="1508"/>
      <c r="U18" s="1509"/>
      <c r="V18" s="1508"/>
      <c r="W18" s="1509"/>
      <c r="X18" s="1502"/>
      <c r="Y18" s="3503"/>
      <c r="Z18" s="1510"/>
      <c r="AA18" s="1511">
        <v>1</v>
      </c>
      <c r="AB18" s="1511">
        <v>1</v>
      </c>
      <c r="AC18" s="1511">
        <v>1</v>
      </c>
    </row>
    <row r="19" spans="1:29" ht="20.25">
      <c r="A19" s="526"/>
      <c r="B19" s="554" t="s">
        <v>535</v>
      </c>
      <c r="C19" s="555" t="str">
        <f>估价对象房地状况!C16</f>
        <v>较差</v>
      </c>
      <c r="D19" s="557">
        <v>100</v>
      </c>
      <c r="E19" s="558"/>
      <c r="F19" s="553">
        <f>SUMIF(92:92,E20,93:93)-SUMIF(92:92,C20,93:93)+100</f>
        <v>100</v>
      </c>
      <c r="G19" s="556"/>
      <c r="H19" s="559">
        <f>SUMIF(92:92,G20,93:93)-SUMIF(92:92,C20,93:93)+100</f>
        <v>106</v>
      </c>
      <c r="I19" s="558"/>
      <c r="J19" s="559">
        <f>SUMIF(92:92,I20,93:93)-SUMIF(92:92,C20,93:93)+100</f>
        <v>106</v>
      </c>
      <c r="K19" s="529">
        <v>3</v>
      </c>
      <c r="L19" s="2025"/>
      <c r="M19" s="2015"/>
      <c r="N19" s="2015"/>
      <c r="O19" s="2024"/>
      <c r="P19" s="3503"/>
      <c r="Q19" s="1507" t="str">
        <f>B19</f>
        <v>商业繁华度</v>
      </c>
      <c r="R19" s="1508" t="s">
        <v>8</v>
      </c>
      <c r="S19" s="1509">
        <f>F19</f>
        <v>100</v>
      </c>
      <c r="T19" s="1508" t="s">
        <v>8</v>
      </c>
      <c r="U19" s="1509">
        <f>H19</f>
        <v>106</v>
      </c>
      <c r="V19" s="1508" t="s">
        <v>8</v>
      </c>
      <c r="W19" s="1509">
        <f>J19</f>
        <v>106</v>
      </c>
      <c r="X19" s="1502"/>
      <c r="Y19" s="3503"/>
      <c r="Z19" s="1510" t="str">
        <f>Q19</f>
        <v>商业繁华度</v>
      </c>
      <c r="AA19" s="1511">
        <f t="shared" si="3"/>
        <v>1</v>
      </c>
      <c r="AB19" s="1511">
        <f t="shared" si="4"/>
        <v>0.94339622641509435</v>
      </c>
      <c r="AC19" s="1511">
        <f t="shared" si="5"/>
        <v>0.94339622641509435</v>
      </c>
    </row>
    <row r="20" spans="1:29" ht="20.25">
      <c r="A20" s="526"/>
      <c r="B20" s="560"/>
      <c r="C20" s="561" t="s">
        <v>3111</v>
      </c>
      <c r="D20" s="557"/>
      <c r="E20" s="563" t="s">
        <v>3111</v>
      </c>
      <c r="F20" s="553"/>
      <c r="G20" s="562" t="s">
        <v>3123</v>
      </c>
      <c r="H20" s="549"/>
      <c r="I20" s="563" t="s">
        <v>3123</v>
      </c>
      <c r="J20" s="549"/>
      <c r="K20" s="525"/>
      <c r="L20" s="2025"/>
      <c r="M20" s="2015"/>
      <c r="N20" s="2015"/>
      <c r="O20" s="2024"/>
      <c r="P20" s="3503"/>
      <c r="Q20" s="1507"/>
      <c r="R20" s="1508"/>
      <c r="S20" s="1509"/>
      <c r="T20" s="1508"/>
      <c r="U20" s="1509"/>
      <c r="V20" s="1508"/>
      <c r="W20" s="1509"/>
      <c r="X20" s="1502"/>
      <c r="Y20" s="3503"/>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3"/>
      <c r="Q21" s="1507" t="str">
        <f>B21</f>
        <v>办公集聚程度</v>
      </c>
      <c r="R21" s="1508" t="s">
        <v>8</v>
      </c>
      <c r="S21" s="1509">
        <f>F21</f>
        <v>100</v>
      </c>
      <c r="T21" s="1508" t="s">
        <v>8</v>
      </c>
      <c r="U21" s="1509">
        <f>H21</f>
        <v>100</v>
      </c>
      <c r="V21" s="1508" t="s">
        <v>8</v>
      </c>
      <c r="W21" s="1509">
        <f>J21</f>
        <v>100</v>
      </c>
      <c r="X21" s="1502"/>
      <c r="Y21" s="3503"/>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03"/>
      <c r="Q22" s="1507"/>
      <c r="R22" s="1508"/>
      <c r="S22" s="1509"/>
      <c r="T22" s="1508"/>
      <c r="U22" s="1509"/>
      <c r="V22" s="1508"/>
      <c r="W22" s="1509"/>
      <c r="X22" s="1502"/>
      <c r="Y22" s="3503"/>
      <c r="Z22" s="1510"/>
      <c r="AA22" s="1511">
        <v>1</v>
      </c>
      <c r="AB22" s="1511">
        <v>1</v>
      </c>
      <c r="AC22" s="1511">
        <v>1</v>
      </c>
    </row>
    <row r="23" spans="1:29" ht="20.25">
      <c r="A23" s="526"/>
      <c r="B23" s="554" t="s">
        <v>537</v>
      </c>
      <c r="C23" s="567" t="str">
        <f>估价对象房地状况!C18</f>
        <v>较差</v>
      </c>
      <c r="D23" s="557">
        <v>100</v>
      </c>
      <c r="E23" s="558"/>
      <c r="F23" s="559">
        <f>SUMIF(96:96,E24,97:97)-SUMIF(96:96,C24,97:97)+100</f>
        <v>100</v>
      </c>
      <c r="G23" s="556"/>
      <c r="H23" s="553">
        <f>SUMIF(96:96,G24,97:97)-SUMIF(96:96,C24,97:97)+100</f>
        <v>100</v>
      </c>
      <c r="I23" s="558"/>
      <c r="J23" s="553">
        <f>SUMIF(96:96,I24,97:97)-SUMIF(96:96,C24,97:97)+100</f>
        <v>104</v>
      </c>
      <c r="K23" s="529">
        <v>2</v>
      </c>
      <c r="L23" s="2025"/>
      <c r="M23" s="2015"/>
      <c r="N23" s="2015"/>
      <c r="O23" s="2024"/>
      <c r="P23" s="3503"/>
      <c r="Q23" s="1507" t="str">
        <f>B23</f>
        <v>交通便捷度</v>
      </c>
      <c r="R23" s="1508" t="s">
        <v>8</v>
      </c>
      <c r="S23" s="1509">
        <f>F23</f>
        <v>100</v>
      </c>
      <c r="T23" s="1508" t="s">
        <v>8</v>
      </c>
      <c r="U23" s="1509">
        <f>H23</f>
        <v>100</v>
      </c>
      <c r="V23" s="1508" t="s">
        <v>8</v>
      </c>
      <c r="W23" s="1509">
        <f>J23</f>
        <v>104</v>
      </c>
      <c r="X23" s="1502"/>
      <c r="Y23" s="3503"/>
      <c r="Z23" s="1510" t="str">
        <f>Q23</f>
        <v>交通便捷度</v>
      </c>
      <c r="AA23" s="1511">
        <f t="shared" si="3"/>
        <v>1</v>
      </c>
      <c r="AB23" s="1511">
        <f t="shared" si="4"/>
        <v>1</v>
      </c>
      <c r="AC23" s="1511">
        <f t="shared" si="5"/>
        <v>0.96153846153846156</v>
      </c>
    </row>
    <row r="24" spans="1:29" ht="20.25">
      <c r="A24" s="526"/>
      <c r="B24" s="572"/>
      <c r="C24" s="548" t="s">
        <v>3111</v>
      </c>
      <c r="D24" s="551"/>
      <c r="E24" s="552" t="s">
        <v>3111</v>
      </c>
      <c r="F24" s="549"/>
      <c r="G24" s="550" t="s">
        <v>3111</v>
      </c>
      <c r="H24" s="549"/>
      <c r="I24" s="552" t="s">
        <v>3123</v>
      </c>
      <c r="J24" s="549"/>
      <c r="K24" s="525"/>
      <c r="L24" s="2025"/>
      <c r="M24" s="2015"/>
      <c r="N24" s="2015"/>
      <c r="O24" s="2024"/>
      <c r="P24" s="3503"/>
      <c r="Q24" s="1507"/>
      <c r="R24" s="1508"/>
      <c r="S24" s="1509"/>
      <c r="T24" s="1508"/>
      <c r="U24" s="1509"/>
      <c r="V24" s="1508"/>
      <c r="W24" s="1509"/>
      <c r="X24" s="1502"/>
      <c r="Y24" s="3503"/>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03"/>
      <c r="Q25" s="1507" t="str">
        <f t="shared" ref="Q25:Q39" si="8">B25</f>
        <v>区域土地利用方向</v>
      </c>
      <c r="R25" s="1508" t="s">
        <v>8</v>
      </c>
      <c r="S25" s="1509">
        <f>F25</f>
        <v>100</v>
      </c>
      <c r="T25" s="1508" t="s">
        <v>8</v>
      </c>
      <c r="U25" s="1509">
        <f>H25</f>
        <v>100</v>
      </c>
      <c r="V25" s="1508" t="s">
        <v>8</v>
      </c>
      <c r="W25" s="1509">
        <f>J25</f>
        <v>100</v>
      </c>
      <c r="X25" s="1502"/>
      <c r="Y25" s="3503"/>
      <c r="Z25" s="1510" t="str">
        <f>Q25</f>
        <v>区域土地利用方向</v>
      </c>
      <c r="AA25" s="1511">
        <f t="shared" si="3"/>
        <v>1</v>
      </c>
      <c r="AB25" s="1511">
        <f t="shared" si="4"/>
        <v>1</v>
      </c>
      <c r="AC25" s="1511">
        <f t="shared" si="5"/>
        <v>1</v>
      </c>
    </row>
    <row r="26" spans="1:29" ht="20.25">
      <c r="A26" s="509"/>
      <c r="B26" s="994"/>
      <c r="C26" s="548" t="s">
        <v>3123</v>
      </c>
      <c r="D26" s="551"/>
      <c r="E26" s="552" t="s">
        <v>3123</v>
      </c>
      <c r="F26" s="549"/>
      <c r="G26" s="550" t="s">
        <v>3123</v>
      </c>
      <c r="H26" s="549"/>
      <c r="I26" s="552" t="s">
        <v>3123</v>
      </c>
      <c r="J26" s="549"/>
      <c r="K26" s="525"/>
      <c r="L26" s="2025"/>
      <c r="M26" s="2015"/>
      <c r="N26" s="2015"/>
      <c r="O26" s="2024"/>
      <c r="P26" s="3503"/>
      <c r="Q26" s="1507"/>
      <c r="R26" s="1508"/>
      <c r="S26" s="1509"/>
      <c r="T26" s="1508"/>
      <c r="U26" s="1509"/>
      <c r="V26" s="1508"/>
      <c r="W26" s="1509"/>
      <c r="X26" s="1502"/>
      <c r="Y26" s="3503"/>
      <c r="Z26" s="1510"/>
      <c r="AA26" s="1511"/>
      <c r="AB26" s="1511"/>
      <c r="AC26" s="1511"/>
    </row>
    <row r="27" spans="1:29" ht="27">
      <c r="A27" s="509"/>
      <c r="B27" s="572" t="s">
        <v>539</v>
      </c>
      <c r="C27" s="555" t="str">
        <f>估价对象房地状况!C20</f>
        <v>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03"/>
      <c r="Q27" s="1507" t="str">
        <f t="shared" si="8"/>
        <v>自然及人文环境状况</v>
      </c>
      <c r="R27" s="1508" t="s">
        <v>8</v>
      </c>
      <c r="S27" s="1509">
        <f>F27</f>
        <v>100</v>
      </c>
      <c r="T27" s="1508" t="s">
        <v>8</v>
      </c>
      <c r="U27" s="1509">
        <f>H27</f>
        <v>100</v>
      </c>
      <c r="V27" s="1508" t="s">
        <v>8</v>
      </c>
      <c r="W27" s="1509">
        <f>J27</f>
        <v>100</v>
      </c>
      <c r="X27" s="1502"/>
      <c r="Y27" s="3503"/>
      <c r="Z27" s="1510" t="str">
        <f>Q27</f>
        <v>自然及人文环境状况</v>
      </c>
      <c r="AA27" s="1511">
        <f t="shared" si="3"/>
        <v>1</v>
      </c>
      <c r="AB27" s="1511">
        <f t="shared" si="4"/>
        <v>1</v>
      </c>
      <c r="AC27" s="1511">
        <f t="shared" si="5"/>
        <v>1</v>
      </c>
    </row>
    <row r="28" spans="1:29" ht="20.25">
      <c r="A28" s="509"/>
      <c r="B28" s="560"/>
      <c r="C28" s="548" t="s">
        <v>3116</v>
      </c>
      <c r="D28" s="551"/>
      <c r="E28" s="570" t="s">
        <v>3116</v>
      </c>
      <c r="F28" s="549"/>
      <c r="G28" s="548" t="s">
        <v>3116</v>
      </c>
      <c r="H28" s="549"/>
      <c r="I28" s="570" t="s">
        <v>3116</v>
      </c>
      <c r="J28" s="549"/>
      <c r="K28" s="525"/>
      <c r="L28" s="2025"/>
      <c r="M28" s="2015"/>
      <c r="N28" s="2015"/>
      <c r="O28" s="2024"/>
      <c r="P28" s="3503"/>
      <c r="Q28" s="1507"/>
      <c r="R28" s="1508"/>
      <c r="S28" s="1509"/>
      <c r="T28" s="1508"/>
      <c r="U28" s="1509"/>
      <c r="V28" s="1508"/>
      <c r="W28" s="1509"/>
      <c r="X28" s="1502"/>
      <c r="Y28" s="3503"/>
      <c r="Z28" s="1510"/>
      <c r="AA28" s="1511">
        <v>1</v>
      </c>
      <c r="AB28" s="1511">
        <v>1</v>
      </c>
      <c r="AC28" s="1511">
        <v>1</v>
      </c>
    </row>
    <row r="29" spans="1:29" s="1203" customFormat="1" ht="20.25">
      <c r="A29" s="571"/>
      <c r="B29" s="2435" t="s">
        <v>2530</v>
      </c>
      <c r="C29" s="567" t="str">
        <f>估价对象房地状况!C21</f>
        <v>较差</v>
      </c>
      <c r="D29" s="557">
        <v>100</v>
      </c>
      <c r="E29" s="558"/>
      <c r="F29" s="553">
        <f>SUMIF(102:102,E30,103:103)-SUMIF(102:102,C30,103:103)+100</f>
        <v>100</v>
      </c>
      <c r="G29" s="556"/>
      <c r="H29" s="553">
        <f>SUMIF(102:102,G30,103:103)-SUMIF(102:102,C30,103:103)+100</f>
        <v>104</v>
      </c>
      <c r="I29" s="558"/>
      <c r="J29" s="553">
        <f>SUMIF(102:102,I30,103:103)-SUMIF(102:102,C30,103:103)+100</f>
        <v>104</v>
      </c>
      <c r="K29" s="529">
        <v>2</v>
      </c>
      <c r="L29" s="2018"/>
      <c r="M29" s="2015"/>
      <c r="N29" s="2015"/>
      <c r="O29" s="2020"/>
      <c r="P29" s="3503"/>
      <c r="Q29" s="1134" t="str">
        <f t="shared" si="8"/>
        <v>公共配套设施</v>
      </c>
      <c r="R29" s="1503" t="s">
        <v>8</v>
      </c>
      <c r="S29" s="1504">
        <f>F29</f>
        <v>100</v>
      </c>
      <c r="T29" s="1503" t="s">
        <v>8</v>
      </c>
      <c r="U29" s="1504">
        <f>H29</f>
        <v>104</v>
      </c>
      <c r="V29" s="1503" t="s">
        <v>8</v>
      </c>
      <c r="W29" s="1504">
        <f>J29</f>
        <v>104</v>
      </c>
      <c r="X29" s="1505"/>
      <c r="Y29" s="3503"/>
      <c r="Z29" s="1133" t="str">
        <f>Q29</f>
        <v>公共配套设施</v>
      </c>
      <c r="AA29" s="1511">
        <f>D29/F29</f>
        <v>1</v>
      </c>
      <c r="AB29" s="1511">
        <f>D29/H29</f>
        <v>0.96153846153846156</v>
      </c>
      <c r="AC29" s="1511">
        <f>D29/J29</f>
        <v>0.96153846153846156</v>
      </c>
    </row>
    <row r="30" spans="1:29" s="1203" customFormat="1" ht="20.25">
      <c r="A30" s="571"/>
      <c r="B30" s="560"/>
      <c r="C30" s="573" t="s">
        <v>3111</v>
      </c>
      <c r="D30" s="551"/>
      <c r="E30" s="570" t="s">
        <v>3111</v>
      </c>
      <c r="F30" s="549"/>
      <c r="G30" s="548" t="s">
        <v>3123</v>
      </c>
      <c r="H30" s="549"/>
      <c r="I30" s="570" t="s">
        <v>3123</v>
      </c>
      <c r="J30" s="549"/>
      <c r="K30" s="525"/>
      <c r="L30" s="2018"/>
      <c r="M30" s="2015"/>
      <c r="N30" s="2015"/>
      <c r="O30" s="2020"/>
      <c r="P30" s="3503"/>
      <c r="Q30" s="1134"/>
      <c r="R30" s="1503"/>
      <c r="S30" s="1504"/>
      <c r="T30" s="1503"/>
      <c r="U30" s="1504"/>
      <c r="V30" s="1503"/>
      <c r="W30" s="1504"/>
      <c r="X30" s="1505"/>
      <c r="Y30" s="3503"/>
      <c r="Z30" s="1133"/>
      <c r="AA30" s="1511">
        <v>1</v>
      </c>
      <c r="AB30" s="1511">
        <v>1</v>
      </c>
      <c r="AC30" s="1511">
        <v>1</v>
      </c>
    </row>
    <row r="31" spans="1:29" s="1203"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03"/>
      <c r="Q31" s="2428" t="str">
        <f t="shared" ref="Q31" si="9">B31</f>
        <v>基础设施水平</v>
      </c>
      <c r="R31" s="1503" t="s">
        <v>8</v>
      </c>
      <c r="S31" s="1504">
        <f>F31</f>
        <v>100</v>
      </c>
      <c r="T31" s="1503" t="s">
        <v>8</v>
      </c>
      <c r="U31" s="1504">
        <f>H31</f>
        <v>100</v>
      </c>
      <c r="V31" s="1503" t="s">
        <v>8</v>
      </c>
      <c r="W31" s="1504">
        <f>J31</f>
        <v>100</v>
      </c>
      <c r="X31" s="1505"/>
      <c r="Y31" s="3503"/>
      <c r="Z31" s="2427" t="str">
        <f>Q31</f>
        <v>基础设施水平</v>
      </c>
      <c r="AA31" s="1511">
        <f>D31/F31</f>
        <v>1</v>
      </c>
      <c r="AB31" s="1511">
        <f>D31/H31</f>
        <v>1</v>
      </c>
      <c r="AC31" s="1511">
        <f>D31/J31</f>
        <v>1</v>
      </c>
    </row>
    <row r="32" spans="1:29" s="1203" customFormat="1" ht="20.25">
      <c r="A32" s="571"/>
      <c r="B32" s="560"/>
      <c r="C32" s="573" t="s">
        <v>3117</v>
      </c>
      <c r="D32" s="551"/>
      <c r="E32" s="2436" t="s">
        <v>3117</v>
      </c>
      <c r="F32" s="549"/>
      <c r="G32" s="573" t="s">
        <v>3117</v>
      </c>
      <c r="H32" s="549"/>
      <c r="I32" s="573" t="s">
        <v>3117</v>
      </c>
      <c r="J32" s="549"/>
      <c r="K32" s="525"/>
      <c r="L32" s="2018"/>
      <c r="M32" s="2015"/>
      <c r="N32" s="2015"/>
      <c r="O32" s="2020"/>
      <c r="P32" s="3503"/>
      <c r="Q32" s="2428"/>
      <c r="R32" s="1503"/>
      <c r="S32" s="1504"/>
      <c r="T32" s="1503"/>
      <c r="U32" s="1504"/>
      <c r="V32" s="1503"/>
      <c r="W32" s="1504"/>
      <c r="X32" s="1505"/>
      <c r="Y32" s="3503"/>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3"/>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3"/>
      <c r="Q34" s="1507" t="str">
        <f t="shared" si="8"/>
        <v>毗邻道路的类型与等级</v>
      </c>
      <c r="R34" s="1508" t="s">
        <v>8</v>
      </c>
      <c r="S34" s="1509">
        <f t="shared" si="10"/>
        <v>100</v>
      </c>
      <c r="T34" s="1508" t="s">
        <v>8</v>
      </c>
      <c r="U34" s="1509">
        <f t="shared" si="11"/>
        <v>100</v>
      </c>
      <c r="V34" s="1508" t="s">
        <v>8</v>
      </c>
      <c r="W34" s="1509">
        <f t="shared" si="12"/>
        <v>100</v>
      </c>
      <c r="X34" s="1502"/>
      <c r="Y34" s="3503"/>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3"/>
      <c r="Q35" s="1507"/>
      <c r="R35" s="1508"/>
      <c r="S35" s="1509"/>
      <c r="T35" s="1508"/>
      <c r="U35" s="1509"/>
      <c r="V35" s="1508"/>
      <c r="W35" s="1509"/>
      <c r="X35" s="1502"/>
      <c r="Y35" s="3503"/>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3"/>
      <c r="Q36" s="1507" t="str">
        <f t="shared" si="8"/>
        <v>土地级别</v>
      </c>
      <c r="R36" s="1508" t="s">
        <v>8</v>
      </c>
      <c r="S36" s="1509">
        <f t="shared" si="10"/>
        <v>100</v>
      </c>
      <c r="T36" s="1508" t="s">
        <v>8</v>
      </c>
      <c r="U36" s="1509">
        <f t="shared" si="11"/>
        <v>100</v>
      </c>
      <c r="V36" s="1508" t="s">
        <v>8</v>
      </c>
      <c r="W36" s="1509">
        <f t="shared" si="12"/>
        <v>100</v>
      </c>
      <c r="X36" s="1502"/>
      <c r="Y36" s="3503"/>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3"/>
      <c r="Q37" s="1507">
        <f t="shared" si="8"/>
        <v>111</v>
      </c>
      <c r="R37" s="1508" t="s">
        <v>8</v>
      </c>
      <c r="S37" s="1509">
        <f t="shared" si="10"/>
        <v>100</v>
      </c>
      <c r="T37" s="1508" t="s">
        <v>8</v>
      </c>
      <c r="U37" s="1509">
        <f t="shared" si="11"/>
        <v>100</v>
      </c>
      <c r="V37" s="1508" t="s">
        <v>8</v>
      </c>
      <c r="W37" s="1509">
        <f t="shared" si="12"/>
        <v>100</v>
      </c>
      <c r="X37" s="1502"/>
      <c r="Y37" s="3503"/>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4" t="s">
        <v>544</v>
      </c>
      <c r="Q38" s="1507">
        <f t="shared" si="8"/>
        <v>111</v>
      </c>
      <c r="R38" s="1508" t="s">
        <v>8</v>
      </c>
      <c r="S38" s="1509">
        <f t="shared" si="10"/>
        <v>100</v>
      </c>
      <c r="T38" s="1508" t="s">
        <v>8</v>
      </c>
      <c r="U38" s="1509">
        <f t="shared" si="11"/>
        <v>100</v>
      </c>
      <c r="V38" s="1508" t="s">
        <v>8</v>
      </c>
      <c r="W38" s="1509">
        <f t="shared" si="12"/>
        <v>100</v>
      </c>
      <c r="X38" s="1502"/>
      <c r="Y38" s="3505"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5"/>
      <c r="Q39" s="1507">
        <f t="shared" si="8"/>
        <v>111</v>
      </c>
      <c r="R39" s="1512" t="s">
        <v>8</v>
      </c>
      <c r="S39" s="1513">
        <f t="shared" si="10"/>
        <v>100</v>
      </c>
      <c r="T39" s="1512" t="s">
        <v>8</v>
      </c>
      <c r="U39" s="1513">
        <f t="shared" si="11"/>
        <v>100</v>
      </c>
      <c r="V39" s="1512" t="s">
        <v>8</v>
      </c>
      <c r="W39" s="1513">
        <f t="shared" si="12"/>
        <v>100</v>
      </c>
      <c r="X39" s="1514"/>
      <c r="Y39" s="3505"/>
      <c r="Z39" s="1515">
        <f t="shared" si="13"/>
        <v>111</v>
      </c>
      <c r="AA39" s="1511">
        <f t="shared" si="3"/>
        <v>1</v>
      </c>
      <c r="AB39" s="1511">
        <f t="shared" si="4"/>
        <v>1</v>
      </c>
      <c r="AC39" s="1511">
        <f t="shared" si="5"/>
        <v>1</v>
      </c>
    </row>
    <row r="40" spans="1:29" ht="20.25">
      <c r="A40" s="2624" t="s">
        <v>2736</v>
      </c>
      <c r="B40" s="589" t="s">
        <v>546</v>
      </c>
      <c r="C40" s="590">
        <f>'数据-基础表'!A3</f>
        <v>33333.300000000003</v>
      </c>
      <c r="D40" s="591">
        <v>100</v>
      </c>
      <c r="E40" s="590">
        <f>土地案例!D3</f>
        <v>6624.5</v>
      </c>
      <c r="F40" s="591">
        <f>LOOKUP(E40,119:119,120:120)-LOOKUP(C40,119:119,120:120)+100</f>
        <v>98</v>
      </c>
      <c r="G40" s="590">
        <f>土地案例!D25</f>
        <v>13334</v>
      </c>
      <c r="H40" s="591">
        <f>LOOKUP(G40,119:119,120:120)-LOOKUP(C40,119:119,120:120)+100</f>
        <v>98</v>
      </c>
      <c r="I40" s="592">
        <f>土地案例!D26</f>
        <v>36541</v>
      </c>
      <c r="J40" s="591">
        <f>LOOKUP(I40,119:119,120:120)-LOOKUP(C40,119:119,120:120)+100</f>
        <v>100</v>
      </c>
      <c r="K40" s="575"/>
      <c r="L40" s="2025"/>
      <c r="M40" s="2015"/>
      <c r="N40" s="2015"/>
      <c r="O40" s="2024"/>
      <c r="P40" s="3505"/>
      <c r="Q40" s="1507" t="str">
        <f>B40</f>
        <v>宗地面积</v>
      </c>
      <c r="R40" s="1508" t="s">
        <v>8</v>
      </c>
      <c r="S40" s="1509">
        <f t="shared" si="10"/>
        <v>98</v>
      </c>
      <c r="T40" s="1508" t="s">
        <v>8</v>
      </c>
      <c r="U40" s="1509">
        <f t="shared" si="11"/>
        <v>98</v>
      </c>
      <c r="V40" s="1508" t="s">
        <v>8</v>
      </c>
      <c r="W40" s="1509">
        <f t="shared" si="12"/>
        <v>100</v>
      </c>
      <c r="X40" s="1502"/>
      <c r="Y40" s="3505"/>
      <c r="Z40" s="1510" t="str">
        <f t="shared" si="13"/>
        <v>宗地面积</v>
      </c>
      <c r="AA40" s="1511">
        <f t="shared" si="3"/>
        <v>1.0204081632653061</v>
      </c>
      <c r="AB40" s="1511">
        <f t="shared" si="4"/>
        <v>1.0204081632653061</v>
      </c>
      <c r="AC40" s="1511">
        <f t="shared" si="5"/>
        <v>1</v>
      </c>
    </row>
    <row r="41" spans="1:29" ht="20.25">
      <c r="A41" s="588"/>
      <c r="B41" s="521" t="s">
        <v>547</v>
      </c>
      <c r="C41" s="593" t="s">
        <v>3129</v>
      </c>
      <c r="D41" s="534">
        <v>100</v>
      </c>
      <c r="E41" s="593" t="s">
        <v>3129</v>
      </c>
      <c r="F41" s="534">
        <f>SUMIF(121:121,E41,122:122)-SUMIF(121:121,C41,122:122)+100</f>
        <v>100</v>
      </c>
      <c r="G41" s="593" t="s">
        <v>3129</v>
      </c>
      <c r="H41" s="534">
        <f>SUMIF(121:121,G41,122:122)-SUMIF(121:121,C41,122:122)+100</f>
        <v>100</v>
      </c>
      <c r="I41" s="593" t="s">
        <v>3129</v>
      </c>
      <c r="J41" s="534">
        <f>SUMIF(121:121,I41,122:122)-SUMIF(121:121,C41,122:122)+100</f>
        <v>100</v>
      </c>
      <c r="K41" s="578">
        <v>2</v>
      </c>
      <c r="L41" s="2025"/>
      <c r="M41" s="2015"/>
      <c r="N41" s="2015"/>
      <c r="O41" s="2024"/>
      <c r="P41" s="3505"/>
      <c r="Q41" s="1507" t="str">
        <f t="shared" ref="Q41:Q47" si="14">B41</f>
        <v>宗地形状</v>
      </c>
      <c r="R41" s="1508" t="s">
        <v>8</v>
      </c>
      <c r="S41" s="1509">
        <f t="shared" si="10"/>
        <v>100</v>
      </c>
      <c r="T41" s="1508" t="s">
        <v>8</v>
      </c>
      <c r="U41" s="1509">
        <f t="shared" si="11"/>
        <v>100</v>
      </c>
      <c r="V41" s="1508" t="s">
        <v>8</v>
      </c>
      <c r="W41" s="1509">
        <f t="shared" si="12"/>
        <v>100</v>
      </c>
      <c r="X41" s="1502"/>
      <c r="Y41" s="3505"/>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5"/>
      <c r="Q42" s="1507" t="str">
        <f t="shared" si="14"/>
        <v>临街宽度及深度</v>
      </c>
      <c r="R42" s="1508" t="s">
        <v>8</v>
      </c>
      <c r="S42" s="1509">
        <f t="shared" si="10"/>
        <v>100</v>
      </c>
      <c r="T42" s="1508" t="s">
        <v>8</v>
      </c>
      <c r="U42" s="1509">
        <f t="shared" si="11"/>
        <v>100</v>
      </c>
      <c r="V42" s="1508" t="s">
        <v>8</v>
      </c>
      <c r="W42" s="1509">
        <f t="shared" si="12"/>
        <v>100</v>
      </c>
      <c r="X42" s="1502"/>
      <c r="Y42" s="3505"/>
      <c r="Z42" s="1510" t="str">
        <f t="shared" si="13"/>
        <v>临街宽度及深度</v>
      </c>
      <c r="AA42" s="1511">
        <f t="shared" si="3"/>
        <v>1</v>
      </c>
      <c r="AB42" s="1511">
        <f t="shared" si="4"/>
        <v>1</v>
      </c>
      <c r="AC42" s="1511">
        <f t="shared" si="5"/>
        <v>1</v>
      </c>
    </row>
    <row r="43" spans="1:29" s="1203" customFormat="1" ht="20.25">
      <c r="A43" s="594"/>
      <c r="B43" s="1810" t="s">
        <v>2409</v>
      </c>
      <c r="C43" s="595" t="s">
        <v>3117</v>
      </c>
      <c r="D43" s="253">
        <v>100</v>
      </c>
      <c r="E43" s="595" t="s">
        <v>3121</v>
      </c>
      <c r="F43" s="534">
        <f>SUMIF(125:125,E43,126:126)-SUMIF(125:125,C43,126:126)+100</f>
        <v>94</v>
      </c>
      <c r="G43" s="595" t="s">
        <v>3121</v>
      </c>
      <c r="H43" s="534">
        <f>SUMIF(125:125,G43,126:126)-SUMIF(125:125,C43,126:126)+100</f>
        <v>94</v>
      </c>
      <c r="I43" s="595" t="s">
        <v>3117</v>
      </c>
      <c r="J43" s="534">
        <f>SUMIF(125:125,I43,126:126)-SUMIF(125:125,C43,126:126)+100</f>
        <v>100</v>
      </c>
      <c r="K43" s="578">
        <v>2</v>
      </c>
      <c r="L43" s="2018"/>
      <c r="M43" s="2015"/>
      <c r="N43" s="2015"/>
      <c r="O43" s="2020"/>
      <c r="P43" s="3505"/>
      <c r="Q43" s="1507" t="str">
        <f t="shared" si="14"/>
        <v>宗地开发程度</v>
      </c>
      <c r="R43" s="1503" t="s">
        <v>8</v>
      </c>
      <c r="S43" s="1504">
        <f t="shared" si="10"/>
        <v>94</v>
      </c>
      <c r="T43" s="1503" t="s">
        <v>8</v>
      </c>
      <c r="U43" s="1504">
        <f t="shared" si="11"/>
        <v>94</v>
      </c>
      <c r="V43" s="1503" t="s">
        <v>8</v>
      </c>
      <c r="W43" s="1504">
        <f t="shared" si="12"/>
        <v>100</v>
      </c>
      <c r="X43" s="1505"/>
      <c r="Y43" s="3505"/>
      <c r="Z43" s="1133" t="str">
        <f t="shared" si="13"/>
        <v>宗地开发程度</v>
      </c>
      <c r="AA43" s="1506">
        <f t="shared" si="3"/>
        <v>1.0638297872340425</v>
      </c>
      <c r="AB43" s="1506">
        <f t="shared" si="4"/>
        <v>1.0638297872340425</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5" t="s">
        <v>544</v>
      </c>
      <c r="Q44" s="1507" t="str">
        <f t="shared" si="14"/>
        <v>工程地质条件</v>
      </c>
      <c r="R44" s="1508" t="s">
        <v>8</v>
      </c>
      <c r="S44" s="1509">
        <f t="shared" si="10"/>
        <v>100</v>
      </c>
      <c r="T44" s="1508" t="s">
        <v>8</v>
      </c>
      <c r="U44" s="1509">
        <f t="shared" si="11"/>
        <v>100</v>
      </c>
      <c r="V44" s="1508" t="s">
        <v>8</v>
      </c>
      <c r="W44" s="1509">
        <f t="shared" si="12"/>
        <v>100</v>
      </c>
      <c r="X44" s="1502"/>
      <c r="Y44" s="3505"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5"/>
      <c r="Q45" s="1507">
        <f t="shared" si="14"/>
        <v>111</v>
      </c>
      <c r="R45" s="1508" t="s">
        <v>8</v>
      </c>
      <c r="S45" s="1509">
        <f t="shared" si="10"/>
        <v>100</v>
      </c>
      <c r="T45" s="1508" t="s">
        <v>8</v>
      </c>
      <c r="U45" s="1509">
        <f t="shared" si="11"/>
        <v>100</v>
      </c>
      <c r="V45" s="1508" t="s">
        <v>8</v>
      </c>
      <c r="W45" s="1509">
        <f t="shared" si="12"/>
        <v>100</v>
      </c>
      <c r="X45" s="1502"/>
      <c r="Y45" s="3505"/>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5"/>
      <c r="Q46" s="1507">
        <f t="shared" si="14"/>
        <v>111</v>
      </c>
      <c r="R46" s="1508" t="s">
        <v>8</v>
      </c>
      <c r="S46" s="1509">
        <f t="shared" si="10"/>
        <v>100</v>
      </c>
      <c r="T46" s="1508" t="s">
        <v>8</v>
      </c>
      <c r="U46" s="1509">
        <f t="shared" si="11"/>
        <v>100</v>
      </c>
      <c r="V46" s="1508" t="s">
        <v>8</v>
      </c>
      <c r="W46" s="1509">
        <f t="shared" si="12"/>
        <v>100</v>
      </c>
      <c r="X46" s="1502"/>
      <c r="Y46" s="3505"/>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5"/>
      <c r="Q47" s="1507">
        <f t="shared" si="14"/>
        <v>111</v>
      </c>
      <c r="R47" s="1512" t="s">
        <v>8</v>
      </c>
      <c r="S47" s="1513">
        <f t="shared" si="10"/>
        <v>100</v>
      </c>
      <c r="T47" s="1512" t="s">
        <v>8</v>
      </c>
      <c r="U47" s="1513">
        <f t="shared" si="11"/>
        <v>100</v>
      </c>
      <c r="V47" s="1512" t="s">
        <v>8</v>
      </c>
      <c r="W47" s="1513">
        <f t="shared" si="12"/>
        <v>100</v>
      </c>
      <c r="X47" s="1514"/>
      <c r="Y47" s="3505"/>
      <c r="Z47" s="1515">
        <f t="shared" si="13"/>
        <v>111</v>
      </c>
      <c r="AA47" s="1511">
        <f t="shared" si="3"/>
        <v>1</v>
      </c>
      <c r="AB47" s="1511">
        <f t="shared" si="4"/>
        <v>1</v>
      </c>
      <c r="AC47" s="1511">
        <f t="shared" si="5"/>
        <v>1</v>
      </c>
    </row>
    <row r="48" spans="1:29" ht="20.25">
      <c r="A48" s="601" t="s">
        <v>550</v>
      </c>
      <c r="B48" s="602" t="s">
        <v>3110</v>
      </c>
      <c r="C48" s="603" t="s">
        <v>1</v>
      </c>
      <c r="D48" s="604"/>
      <c r="E48" s="605">
        <f>土地案例!N3</f>
        <v>1350</v>
      </c>
      <c r="F48" s="606"/>
      <c r="G48" s="607">
        <f>土地案例!N25</f>
        <v>1497</v>
      </c>
      <c r="H48" s="608"/>
      <c r="I48" s="605">
        <f>土地案例!N26</f>
        <v>1606</v>
      </c>
      <c r="J48" s="608"/>
      <c r="K48" s="1294"/>
      <c r="L48" s="2027"/>
      <c r="M48" s="2015"/>
      <c r="N48" s="2015"/>
      <c r="O48" s="2028"/>
      <c r="P48" s="3500" t="str">
        <f>A48</f>
        <v>成交单价</v>
      </c>
      <c r="Q48" s="3500"/>
      <c r="R48" s="3514">
        <f>E48</f>
        <v>1350</v>
      </c>
      <c r="S48" s="3514"/>
      <c r="T48" s="3514">
        <f>G48</f>
        <v>1497</v>
      </c>
      <c r="U48" s="3514"/>
      <c r="V48" s="3514">
        <f>I48</f>
        <v>1606</v>
      </c>
      <c r="W48" s="3514"/>
      <c r="X48" s="1497"/>
      <c r="Y48" s="1516"/>
      <c r="Z48" s="1497"/>
      <c r="AA48" s="1497"/>
      <c r="AB48" s="1497"/>
      <c r="AC48" s="1497"/>
    </row>
    <row r="49" spans="1:29" ht="21" thickBot="1">
      <c r="A49" s="609" t="s">
        <v>2674</v>
      </c>
      <c r="B49" s="610"/>
      <c r="C49" s="611">
        <f>R50</f>
        <v>859</v>
      </c>
      <c r="D49" s="3014" t="s">
        <v>2961</v>
      </c>
      <c r="E49" s="611">
        <f>R49</f>
        <v>755</v>
      </c>
      <c r="F49" s="3015"/>
      <c r="G49" s="612">
        <f>T49</f>
        <v>935</v>
      </c>
      <c r="H49" s="3015"/>
      <c r="I49" s="611">
        <f>V49</f>
        <v>888</v>
      </c>
      <c r="J49" s="3015"/>
      <c r="K49" s="3016">
        <f>F49+H49+J49</f>
        <v>0</v>
      </c>
      <c r="L49" s="2027"/>
      <c r="M49" s="2015"/>
      <c r="N49" s="2015"/>
      <c r="O49" s="2028"/>
      <c r="P49" s="3500" t="str">
        <f>A49</f>
        <v>比较价格（元/平方米）</v>
      </c>
      <c r="Q49" s="3500"/>
      <c r="R49" s="3524">
        <f>ROUND(PRODUCT(R48,AA9:AA47),0)</f>
        <v>755</v>
      </c>
      <c r="S49" s="3524"/>
      <c r="T49" s="3524">
        <f>ROUND(PRODUCT(T48,AB9:AB47),0)</f>
        <v>935</v>
      </c>
      <c r="U49" s="3524"/>
      <c r="V49" s="3524">
        <f>ROUND(PRODUCT(V48,AC9:AC47),0)</f>
        <v>888</v>
      </c>
      <c r="W49" s="3524"/>
      <c r="X49" s="1497"/>
      <c r="Y49" s="1497"/>
      <c r="Z49" s="1497"/>
      <c r="AA49" s="1497"/>
      <c r="AB49" s="1497"/>
      <c r="AC49" s="1497"/>
    </row>
    <row r="50" spans="1:29" ht="21" thickBot="1">
      <c r="A50" s="613" t="s">
        <v>2892</v>
      </c>
      <c r="B50" s="614"/>
      <c r="C50" s="615">
        <f>R50</f>
        <v>859</v>
      </c>
      <c r="D50" s="615"/>
      <c r="E50" s="615"/>
      <c r="F50" s="615"/>
      <c r="G50" s="615"/>
      <c r="H50" s="615"/>
      <c r="I50" s="615"/>
      <c r="J50" s="615"/>
      <c r="K50" s="1295"/>
      <c r="L50" s="2027"/>
      <c r="M50" s="2015"/>
      <c r="N50" s="2015"/>
      <c r="O50" s="2028"/>
      <c r="P50" s="3521" t="str">
        <f>A50</f>
        <v>估价对象XX用房的比较价格（楼面单价，元/平方米）</v>
      </c>
      <c r="Q50" s="3522"/>
      <c r="R50" s="3523">
        <f>ROUND(IF(D49="简单平均",AVERAGE(R49:W49),R49*F49+T49*H49+V49*J49),0)</f>
        <v>859</v>
      </c>
      <c r="S50" s="3523"/>
      <c r="T50" s="3523"/>
      <c r="U50" s="3523"/>
      <c r="V50" s="3523"/>
      <c r="W50" s="3523"/>
      <c r="X50" s="1497"/>
      <c r="Y50" s="1497"/>
      <c r="Z50" s="1497"/>
      <c r="AA50" s="1497"/>
      <c r="AB50" s="1497"/>
      <c r="AC50" s="1497"/>
    </row>
    <row r="51" spans="1:29" ht="20.25">
      <c r="A51" s="3213"/>
      <c r="B51" s="3213"/>
      <c r="C51" s="3213"/>
      <c r="D51" s="3213"/>
      <c r="E51" s="3213"/>
      <c r="F51" s="3213"/>
      <c r="G51" s="3215"/>
      <c r="H51" s="3213"/>
      <c r="I51" s="3213"/>
      <c r="J51" s="3213"/>
      <c r="K51" s="3216"/>
      <c r="L51" s="2032"/>
      <c r="M51" s="2015"/>
      <c r="N51" s="2015"/>
      <c r="O51" s="2028"/>
      <c r="P51" s="2028"/>
      <c r="Q51" s="2028"/>
      <c r="R51" s="2028"/>
      <c r="S51" s="2028"/>
      <c r="T51" s="2028"/>
      <c r="U51" s="2028"/>
      <c r="V51" s="2028"/>
      <c r="W51" s="2028"/>
      <c r="X51" s="2028"/>
      <c r="Y51" s="2028"/>
      <c r="Z51" s="2028"/>
      <c r="AA51" s="2028"/>
      <c r="AB51" s="2028"/>
      <c r="AC51" s="2028"/>
    </row>
    <row r="52" spans="1:29" ht="20.25">
      <c r="A52" s="3213"/>
      <c r="B52" s="3213"/>
      <c r="C52" s="3213"/>
      <c r="D52" s="3213"/>
      <c r="E52" s="3213"/>
      <c r="F52" s="3213"/>
      <c r="G52" s="3213"/>
      <c r="H52" s="3213"/>
      <c r="I52" s="3213"/>
      <c r="J52" s="3213"/>
      <c r="K52" s="3216"/>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f>IF(E48&lt;E49,E49/E48-1,E48/E49-1)</f>
        <v>0.78807947019867552</v>
      </c>
      <c r="F53" s="619" t="str">
        <f>IF(OR(E53&gt;=0.3,E53&lt;=-0.3),"超过30%","")</f>
        <v>超过30%</v>
      </c>
      <c r="G53" s="618">
        <f>IF(G48&lt;G49,G49/G48-1,G48/G49-1)</f>
        <v>0.60106951871657754</v>
      </c>
      <c r="H53" s="619" t="str">
        <f>IF(OR(G53&gt;=0.3,G53&lt;=-0.3),"超过30%","")</f>
        <v>超过30%</v>
      </c>
      <c r="I53" s="618">
        <f>IF(I48&lt;I49,I49/I48-1,I48/I49-1)</f>
        <v>0.80855855855855863</v>
      </c>
      <c r="J53" s="619" t="str">
        <f>IF(OR(I53&gt;=0.3,I53&lt;=-0.3),"超过30%","")</f>
        <v>超过30%</v>
      </c>
      <c r="K53" s="3216"/>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f>IF(E49&lt;G49,G49/E49-1,E49/G49-1)</f>
        <v>0.23841059602649017</v>
      </c>
      <c r="F54" s="619" t="str">
        <f>IF(OR(E54&gt;=0.2,E54&lt;=-0.2),"超过20%","")</f>
        <v>超过20%</v>
      </c>
      <c r="G54" s="618">
        <f>IF(G49&lt;I49,I49/G49-1,G49/I49-1)</f>
        <v>5.2927927927927998E-2</v>
      </c>
      <c r="H54" s="619" t="str">
        <f>IF(OR(G54&gt;=0.2,G54&lt;=-0.2),"超过20%","")</f>
        <v/>
      </c>
      <c r="I54" s="618">
        <f>IF(I49&lt;E49,E49/I49-1,I49/E49-1)</f>
        <v>0.17615894039735092</v>
      </c>
      <c r="J54" s="619" t="str">
        <f>IF(OR(I54&gt;=0.2,I54&lt;=-0.2),"超过20%","")</f>
        <v/>
      </c>
      <c r="K54" s="3216"/>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f>IF(E48&lt;G48,G48/E48-1,E48/G48-1)</f>
        <v>0.10888888888888881</v>
      </c>
      <c r="F55" s="619" t="str">
        <f>IF(OR(E55&gt;=0.3,E55&lt;=-0.3),"超过30%","")</f>
        <v/>
      </c>
      <c r="G55" s="618">
        <f>IF(G48&lt;I48,I48/G48-1,G48/I48-1)</f>
        <v>7.2812291249165106E-2</v>
      </c>
      <c r="H55" s="619" t="str">
        <f>IF(OR(G55&gt;=0.3,G55&lt;=-0.3),"超过30%","")</f>
        <v/>
      </c>
      <c r="I55" s="618">
        <f>IF(I48&lt;E48,E48/I48-1,I48/E48-1)</f>
        <v>0.18962962962962959</v>
      </c>
      <c r="J55" s="619" t="str">
        <f>IF(OR(I55&gt;=0.3,I55&lt;=-0.3),"超过30%","")</f>
        <v/>
      </c>
      <c r="K55" s="3217"/>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7"/>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4" t="s">
        <v>2269</v>
      </c>
      <c r="H57" s="3485"/>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859</v>
      </c>
      <c r="C58" s="627">
        <v>1</v>
      </c>
      <c r="D58" s="2109">
        <v>1</v>
      </c>
      <c r="E58" s="627">
        <f>'数据-汇总表'!E8+'数据-汇总表'!E9</f>
        <v>66666.600000000006</v>
      </c>
      <c r="F58" s="628">
        <f t="shared" ref="F58:F67" si="15">ROUND(B58*E58/10000,0)</f>
        <v>5727</v>
      </c>
      <c r="G58" s="3486"/>
      <c r="H58" s="3487"/>
      <c r="I58" s="1495">
        <v>1</v>
      </c>
      <c r="J58" s="1495">
        <v>1</v>
      </c>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88" t="s">
        <v>2270</v>
      </c>
      <c r="H59" s="1863">
        <f>项目基本情况!B43</f>
        <v>0</v>
      </c>
      <c r="I59" s="1495">
        <f>SUMIF(修正!$A$45:$A$56,H59,修正!B45:B56)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88"/>
      <c r="H60" s="1863">
        <f>项目基本情况!B43</f>
        <v>0</v>
      </c>
      <c r="I60" s="1495">
        <f>SUMIF(修正!$A$45:$A$56,H60,修正!C45:C56)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88"/>
      <c r="H61" s="1863">
        <f>项目基本情况!B43</f>
        <v>0</v>
      </c>
      <c r="I61" s="1495">
        <f>SUMIF(修正!$A$45:$A$56,H61,修正!D45:D56)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88"/>
      <c r="H62" s="1863">
        <f>项目基本情况!B43</f>
        <v>0</v>
      </c>
      <c r="I62" s="1495">
        <f>SUMIF(修正!$A$45:$A$56,H62,修正!E45:E56)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8"/>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8"/>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8"/>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8"/>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8"/>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66666.600000000006</v>
      </c>
      <c r="F68" s="636">
        <f>IF(B48="楼面地价",SUM(F58:F67),ROUND(C50*E68/10000,0))</f>
        <v>5727</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3" t="s">
        <v>2628</v>
      </c>
      <c r="B73" s="473" t="str">
        <f>"北京市平均增长率"&amp;TEXT(SUMIF(基准地价!N21:N25,A73,基准地价!P21:P25),"0.00%")</f>
        <v>北京市平均增长率1.79%</v>
      </c>
      <c r="C73" s="883">
        <v>100</v>
      </c>
      <c r="D73" s="3293">
        <f>C73-$C$74</f>
        <v>100</v>
      </c>
      <c r="E73" s="3293">
        <f t="shared" ref="E73:N73" si="20">D73-$C$74</f>
        <v>100</v>
      </c>
      <c r="F73" s="3293">
        <f t="shared" si="20"/>
        <v>100</v>
      </c>
      <c r="G73" s="3293">
        <f t="shared" si="20"/>
        <v>100</v>
      </c>
      <c r="H73" s="3293">
        <f t="shared" si="20"/>
        <v>100</v>
      </c>
      <c r="I73" s="3293">
        <f t="shared" si="20"/>
        <v>100</v>
      </c>
      <c r="J73" s="3293">
        <f t="shared" si="20"/>
        <v>100</v>
      </c>
      <c r="K73" s="3293">
        <f t="shared" si="20"/>
        <v>100</v>
      </c>
      <c r="L73" s="3293">
        <f t="shared" si="20"/>
        <v>100</v>
      </c>
      <c r="M73" s="3293">
        <f t="shared" si="20"/>
        <v>100</v>
      </c>
      <c r="N73" s="3293">
        <f t="shared" si="20"/>
        <v>100</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4" t="s">
        <v>2627</v>
      </c>
      <c r="B74" s="2522"/>
      <c r="C74" s="3292">
        <v>0</v>
      </c>
      <c r="D74" s="2510"/>
      <c r="E74" s="2510"/>
      <c r="F74" s="2510"/>
      <c r="G74" s="2510"/>
      <c r="H74" s="2510"/>
      <c r="I74" s="2510"/>
      <c r="J74" s="2510"/>
      <c r="K74" s="2510"/>
      <c r="L74" s="2510"/>
      <c r="M74" s="2510"/>
      <c r="N74" s="2510"/>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628" t="s">
        <v>3132</v>
      </c>
      <c r="D77" s="3628" t="s">
        <v>3133</v>
      </c>
      <c r="E77" s="3628" t="s">
        <v>3134</v>
      </c>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3627">
        <v>130</v>
      </c>
      <c r="D78" s="3627">
        <v>100</v>
      </c>
      <c r="E78" s="3627">
        <v>100</v>
      </c>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97</v>
      </c>
      <c r="E93" s="671">
        <f>D93-$K19</f>
        <v>94</v>
      </c>
      <c r="F93" s="671">
        <f>E93-$K19</f>
        <v>91</v>
      </c>
      <c r="G93" s="671">
        <f>F93-$K19</f>
        <v>88</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100000(含)-200000</v>
      </c>
      <c r="I118" s="696" t="str">
        <f t="shared" si="26"/>
        <v>200000(含)-300000</v>
      </c>
      <c r="J118" s="2780" t="str">
        <f t="shared" si="26"/>
        <v>300000(含)-500000</v>
      </c>
      <c r="K118" s="2780" t="str">
        <f t="shared" si="26"/>
        <v>500000(含)-</v>
      </c>
      <c r="L118" s="2781" t="str">
        <f t="shared" si="26"/>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3625">
        <v>200000</v>
      </c>
      <c r="J119" s="3626">
        <v>300000</v>
      </c>
      <c r="K119" s="3626">
        <v>500000</v>
      </c>
      <c r="L119" s="2223"/>
      <c r="M119" s="2224"/>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3624">
        <v>112</v>
      </c>
      <c r="J120" s="3624">
        <v>114</v>
      </c>
      <c r="K120" s="3624">
        <v>116</v>
      </c>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623" t="s">
        <v>3128</v>
      </c>
      <c r="D121" s="3623" t="s">
        <v>3129</v>
      </c>
      <c r="E121" s="3623" t="s">
        <v>3130</v>
      </c>
      <c r="F121" s="3623" t="s">
        <v>3131</v>
      </c>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3118</v>
      </c>
      <c r="D125" s="1327" t="s">
        <v>3119</v>
      </c>
      <c r="E125" s="1327" t="s">
        <v>3120</v>
      </c>
      <c r="F125" s="1327" t="s">
        <v>3122</v>
      </c>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9">D126-$K43</f>
        <v>96</v>
      </c>
      <c r="F126" s="671">
        <f t="shared" si="29"/>
        <v>94</v>
      </c>
      <c r="G126" s="671">
        <f t="shared" si="29"/>
        <v>92</v>
      </c>
      <c r="H126" s="671">
        <f t="shared" si="29"/>
        <v>90</v>
      </c>
      <c r="I126" s="671">
        <f t="shared" si="29"/>
        <v>88</v>
      </c>
      <c r="J126" s="671">
        <f t="shared" si="29"/>
        <v>86</v>
      </c>
      <c r="K126" s="671">
        <f t="shared" si="29"/>
        <v>84</v>
      </c>
      <c r="L126" s="671">
        <f t="shared" si="29"/>
        <v>82</v>
      </c>
      <c r="M126" s="672">
        <f t="shared" si="29"/>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B1" zoomScale="90" zoomScaleNormal="80" zoomScaleSheetLayoutView="90" workbookViewId="0">
      <selection activeCell="C8" sqref="C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6"/>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4648</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697</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1394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93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5" t="s">
        <v>1833</v>
      </c>
      <c r="B6" s="2546"/>
      <c r="C6" s="2547">
        <f ca="1">SUM(C10:K10)</f>
        <v>24775</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6" customFormat="1" ht="15">
      <c r="A7" s="2549" t="s">
        <v>464</v>
      </c>
      <c r="B7" s="2550" t="s">
        <v>465</v>
      </c>
      <c r="C7" s="430" t="s">
        <v>3101</v>
      </c>
      <c r="D7" s="430"/>
      <c r="E7" s="430"/>
      <c r="F7" s="430"/>
      <c r="G7" s="430"/>
      <c r="H7" s="430"/>
      <c r="I7" s="430"/>
      <c r="J7" s="430"/>
      <c r="K7" s="431"/>
      <c r="AA7" s="1995"/>
      <c r="AB7" s="1995"/>
      <c r="AC7" s="1995"/>
      <c r="AD7" s="1995"/>
      <c r="AE7" s="1995"/>
    </row>
    <row r="8" spans="1:31" s="1998" customFormat="1" ht="13.5" customHeight="1">
      <c r="A8" s="793" t="s">
        <v>1836</v>
      </c>
      <c r="B8" s="259" t="s">
        <v>466</v>
      </c>
      <c r="C8" s="2551">
        <f ca="1">不动产收益法!B3</f>
        <v>3716</v>
      </c>
      <c r="D8" s="2551"/>
      <c r="E8" s="2551"/>
      <c r="F8" s="2551"/>
      <c r="G8" s="2551"/>
      <c r="H8" s="2551"/>
      <c r="I8" s="2551"/>
      <c r="J8" s="2551"/>
      <c r="K8" s="2552"/>
      <c r="AA8" s="1997"/>
      <c r="AB8" s="1997"/>
      <c r="AC8" s="1997"/>
      <c r="AD8" s="1997"/>
      <c r="AE8" s="1997"/>
    </row>
    <row r="9" spans="1:31" s="1998" customFormat="1" ht="13.5" customHeight="1">
      <c r="A9" s="793" t="s">
        <v>1837</v>
      </c>
      <c r="B9" s="259" t="s">
        <v>467</v>
      </c>
      <c r="C9" s="435">
        <f>SUMIF('数据-汇总表'!$C19:$C33,'剩余法-待开发'!C7,'数据-汇总表'!$E19:$E33)</f>
        <v>66666.600000000006</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3" t="s">
        <v>1838</v>
      </c>
      <c r="B10" s="2539" t="s">
        <v>468</v>
      </c>
      <c r="C10" s="2742">
        <f ca="1">不动产收益法!B2</f>
        <v>24775</v>
      </c>
      <c r="D10" s="2742"/>
      <c r="E10" s="2742"/>
      <c r="F10" s="2554"/>
      <c r="G10" s="2554"/>
      <c r="H10" s="2554"/>
      <c r="I10" s="2554"/>
      <c r="J10" s="2554"/>
      <c r="K10" s="2555"/>
      <c r="AA10" s="1997"/>
      <c r="AB10" s="1997"/>
      <c r="AC10" s="1997"/>
      <c r="AD10" s="1997"/>
      <c r="AE10" s="1997"/>
    </row>
    <row r="11" spans="1:31" s="1994"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8"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9" customFormat="1" ht="13.5" customHeight="1">
      <c r="A13" s="2559" t="s">
        <v>1839</v>
      </c>
      <c r="B13" s="2560" t="s">
        <v>473</v>
      </c>
      <c r="C13" s="444">
        <f ca="1">IF(B1="",'数据-取费表'!P16,INDIRECT("'数据-取费表'!p"&amp;$K$1)+INDIRECT("'数据-取费表'!t"&amp;$K$1))</f>
        <v>13333</v>
      </c>
      <c r="D13" s="2561"/>
      <c r="E13" s="2562"/>
      <c r="F13" s="2563"/>
      <c r="G13" s="2529"/>
      <c r="H13" s="2530"/>
      <c r="I13" s="2530"/>
      <c r="J13" s="2530"/>
      <c r="K13" s="2531"/>
      <c r="L13" s="2000"/>
      <c r="M13" s="2000"/>
      <c r="N13" s="2000"/>
      <c r="O13" s="2000"/>
      <c r="P13" s="2000"/>
      <c r="Q13" s="2000"/>
      <c r="R13" s="2000"/>
      <c r="S13" s="2000"/>
      <c r="T13" s="2000"/>
      <c r="U13" s="2000"/>
      <c r="V13" s="2000"/>
      <c r="W13" s="2000"/>
      <c r="X13" s="2000"/>
      <c r="Y13" s="2000"/>
      <c r="Z13" s="2000"/>
    </row>
    <row r="14" spans="1:31" s="1999" customFormat="1" ht="13.5" customHeight="1">
      <c r="A14" s="2559" t="s">
        <v>1840</v>
      </c>
      <c r="B14" s="2560" t="s">
        <v>474</v>
      </c>
      <c r="C14" s="53">
        <f ca="1">ROUND(C13*F14,0)</f>
        <v>400</v>
      </c>
      <c r="D14" s="2561"/>
      <c r="E14" s="2562"/>
      <c r="F14" s="2564">
        <f>'数据-取费表'!B33</f>
        <v>0.03</v>
      </c>
      <c r="G14" s="2529" t="s">
        <v>475</v>
      </c>
      <c r="H14" s="2530"/>
      <c r="I14" s="2530"/>
      <c r="J14" s="2530"/>
      <c r="K14" s="2531"/>
      <c r="L14" s="2000"/>
      <c r="M14" s="2000"/>
      <c r="N14" s="2000"/>
      <c r="O14" s="2000"/>
      <c r="P14" s="2000"/>
      <c r="Q14" s="2000"/>
      <c r="R14" s="2000"/>
      <c r="S14" s="2000"/>
      <c r="T14" s="2000"/>
      <c r="U14" s="2000"/>
      <c r="V14" s="2000"/>
      <c r="W14" s="2000"/>
      <c r="X14" s="2000"/>
      <c r="Y14" s="2000"/>
      <c r="Z14" s="2000"/>
    </row>
    <row r="15" spans="1:31" s="1999"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2000"/>
      <c r="M15" s="2000"/>
      <c r="N15" s="2000"/>
      <c r="O15" s="2000"/>
      <c r="P15" s="2000"/>
      <c r="Q15" s="2000"/>
      <c r="R15" s="2000"/>
      <c r="S15" s="2000"/>
      <c r="T15" s="2000"/>
      <c r="U15" s="2000"/>
      <c r="V15" s="2000"/>
      <c r="W15" s="2000"/>
      <c r="X15" s="2000"/>
      <c r="Y15" s="2000"/>
      <c r="Z15" s="2000"/>
    </row>
    <row r="16" spans="1:31" s="2000" customFormat="1" ht="13.5" customHeight="1">
      <c r="A16" s="2559" t="s">
        <v>1842</v>
      </c>
      <c r="B16" s="2560" t="s">
        <v>478</v>
      </c>
      <c r="C16" s="53">
        <f ca="1">ROUND(D16*E16/10000,0)</f>
        <v>1000</v>
      </c>
      <c r="D16" s="2561">
        <f ca="1">IF(B1="",'数据-汇总表'!E3,INDIRECT("'数据-取费表'!K"&amp;$K$1)+INDIRECT("'数据-取费表'!S"&amp;$K$1))</f>
        <v>66666.600000000006</v>
      </c>
      <c r="E16" s="53">
        <f>'数据-取费表'!B35</f>
        <v>150</v>
      </c>
      <c r="F16" s="2564"/>
      <c r="G16" s="2529"/>
      <c r="H16" s="2530"/>
      <c r="I16" s="2530"/>
      <c r="J16" s="2530"/>
      <c r="K16" s="2531"/>
      <c r="AA16" s="1999"/>
      <c r="AB16" s="1999"/>
      <c r="AC16" s="1999"/>
      <c r="AD16" s="1999"/>
      <c r="AE16" s="1999"/>
    </row>
    <row r="17" spans="1:26" s="1999" customFormat="1" ht="13.5" customHeight="1">
      <c r="A17" s="2559" t="s">
        <v>1843</v>
      </c>
      <c r="B17" s="2560" t="s">
        <v>479</v>
      </c>
      <c r="C17" s="2565">
        <f ca="1">ROUND(C13*F17,0)</f>
        <v>200</v>
      </c>
      <c r="D17" s="469"/>
      <c r="E17" s="2565"/>
      <c r="F17" s="2566">
        <f>'数据-取费表'!B36</f>
        <v>1.4999999999999999E-2</v>
      </c>
      <c r="G17" s="259" t="s">
        <v>480</v>
      </c>
      <c r="H17" s="2532"/>
      <c r="I17" s="2532"/>
      <c r="J17" s="2532"/>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7" t="s">
        <v>1844</v>
      </c>
      <c r="B18" s="2568" t="s">
        <v>481</v>
      </c>
      <c r="C18" s="2569">
        <f ca="1">SUM(C13:C17)</f>
        <v>14933</v>
      </c>
      <c r="D18" s="2570"/>
      <c r="E18" s="462"/>
      <c r="F18" s="462"/>
      <c r="G18" s="2533" t="s">
        <v>2414</v>
      </c>
      <c r="H18" s="2534"/>
      <c r="I18" s="2534"/>
      <c r="J18" s="2534"/>
      <c r="K18" s="2535"/>
      <c r="L18" s="2000"/>
      <c r="M18" s="2000"/>
      <c r="N18" s="2000"/>
      <c r="O18" s="2000"/>
      <c r="P18" s="2000"/>
      <c r="Q18" s="2000"/>
      <c r="R18" s="2000"/>
      <c r="S18" s="2000"/>
      <c r="T18" s="2000"/>
      <c r="U18" s="2000"/>
      <c r="V18" s="2000"/>
      <c r="W18" s="2000"/>
      <c r="X18" s="2000"/>
      <c r="Y18" s="2000"/>
      <c r="Z18" s="2000"/>
    </row>
    <row r="19" spans="1:26" s="1999" customFormat="1" ht="13.5" customHeight="1">
      <c r="A19" s="2567" t="s">
        <v>1845</v>
      </c>
      <c r="B19" s="2568" t="s">
        <v>482</v>
      </c>
      <c r="C19" s="2525">
        <f ca="1">ROUND(D19*E19/10000,0)</f>
        <v>0</v>
      </c>
      <c r="D19" s="2571">
        <f ca="1">D16</f>
        <v>66666.600000000006</v>
      </c>
      <c r="E19" s="2525">
        <f>'数据-取费表'!B32</f>
        <v>0</v>
      </c>
      <c r="F19" s="462"/>
      <c r="G19" s="2529" t="s">
        <v>483</v>
      </c>
      <c r="H19" s="2530"/>
      <c r="I19" s="2534"/>
      <c r="J19" s="2534"/>
      <c r="K19" s="2535"/>
      <c r="L19" s="2000"/>
      <c r="M19" s="2000"/>
      <c r="N19" s="2000"/>
      <c r="O19" s="2000"/>
      <c r="P19" s="2000"/>
      <c r="Q19" s="2000"/>
      <c r="R19" s="2000"/>
      <c r="S19" s="2000"/>
      <c r="T19" s="2000"/>
      <c r="U19" s="2000"/>
      <c r="V19" s="2000"/>
      <c r="W19" s="2000"/>
      <c r="X19" s="2000"/>
      <c r="Y19" s="2000"/>
      <c r="Z19" s="2000"/>
    </row>
    <row r="20" spans="1:26" s="1999" customFormat="1" ht="13.5" customHeight="1">
      <c r="A20" s="2567" t="s">
        <v>1846</v>
      </c>
      <c r="B20" s="2568" t="s">
        <v>484</v>
      </c>
      <c r="C20" s="2525">
        <f ca="1">C21+C22-IF(B1="",'数据-取费表'!B29,IF(G20="已全部缴纳",C21+C22,H20))</f>
        <v>320</v>
      </c>
      <c r="D20" s="2571"/>
      <c r="E20" s="2525"/>
      <c r="F20" s="2572"/>
      <c r="G20" s="2776"/>
      <c r="H20" s="2527"/>
      <c r="I20" s="2528" t="s">
        <v>2632</v>
      </c>
      <c r="J20" s="2534"/>
      <c r="K20" s="2535"/>
      <c r="L20" s="2000"/>
      <c r="M20" s="2000"/>
      <c r="N20" s="2000"/>
      <c r="O20" s="2000"/>
      <c r="P20" s="2000"/>
      <c r="Q20" s="2000"/>
      <c r="R20" s="2000"/>
      <c r="S20" s="2000"/>
      <c r="T20" s="2000"/>
      <c r="U20" s="2000"/>
      <c r="V20" s="2000"/>
      <c r="W20" s="2000"/>
      <c r="X20" s="2000"/>
      <c r="Y20" s="2000"/>
      <c r="Z20" s="2000"/>
    </row>
    <row r="21" spans="1:26" s="1999"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2000"/>
      <c r="M21" s="2000"/>
      <c r="N21" s="2000"/>
      <c r="O21" s="2000"/>
      <c r="P21" s="2000"/>
      <c r="Q21" s="2000"/>
      <c r="R21" s="2000"/>
      <c r="S21" s="2000"/>
      <c r="T21" s="2000"/>
      <c r="U21" s="2000"/>
      <c r="V21" s="2000"/>
      <c r="W21" s="2000"/>
      <c r="X21" s="2000"/>
      <c r="Y21" s="2000"/>
      <c r="Z21" s="2000"/>
    </row>
    <row r="22" spans="1:26" s="1999" customFormat="1" ht="13.5" customHeight="1">
      <c r="A22" s="2559" t="s">
        <v>1848</v>
      </c>
      <c r="B22" s="2560" t="s">
        <v>486</v>
      </c>
      <c r="C22" s="53">
        <f ca="1">ROUND(D22*E22/10000,0)</f>
        <v>320</v>
      </c>
      <c r="D22" s="2561">
        <f ca="1">IF(B1="",'数据-汇总表'!E6,IF(INDIRECT("'数据-取费表'!c"&amp;$K$1)="住宅",INDIRECT("'数据-取费表'!s"&amp;$K$1),INDIRECT("'数据-取费表'!k"&amp;$K$1)+INDIRECT("'数据-取费表'!s"&amp;$K$1)))</f>
        <v>66666.600000000006</v>
      </c>
      <c r="E22" s="53">
        <f>'数据-取费表'!B28</f>
        <v>48</v>
      </c>
      <c r="F22" s="2564"/>
      <c r="G22" s="26"/>
      <c r="H22" s="51"/>
      <c r="I22" s="51"/>
      <c r="J22" s="51"/>
      <c r="K22" s="2536"/>
      <c r="L22" s="2000"/>
      <c r="M22" s="2000"/>
      <c r="N22" s="2000"/>
      <c r="O22" s="2000"/>
      <c r="P22" s="2000"/>
      <c r="Q22" s="2000"/>
      <c r="R22" s="2000"/>
      <c r="S22" s="2000"/>
      <c r="T22" s="2000"/>
      <c r="U22" s="2000"/>
      <c r="V22" s="2000"/>
      <c r="W22" s="2000"/>
      <c r="X22" s="2000"/>
      <c r="Y22" s="2000"/>
      <c r="Z22" s="2000"/>
    </row>
    <row r="23" spans="1:26" s="1999" customFormat="1" ht="13.5" customHeight="1">
      <c r="A23" s="2567" t="s">
        <v>1849</v>
      </c>
      <c r="B23" s="2748" t="s">
        <v>2814</v>
      </c>
      <c r="C23" s="2569">
        <f ca="1">ROUND((C18+C19+C20)*F23,0)</f>
        <v>305</v>
      </c>
      <c r="D23" s="462"/>
      <c r="E23" s="462"/>
      <c r="F23" s="2573">
        <f>'数据-取费表'!B37</f>
        <v>0.02</v>
      </c>
      <c r="G23" s="2529" t="s">
        <v>2415</v>
      </c>
      <c r="H23" s="2530"/>
      <c r="I23" s="2530"/>
      <c r="J23" s="2530"/>
      <c r="K23" s="2531"/>
      <c r="L23" s="3198"/>
      <c r="M23" s="3198"/>
      <c r="N23" s="3198"/>
      <c r="O23" s="2000"/>
      <c r="P23" s="2000"/>
      <c r="Q23" s="2000"/>
      <c r="R23" s="2000"/>
      <c r="S23" s="2000"/>
      <c r="T23" s="2000"/>
      <c r="U23" s="2000"/>
      <c r="V23" s="2000"/>
      <c r="W23" s="2000"/>
      <c r="X23" s="2000"/>
      <c r="Y23" s="2000"/>
      <c r="Z23" s="2000"/>
    </row>
    <row r="24" spans="1:26" s="1999" customFormat="1" ht="13.5" customHeight="1">
      <c r="A24" s="2567" t="s">
        <v>1850</v>
      </c>
      <c r="B24" s="2748" t="s">
        <v>2817</v>
      </c>
      <c r="C24" s="2569">
        <f ca="1">ROUND(C6*F24,0)</f>
        <v>496</v>
      </c>
      <c r="D24" s="469"/>
      <c r="E24" s="467"/>
      <c r="F24" s="2573">
        <f>'数据-取费表'!B38</f>
        <v>0.02</v>
      </c>
      <c r="G24" s="2538" t="s">
        <v>493</v>
      </c>
      <c r="H24" s="2532"/>
      <c r="I24" s="2532"/>
      <c r="J24" s="2532"/>
      <c r="K24" s="277"/>
      <c r="L24" s="3198"/>
      <c r="M24" s="3198"/>
      <c r="N24" s="3198"/>
      <c r="O24" s="2000"/>
      <c r="P24" s="2000"/>
      <c r="Q24" s="2000"/>
      <c r="R24" s="2000"/>
      <c r="S24" s="2000"/>
      <c r="T24" s="2000"/>
      <c r="U24" s="2000"/>
      <c r="V24" s="2000"/>
      <c r="W24" s="2000"/>
      <c r="X24" s="2000"/>
      <c r="Y24" s="2000"/>
      <c r="Z24" s="2000"/>
    </row>
    <row r="25" spans="1:26" s="2002"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1" customFormat="1" ht="13.5" customHeight="1">
      <c r="A26" s="2567" t="s">
        <v>1852</v>
      </c>
      <c r="B26" s="2749" t="s">
        <v>2816</v>
      </c>
      <c r="C26" s="2574">
        <f ca="1">C28</f>
        <v>349</v>
      </c>
      <c r="D26" s="461">
        <f ca="1">C27</f>
        <v>4.48E-2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3" customFormat="1" ht="13.5" customHeight="1">
      <c r="A27" s="793" t="s">
        <v>1847</v>
      </c>
      <c r="B27" s="2575" t="s">
        <v>490</v>
      </c>
      <c r="C27" s="2576">
        <f ca="1">ROUND(IF('数据-取费表'!B22&lt;=1,(1+C25)*F26*'数据-取费表'!B24,(1+C25)*(POWER((1+F26),'数据-取费表'!B24)-1)),4)</f>
        <v>4.48E-2</v>
      </c>
      <c r="D27" s="466"/>
      <c r="E27" s="467"/>
      <c r="F27" s="468"/>
      <c r="G27" s="2424" t="str">
        <f>IF('数据-取费表'!B22&lt;=1,"（1+取得税费率/(1+5%)）×年利率×建设期","（1+取得税费率）/(1+5%)×((1+年利率)^建设期-1)")</f>
        <v>（1+取得税费率/(1+5%)）×年利率×建设期</v>
      </c>
      <c r="H27" s="2532"/>
      <c r="I27" s="2532"/>
      <c r="J27" s="2532"/>
      <c r="K27" s="277"/>
      <c r="L27" s="3200"/>
      <c r="M27" s="3200"/>
      <c r="N27" s="3200"/>
      <c r="O27" s="3200"/>
      <c r="P27" s="3200"/>
      <c r="Q27" s="3200"/>
      <c r="R27" s="3200"/>
      <c r="S27" s="3200"/>
      <c r="T27" s="3200"/>
      <c r="U27" s="3200"/>
      <c r="V27" s="3200"/>
      <c r="W27" s="3200"/>
      <c r="X27" s="3200"/>
      <c r="Y27" s="3200"/>
      <c r="Z27" s="3200"/>
    </row>
    <row r="28" spans="1:26" s="2003" customFormat="1" ht="13.5" customHeight="1">
      <c r="A28" s="793" t="s">
        <v>1848</v>
      </c>
      <c r="B28" s="2575" t="s">
        <v>2818</v>
      </c>
      <c r="C28" s="2577">
        <f ca="1">ROUND(IF('数据-取费表'!B22&lt;=1,(C18+C19+C20+C23+C24)*F26*'数据-取费表'!B24/2,(C18+C19+C20+C23+C24)*(POWER((1+F26),'数据-取费表'!B24/2)-1)),0)</f>
        <v>349</v>
      </c>
      <c r="D28" s="466"/>
      <c r="E28" s="467"/>
      <c r="F28" s="468"/>
      <c r="G28" s="2424" t="str">
        <f>IF('数据-取费表'!B22&lt;=1,"（1）-（4）项×年利率×建设期÷2","（1）-（4）项×((1+年利率)^(建设期÷2)-1)")</f>
        <v>（1）-（4）项×年利率×建设期÷2</v>
      </c>
      <c r="H28" s="2532"/>
      <c r="I28" s="2532"/>
      <c r="J28" s="2532"/>
      <c r="K28" s="277"/>
      <c r="L28" s="3200"/>
      <c r="M28" s="3200"/>
      <c r="N28" s="3200"/>
      <c r="O28" s="3200"/>
      <c r="P28" s="3200"/>
      <c r="Q28" s="3200"/>
      <c r="R28" s="3200"/>
      <c r="S28" s="3200"/>
      <c r="T28" s="3200"/>
      <c r="U28" s="3200"/>
      <c r="V28" s="3200"/>
      <c r="W28" s="3200"/>
      <c r="X28" s="3200"/>
      <c r="Y28" s="3200"/>
      <c r="Z28" s="3200"/>
    </row>
    <row r="29" spans="1:26" s="2003" customFormat="1" ht="13.5" customHeight="1">
      <c r="A29" s="2578" t="s">
        <v>1853</v>
      </c>
      <c r="B29" s="2568" t="s">
        <v>491</v>
      </c>
      <c r="C29" s="2569">
        <f ca="1">ROUND(C6*F29/(1+'数据-取费表'!C42),0)</f>
        <v>1298</v>
      </c>
      <c r="D29" s="462"/>
      <c r="E29" s="462"/>
      <c r="F29" s="2750">
        <f>'数据-取费表'!B41</f>
        <v>5.5000000000000007E-2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4" customFormat="1" ht="13.5" customHeight="1">
      <c r="A30" s="1564" t="s">
        <v>1854</v>
      </c>
      <c r="B30" s="2579" t="s">
        <v>494</v>
      </c>
      <c r="C30" s="2574">
        <f ca="1">C31</f>
        <v>17701</v>
      </c>
      <c r="D30" s="471">
        <f ca="1">C32</f>
        <v>7.3800000000000004E-2</v>
      </c>
      <c r="E30" s="463" t="s">
        <v>489</v>
      </c>
      <c r="F30" s="465"/>
      <c r="G30" s="2537" t="s">
        <v>2925</v>
      </c>
      <c r="H30" s="2530"/>
      <c r="I30" s="2530"/>
      <c r="J30" s="2530"/>
      <c r="K30" s="2531"/>
      <c r="L30" s="3201"/>
      <c r="M30" s="3201"/>
      <c r="N30" s="3201"/>
      <c r="O30" s="3201"/>
      <c r="P30" s="3201"/>
      <c r="Q30" s="3201"/>
      <c r="R30" s="3201"/>
      <c r="S30" s="3201"/>
      <c r="T30" s="3201"/>
      <c r="U30" s="3201"/>
      <c r="V30" s="3201"/>
      <c r="W30" s="3201"/>
      <c r="X30" s="3201"/>
      <c r="Y30" s="3201"/>
      <c r="Z30" s="3201"/>
    </row>
    <row r="31" spans="1:26" s="2003" customFormat="1" ht="13.5" customHeight="1">
      <c r="A31" s="793" t="s">
        <v>1847</v>
      </c>
      <c r="B31" s="2575"/>
      <c r="C31" s="444">
        <f ca="1">C18+C19+C20+C23+C24+C26+C29</f>
        <v>17701</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3" customFormat="1" ht="13.5" customHeight="1">
      <c r="A32" s="793" t="s">
        <v>1848</v>
      </c>
      <c r="B32" s="2575"/>
      <c r="C32" s="53">
        <f ca="1">ROUND(C25+D26,4)</f>
        <v>7.3800000000000004E-2</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5" customFormat="1" ht="13.5" customHeight="1">
      <c r="A33" s="2747" t="s">
        <v>2813</v>
      </c>
      <c r="B33" s="2745" t="s">
        <v>2811</v>
      </c>
      <c r="C33" s="472">
        <f ca="1">C35</f>
        <v>1605</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6"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6" customFormat="1" ht="13.5" customHeight="1" thickBot="1">
      <c r="A35" s="1565" t="s">
        <v>1848</v>
      </c>
      <c r="B35" s="2746" t="s">
        <v>2819</v>
      </c>
      <c r="C35" s="1557">
        <f ca="1">ROUND((C18+C19+C20+C23+C24)*F33,0)</f>
        <v>1605</v>
      </c>
      <c r="D35" s="1558"/>
      <c r="E35" s="2581"/>
      <c r="F35" s="1559"/>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8" customFormat="1" ht="13.5" customHeight="1" thickBot="1">
      <c r="A36" s="282" t="s">
        <v>1835</v>
      </c>
      <c r="B36" s="2543"/>
      <c r="C36" s="2582">
        <f ca="1">ROUND((C6-C30-C33)/(1+D30+D33),0)</f>
        <v>4648</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8" customFormat="1">
      <c r="A37" s="3204"/>
      <c r="C37" s="3205"/>
      <c r="E37" s="3204"/>
    </row>
    <row r="38" spans="1:26" s="1998" customFormat="1" ht="12.75" customHeight="1">
      <c r="A38" s="3204"/>
      <c r="C38" s="3205"/>
      <c r="E38" s="3204"/>
    </row>
    <row r="39" spans="1:26" s="1998" customFormat="1">
      <c r="A39" s="3204"/>
      <c r="C39" s="3205"/>
      <c r="E39" s="3204"/>
    </row>
    <row r="40" spans="1:26" s="1998" customFormat="1">
      <c r="A40" s="3204"/>
      <c r="C40" s="3205"/>
      <c r="E40" s="3204"/>
    </row>
    <row r="41" spans="1:26" s="1998" customFormat="1">
      <c r="A41" s="3204"/>
      <c r="C41" s="3205"/>
      <c r="E41" s="3204"/>
    </row>
    <row r="42" spans="1:26" s="1998" customFormat="1">
      <c r="A42" s="3204"/>
      <c r="C42" s="3205"/>
      <c r="E42" s="3204"/>
    </row>
    <row r="43" spans="1:26" s="1998" customFormat="1">
      <c r="A43" s="3204"/>
      <c r="C43" s="3205"/>
      <c r="E43" s="3204"/>
    </row>
    <row r="44" spans="1:26" s="1998" customFormat="1">
      <c r="A44" s="3204"/>
      <c r="C44" s="3205"/>
      <c r="E44" s="3204"/>
    </row>
    <row r="45" spans="1:26" s="1998" customFormat="1">
      <c r="A45" s="3204"/>
      <c r="C45" s="3205"/>
      <c r="E45" s="3204"/>
    </row>
    <row r="46" spans="1:26" s="1998" customFormat="1">
      <c r="A46" s="3204"/>
      <c r="C46" s="3205"/>
      <c r="E46" s="3204"/>
    </row>
    <row r="47" spans="1:26" s="1998" customFormat="1">
      <c r="A47" s="3204"/>
      <c r="C47" s="3205"/>
      <c r="E47" s="3204"/>
    </row>
    <row r="48" spans="1:26"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row r="226" spans="1:5" s="1998" customFormat="1">
      <c r="A226" s="3204"/>
      <c r="C226" s="3205"/>
      <c r="E226" s="3204"/>
    </row>
    <row r="227" spans="1:5" s="1998" customFormat="1">
      <c r="A227" s="3204"/>
      <c r="C227" s="3205"/>
      <c r="E227" s="3204"/>
    </row>
    <row r="228" spans="1:5" s="1998" customFormat="1">
      <c r="A228" s="3204"/>
      <c r="C228" s="3205"/>
      <c r="E228" s="3204"/>
    </row>
    <row r="229" spans="1:5" s="1998" customFormat="1">
      <c r="A229" s="3204"/>
      <c r="C229" s="3205"/>
      <c r="E229" s="3204"/>
    </row>
    <row r="230" spans="1:5" s="1998" customFormat="1">
      <c r="A230" s="3204"/>
      <c r="C230" s="3205"/>
      <c r="E230" s="3204"/>
    </row>
    <row r="231" spans="1:5" s="1998" customFormat="1">
      <c r="A231" s="3204"/>
      <c r="C231" s="3205"/>
      <c r="E231" s="3204"/>
    </row>
    <row r="232" spans="1:5" s="1998" customFormat="1">
      <c r="A232" s="3204"/>
      <c r="C232" s="3205"/>
      <c r="E232" s="3204"/>
    </row>
    <row r="233" spans="1:5" s="1998" customFormat="1">
      <c r="A233" s="3204"/>
      <c r="C233" s="3205"/>
      <c r="E233" s="3204"/>
    </row>
    <row r="234" spans="1:5" s="1998" customFormat="1">
      <c r="A234" s="3204"/>
      <c r="C234" s="3205"/>
      <c r="E234" s="3204"/>
    </row>
    <row r="235" spans="1:5" s="1998" customFormat="1">
      <c r="A235" s="3204"/>
      <c r="C235" s="3205"/>
      <c r="E235" s="3204"/>
    </row>
    <row r="236" spans="1:5" s="1998" customFormat="1">
      <c r="A236" s="3204"/>
      <c r="C236" s="3205"/>
      <c r="E236" s="3204"/>
    </row>
    <row r="237" spans="1:5" s="1998" customFormat="1">
      <c r="A237" s="3204"/>
      <c r="C237" s="3205"/>
      <c r="E237" s="3204"/>
    </row>
    <row r="238" spans="1:5" s="1998" customFormat="1">
      <c r="A238" s="3204"/>
      <c r="C238" s="3205"/>
      <c r="E238" s="3204"/>
    </row>
    <row r="239" spans="1:5" s="1998" customFormat="1">
      <c r="A239" s="3204"/>
      <c r="C239" s="3205"/>
      <c r="E239" s="3204"/>
    </row>
    <row r="240" spans="1:5" s="1998" customFormat="1">
      <c r="A240" s="3204"/>
      <c r="C240" s="3205"/>
      <c r="E240" s="3204"/>
    </row>
    <row r="241" spans="1:5" s="1998" customFormat="1">
      <c r="A241" s="3204"/>
      <c r="C241" s="3205"/>
      <c r="E241" s="3204"/>
    </row>
    <row r="242" spans="1:5" s="1998" customFormat="1">
      <c r="A242" s="3204"/>
      <c r="C242" s="3205"/>
      <c r="E242" s="3204"/>
    </row>
    <row r="243" spans="1:5" s="1998" customFormat="1">
      <c r="A243" s="3204"/>
      <c r="C243" s="3205"/>
      <c r="E243" s="3204"/>
    </row>
    <row r="244" spans="1:5" s="1998" customFormat="1">
      <c r="A244" s="3204"/>
      <c r="C244" s="3205"/>
      <c r="E244" s="3204"/>
    </row>
    <row r="245" spans="1:5" s="1998" customFormat="1">
      <c r="A245" s="3204"/>
      <c r="C245" s="3205"/>
      <c r="E245" s="3204"/>
    </row>
    <row r="246" spans="1:5" s="1998" customFormat="1">
      <c r="A246" s="3204"/>
      <c r="C246" s="3205"/>
      <c r="E246" s="3204"/>
    </row>
    <row r="247" spans="1:5" s="1998" customFormat="1">
      <c r="A247" s="3204"/>
      <c r="C247" s="3205"/>
      <c r="E247" s="3204"/>
    </row>
    <row r="248" spans="1:5" s="1998" customFormat="1">
      <c r="A248" s="3204"/>
      <c r="C248" s="3205"/>
      <c r="E248" s="3204"/>
    </row>
    <row r="249" spans="1:5" s="1998" customFormat="1">
      <c r="A249" s="3204"/>
      <c r="C249" s="3205"/>
      <c r="E249" s="3204"/>
    </row>
    <row r="250" spans="1:5" s="1998" customFormat="1">
      <c r="A250" s="3204"/>
      <c r="C250" s="3205"/>
      <c r="E250" s="3204"/>
    </row>
    <row r="251" spans="1:5" s="1998" customFormat="1">
      <c r="A251" s="3204"/>
      <c r="C251" s="3205"/>
      <c r="E251" s="3204"/>
    </row>
    <row r="252" spans="1:5" s="1998" customFormat="1">
      <c r="A252" s="3204"/>
      <c r="C252" s="3205"/>
      <c r="E252" s="3204"/>
    </row>
    <row r="253" spans="1:5" s="1998" customFormat="1">
      <c r="A253" s="3204"/>
      <c r="C253" s="3205"/>
      <c r="E253" s="3204"/>
    </row>
    <row r="254" spans="1:5" s="1998" customFormat="1">
      <c r="A254" s="3204"/>
      <c r="C254" s="3205"/>
      <c r="E254" s="3204"/>
    </row>
    <row r="255" spans="1:5" s="1998" customFormat="1">
      <c r="A255" s="3204"/>
      <c r="C255" s="3205"/>
      <c r="E255" s="3204"/>
    </row>
    <row r="256" spans="1:5" s="1998" customFormat="1">
      <c r="A256" s="3204"/>
      <c r="C256" s="3205"/>
      <c r="E256" s="3204"/>
    </row>
    <row r="257" spans="1:5" s="1998" customFormat="1">
      <c r="A257" s="3204"/>
      <c r="C257" s="3205"/>
      <c r="E257" s="3204"/>
    </row>
    <row r="258" spans="1:5" s="1998" customFormat="1">
      <c r="A258" s="3204"/>
      <c r="C258" s="3205"/>
      <c r="E258" s="3204"/>
    </row>
    <row r="259" spans="1:5" s="1998" customFormat="1">
      <c r="A259" s="3204"/>
      <c r="C259" s="3205"/>
      <c r="E259" s="3204"/>
    </row>
    <row r="260" spans="1:5" s="1998" customFormat="1">
      <c r="A260" s="3204"/>
      <c r="C260" s="3205"/>
      <c r="E260" s="3204"/>
    </row>
    <row r="261" spans="1:5" s="1998" customFormat="1">
      <c r="A261" s="3204"/>
      <c r="C261" s="3205"/>
      <c r="E261" s="3204"/>
    </row>
    <row r="262" spans="1:5" s="1998" customFormat="1">
      <c r="A262" s="3204"/>
      <c r="C262" s="3205"/>
      <c r="E262" s="3204"/>
    </row>
    <row r="263" spans="1:5" s="1998" customFormat="1">
      <c r="A263" s="3204"/>
      <c r="C263" s="3205"/>
      <c r="E263" s="3204"/>
    </row>
    <row r="264" spans="1:5" s="1998" customFormat="1">
      <c r="A264" s="3204"/>
      <c r="C264" s="3205"/>
      <c r="E264" s="3204"/>
    </row>
    <row r="265" spans="1:5" s="1998" customFormat="1">
      <c r="A265" s="3204"/>
      <c r="C265" s="3205"/>
      <c r="E265" s="3204"/>
    </row>
    <row r="266" spans="1:5" s="1998" customFormat="1">
      <c r="A266" s="3204"/>
      <c r="C266" s="3205"/>
      <c r="E266" s="3204"/>
    </row>
    <row r="267" spans="1:5" s="1998" customFormat="1">
      <c r="A267" s="3204"/>
      <c r="C267" s="3205"/>
      <c r="E267" s="3204"/>
    </row>
    <row r="268" spans="1:5" s="1998" customFormat="1">
      <c r="A268" s="3204"/>
      <c r="C268" s="3205"/>
      <c r="E268" s="3204"/>
    </row>
    <row r="269" spans="1:5" s="1998" customFormat="1">
      <c r="A269" s="3204"/>
      <c r="C269" s="3205"/>
      <c r="E269" s="3204"/>
    </row>
    <row r="270" spans="1:5" s="1998" customFormat="1">
      <c r="A270" s="3204"/>
      <c r="C270" s="3205"/>
      <c r="E270" s="3204"/>
    </row>
    <row r="271" spans="1:5" s="1998" customFormat="1">
      <c r="A271" s="3204"/>
      <c r="C271" s="3205"/>
      <c r="E271" s="3204"/>
    </row>
    <row r="272" spans="1:5" s="1998" customFormat="1">
      <c r="A272" s="3204"/>
      <c r="C272" s="3205"/>
      <c r="E272" s="3204"/>
    </row>
    <row r="273" spans="1:5" s="1998" customFormat="1">
      <c r="A273" s="3204"/>
      <c r="C273" s="3205"/>
      <c r="E273" s="3204"/>
    </row>
    <row r="274" spans="1:5" s="1998" customFormat="1">
      <c r="A274" s="3204"/>
      <c r="C274" s="3205"/>
      <c r="E274" s="3204"/>
    </row>
    <row r="275" spans="1:5" s="1998" customFormat="1">
      <c r="A275" s="3204"/>
      <c r="C275" s="3205"/>
      <c r="E275" s="3204"/>
    </row>
    <row r="276" spans="1:5" s="1998" customFormat="1">
      <c r="A276" s="3204"/>
      <c r="C276" s="3205"/>
      <c r="E276" s="3204"/>
    </row>
    <row r="277" spans="1:5" s="1998" customFormat="1">
      <c r="A277" s="3204"/>
      <c r="C277" s="3205"/>
      <c r="E277" s="3204"/>
    </row>
    <row r="278" spans="1:5" s="1998" customFormat="1">
      <c r="A278" s="3204"/>
      <c r="C278" s="3205"/>
      <c r="E278" s="3204"/>
    </row>
    <row r="279" spans="1:5" s="1998" customFormat="1">
      <c r="A279" s="3204"/>
      <c r="C279" s="3205"/>
      <c r="E279" s="3204"/>
    </row>
    <row r="280" spans="1:5" s="1998" customFormat="1">
      <c r="A280" s="3204"/>
      <c r="C280" s="3205"/>
      <c r="E280" s="3204"/>
    </row>
    <row r="281" spans="1:5" s="1998" customFormat="1">
      <c r="A281" s="3204"/>
      <c r="C281" s="3205"/>
      <c r="E281" s="3204"/>
    </row>
    <row r="282" spans="1:5" s="1998" customFormat="1">
      <c r="A282" s="3204"/>
      <c r="C282" s="3205"/>
      <c r="E282" s="3204"/>
    </row>
    <row r="283" spans="1:5" s="1998" customFormat="1">
      <c r="A283" s="3204"/>
      <c r="C283" s="3205"/>
      <c r="E283" s="3204"/>
    </row>
    <row r="284" spans="1:5" s="1998" customFormat="1">
      <c r="A284" s="3204"/>
      <c r="C284" s="3205"/>
      <c r="E284" s="3204"/>
    </row>
    <row r="285" spans="1:5" s="1998" customFormat="1">
      <c r="A285" s="3204"/>
      <c r="C285" s="3205"/>
      <c r="E285" s="3204"/>
    </row>
    <row r="286" spans="1:5" s="1998" customFormat="1">
      <c r="A286" s="3204"/>
      <c r="C286" s="3205"/>
      <c r="E286" s="3204"/>
    </row>
    <row r="287" spans="1:5" s="1998" customFormat="1">
      <c r="A287" s="3204"/>
      <c r="C287" s="3205"/>
      <c r="E287" s="3204"/>
    </row>
    <row r="288" spans="1:5" s="1998" customFormat="1">
      <c r="A288" s="3204"/>
      <c r="C288" s="3205"/>
      <c r="E288" s="3204"/>
    </row>
    <row r="289" spans="1:5" s="1998" customFormat="1">
      <c r="A289" s="3204"/>
      <c r="C289" s="3205"/>
      <c r="E289" s="3204"/>
    </row>
    <row r="290" spans="1:5" s="1998" customFormat="1">
      <c r="A290" s="3204"/>
      <c r="C290" s="3205"/>
      <c r="E290" s="3204"/>
    </row>
    <row r="291" spans="1:5" s="1998" customFormat="1">
      <c r="A291" s="3204"/>
      <c r="C291" s="3205"/>
      <c r="E291" s="3204"/>
    </row>
    <row r="292" spans="1:5" s="1998" customFormat="1">
      <c r="A292" s="3204"/>
      <c r="C292" s="3205"/>
      <c r="E292" s="3204"/>
    </row>
    <row r="293" spans="1:5" s="1998" customFormat="1">
      <c r="A293" s="3204"/>
      <c r="C293" s="3205"/>
      <c r="E293" s="3204"/>
    </row>
    <row r="294" spans="1:5" s="1998" customFormat="1">
      <c r="A294" s="3204"/>
      <c r="C294" s="3205"/>
      <c r="E294" s="3204"/>
    </row>
    <row r="295" spans="1:5" s="1998" customFormat="1">
      <c r="A295" s="3204"/>
      <c r="C295" s="3205"/>
      <c r="E295" s="3204"/>
    </row>
    <row r="296" spans="1:5" s="1998" customFormat="1">
      <c r="A296" s="3204"/>
      <c r="C296" s="3205"/>
      <c r="E296" s="3204"/>
    </row>
    <row r="297" spans="1:5" s="1998" customFormat="1">
      <c r="A297" s="3204"/>
      <c r="C297" s="3205"/>
      <c r="E297" s="3204"/>
    </row>
    <row r="298" spans="1:5" s="1998" customFormat="1">
      <c r="A298" s="3204"/>
      <c r="C298" s="3205"/>
      <c r="E298" s="3204"/>
    </row>
    <row r="299" spans="1:5" s="1998" customFormat="1">
      <c r="A299" s="3204"/>
      <c r="C299" s="3205"/>
      <c r="E299" s="3204"/>
    </row>
    <row r="300" spans="1:5" s="1998" customFormat="1">
      <c r="A300" s="3204"/>
      <c r="C300" s="3205"/>
      <c r="E300" s="3204"/>
    </row>
    <row r="301" spans="1:5" s="1998" customFormat="1">
      <c r="A301" s="3204"/>
      <c r="C301" s="3205"/>
      <c r="E301" s="3204"/>
    </row>
    <row r="302" spans="1:5" s="1998" customFormat="1">
      <c r="A302" s="3204"/>
      <c r="C302" s="3205"/>
      <c r="E302" s="3204"/>
    </row>
    <row r="303" spans="1:5" s="1998" customFormat="1">
      <c r="A303" s="3204"/>
      <c r="C303" s="3205"/>
      <c r="E303" s="3204"/>
    </row>
    <row r="304" spans="1:5" s="1998" customFormat="1">
      <c r="A304" s="3204"/>
      <c r="C304" s="3205"/>
      <c r="E304" s="3204"/>
    </row>
    <row r="305" spans="1:5" s="1998" customFormat="1">
      <c r="A305" s="3204"/>
      <c r="C305" s="3205"/>
      <c r="E305" s="3204"/>
    </row>
    <row r="306" spans="1:5" s="1998" customFormat="1">
      <c r="A306" s="3204"/>
      <c r="C306" s="3205"/>
      <c r="E306" s="3204"/>
    </row>
    <row r="307" spans="1:5" s="1998" customFormat="1">
      <c r="A307" s="3204"/>
      <c r="C307" s="3205"/>
      <c r="E307" s="3204"/>
    </row>
    <row r="308" spans="1:5" s="1998" customFormat="1">
      <c r="A308" s="3204"/>
      <c r="C308" s="3205"/>
      <c r="E308" s="3204"/>
    </row>
    <row r="309" spans="1:5" s="1998" customFormat="1">
      <c r="A309" s="3204"/>
      <c r="C309" s="3205"/>
      <c r="E309" s="3204"/>
    </row>
    <row r="310" spans="1:5" s="1998" customFormat="1">
      <c r="A310" s="3204"/>
      <c r="C310" s="3205"/>
      <c r="E310" s="3204"/>
    </row>
    <row r="311" spans="1:5" s="1998" customFormat="1">
      <c r="A311" s="3204"/>
      <c r="C311" s="3205"/>
      <c r="E311" s="3204"/>
    </row>
    <row r="312" spans="1:5" s="1998" customFormat="1">
      <c r="A312" s="3204"/>
      <c r="C312" s="3205"/>
      <c r="E312" s="3204"/>
    </row>
    <row r="313" spans="1:5" s="1998" customFormat="1">
      <c r="A313" s="3204"/>
      <c r="C313" s="3205"/>
      <c r="E313" s="3204"/>
    </row>
    <row r="314" spans="1:5" s="1998" customFormat="1">
      <c r="A314" s="3204"/>
      <c r="C314" s="3205"/>
      <c r="E314" s="3204"/>
    </row>
    <row r="315" spans="1:5" s="1998" customFormat="1">
      <c r="A315" s="3204"/>
      <c r="C315" s="3205"/>
      <c r="E315" s="3204"/>
    </row>
    <row r="316" spans="1:5" s="1998" customFormat="1">
      <c r="A316" s="3204"/>
      <c r="C316" s="3205"/>
      <c r="E316" s="3204"/>
    </row>
    <row r="317" spans="1:5" s="1998" customFormat="1">
      <c r="A317" s="3204"/>
      <c r="C317" s="3205"/>
      <c r="E317" s="3204"/>
    </row>
    <row r="318" spans="1:5" s="1998" customFormat="1">
      <c r="A318" s="3204"/>
      <c r="C318" s="3205"/>
      <c r="E318" s="3204"/>
    </row>
    <row r="319" spans="1:5" s="1998" customFormat="1">
      <c r="A319" s="3204"/>
      <c r="C319" s="3205"/>
      <c r="E319" s="3204"/>
    </row>
    <row r="320" spans="1:5" s="1998" customFormat="1">
      <c r="A320" s="3204"/>
      <c r="C320" s="3205"/>
      <c r="E320" s="3204"/>
    </row>
    <row r="321" spans="1:5" s="1998" customFormat="1">
      <c r="A321" s="3204"/>
      <c r="C321" s="3205"/>
      <c r="E321" s="3204"/>
    </row>
    <row r="322" spans="1:5" s="1998" customFormat="1">
      <c r="A322" s="3204"/>
      <c r="C322" s="3205"/>
      <c r="E322" s="3204"/>
    </row>
    <row r="323" spans="1:5" s="1998" customFormat="1">
      <c r="A323" s="3204"/>
      <c r="C323" s="3205"/>
      <c r="E323" s="3204"/>
    </row>
    <row r="324" spans="1:5" s="1998" customFormat="1">
      <c r="A324" s="3204"/>
      <c r="C324" s="3205"/>
      <c r="E324" s="3204"/>
    </row>
    <row r="325" spans="1:5" s="1998" customFormat="1">
      <c r="A325" s="3204"/>
      <c r="C325" s="3205"/>
      <c r="E325" s="3204"/>
    </row>
    <row r="326" spans="1:5" s="1998" customFormat="1">
      <c r="A326" s="3204"/>
      <c r="C326" s="3205"/>
      <c r="E326" s="3204"/>
    </row>
    <row r="327" spans="1:5" s="1998" customFormat="1">
      <c r="A327" s="3204"/>
      <c r="C327" s="3205"/>
      <c r="E327" s="3204"/>
    </row>
    <row r="328" spans="1:5" s="1998" customFormat="1">
      <c r="A328" s="3204"/>
      <c r="C328" s="3205"/>
      <c r="E328" s="3204"/>
    </row>
    <row r="329" spans="1:5" s="1998" customFormat="1">
      <c r="A329" s="3204"/>
      <c r="C329" s="3205"/>
      <c r="E329" s="3204"/>
    </row>
    <row r="330" spans="1:5" s="1998" customFormat="1">
      <c r="A330" s="3204"/>
      <c r="C330" s="3205"/>
      <c r="E330" s="3204"/>
    </row>
    <row r="331" spans="1:5" s="1998" customFormat="1">
      <c r="A331" s="3204"/>
      <c r="C331" s="3205"/>
      <c r="E331" s="3204"/>
    </row>
    <row r="332" spans="1:5" s="1998" customFormat="1">
      <c r="A332" s="3204"/>
      <c r="C332" s="3205"/>
      <c r="E332" s="3204"/>
    </row>
    <row r="333" spans="1:5" s="1998" customFormat="1">
      <c r="A333" s="3204"/>
      <c r="C333" s="3205"/>
      <c r="E333" s="3204"/>
    </row>
    <row r="334" spans="1:5" s="1998" customFormat="1">
      <c r="A334" s="3204"/>
      <c r="C334" s="3205"/>
      <c r="E334" s="3204"/>
    </row>
    <row r="335" spans="1:5" s="1998" customFormat="1">
      <c r="A335" s="3204"/>
      <c r="C335" s="3205"/>
      <c r="E335" s="3204"/>
    </row>
    <row r="336" spans="1:5" s="1998" customFormat="1">
      <c r="A336" s="3204"/>
      <c r="C336" s="3205"/>
      <c r="E336" s="3204"/>
    </row>
    <row r="337" spans="1:5" s="1998" customFormat="1">
      <c r="A337" s="3204"/>
      <c r="C337" s="3205"/>
      <c r="E337" s="3204"/>
    </row>
    <row r="338" spans="1:5" s="1998" customFormat="1">
      <c r="A338" s="3204"/>
      <c r="C338" s="3205"/>
      <c r="E338" s="3204"/>
    </row>
    <row r="339" spans="1:5" s="1998" customFormat="1">
      <c r="A339" s="3204"/>
      <c r="C339" s="3205"/>
      <c r="E339" s="3204"/>
    </row>
    <row r="340" spans="1:5" s="1998" customFormat="1">
      <c r="A340" s="3204"/>
      <c r="C340" s="3205"/>
      <c r="E340" s="3204"/>
    </row>
    <row r="341" spans="1:5" s="1998" customFormat="1">
      <c r="A341" s="3204"/>
      <c r="C341" s="3205"/>
      <c r="E341" s="3204"/>
    </row>
    <row r="342" spans="1:5" s="1998" customFormat="1">
      <c r="A342" s="3204"/>
      <c r="C342" s="3205"/>
      <c r="E342" s="3204"/>
    </row>
    <row r="343" spans="1:5" s="1998" customFormat="1">
      <c r="A343" s="3204"/>
      <c r="C343" s="3205"/>
      <c r="E343" s="3204"/>
    </row>
    <row r="344" spans="1:5" s="1998" customFormat="1">
      <c r="A344" s="3204"/>
      <c r="C344" s="3205"/>
      <c r="E344" s="3204"/>
    </row>
    <row r="345" spans="1:5" s="1998" customFormat="1">
      <c r="A345" s="3204"/>
      <c r="C345" s="3205"/>
      <c r="E345" s="3204"/>
    </row>
    <row r="346" spans="1:5" s="1998" customFormat="1">
      <c r="A346" s="3204"/>
      <c r="C346" s="3205"/>
      <c r="E346" s="3204"/>
    </row>
    <row r="347" spans="1:5" s="1998" customFormat="1">
      <c r="A347" s="3204"/>
      <c r="C347" s="3205"/>
      <c r="E347" s="3204"/>
    </row>
    <row r="348" spans="1:5" s="1998" customFormat="1">
      <c r="A348" s="3204"/>
      <c r="C348" s="3205"/>
      <c r="E348" s="3204"/>
    </row>
    <row r="349" spans="1:5" s="1998" customFormat="1">
      <c r="A349" s="3204"/>
      <c r="C349" s="3205"/>
      <c r="E349" s="3204"/>
    </row>
    <row r="350" spans="1:5" s="1998" customFormat="1">
      <c r="A350" s="3204"/>
      <c r="C350" s="3205"/>
      <c r="E350" s="3204"/>
    </row>
    <row r="351" spans="1:5" s="1998" customFormat="1">
      <c r="A351" s="3204"/>
      <c r="C351" s="3205"/>
      <c r="E351" s="3204"/>
    </row>
    <row r="352" spans="1:5" s="1998" customFormat="1">
      <c r="A352" s="3204"/>
      <c r="C352" s="3205"/>
      <c r="E352" s="3204"/>
    </row>
    <row r="353" spans="1:5" s="1998" customFormat="1">
      <c r="A353" s="3204"/>
      <c r="C353" s="3205"/>
      <c r="E353" s="3204"/>
    </row>
    <row r="354" spans="1:5" s="1998" customFormat="1">
      <c r="A354" s="3204"/>
      <c r="C354" s="3205"/>
      <c r="E354" s="3204"/>
    </row>
    <row r="355" spans="1:5" s="1998" customFormat="1">
      <c r="A355" s="3204"/>
      <c r="C355" s="3205"/>
      <c r="E355" s="3204"/>
    </row>
    <row r="356" spans="1:5" s="1998" customFormat="1">
      <c r="A356" s="3204"/>
      <c r="C356" s="3205"/>
      <c r="E356" s="3204"/>
    </row>
    <row r="357" spans="1:5" s="1998" customFormat="1">
      <c r="A357" s="3204"/>
      <c r="C357" s="3205"/>
      <c r="E357" s="3204"/>
    </row>
    <row r="358" spans="1:5" s="1998" customFormat="1">
      <c r="A358" s="3204"/>
      <c r="C358" s="3205"/>
      <c r="E358" s="3204"/>
    </row>
    <row r="359" spans="1:5" s="1998" customFormat="1">
      <c r="A359" s="3204"/>
      <c r="C359" s="3205"/>
      <c r="E359" s="3204"/>
    </row>
    <row r="360" spans="1:5" s="1998" customFormat="1">
      <c r="A360" s="3204"/>
      <c r="C360" s="3205"/>
      <c r="E360" s="3204"/>
    </row>
    <row r="361" spans="1:5" s="1998" customFormat="1">
      <c r="A361" s="3204"/>
      <c r="C361" s="3205"/>
      <c r="E361" s="3204"/>
    </row>
    <row r="362" spans="1:5" s="1998" customFormat="1">
      <c r="A362" s="3204"/>
      <c r="C362" s="3205"/>
      <c r="E362" s="3204"/>
    </row>
    <row r="363" spans="1:5" s="1998" customFormat="1">
      <c r="A363" s="3204"/>
      <c r="C363" s="3205"/>
      <c r="E363" s="3204"/>
    </row>
    <row r="364" spans="1:5" s="1998" customFormat="1">
      <c r="A364" s="3204"/>
      <c r="C364" s="3205"/>
      <c r="E364" s="3204"/>
    </row>
    <row r="365" spans="1:5" s="1998" customFormat="1">
      <c r="A365" s="3204"/>
      <c r="C365" s="3205"/>
      <c r="E365" s="3204"/>
    </row>
    <row r="366" spans="1:5" s="1998" customFormat="1">
      <c r="A366" s="3204"/>
      <c r="C366" s="3205"/>
      <c r="E366" s="3204"/>
    </row>
    <row r="367" spans="1:5" s="1998" customFormat="1">
      <c r="A367" s="3204"/>
      <c r="C367" s="3205"/>
      <c r="E367" s="3204"/>
    </row>
    <row r="368" spans="1:5" s="1998" customFormat="1">
      <c r="A368" s="3204"/>
      <c r="C368" s="3205"/>
      <c r="E368" s="3204"/>
    </row>
    <row r="369" spans="1:5" s="1998" customFormat="1">
      <c r="A369" s="3204"/>
      <c r="C369" s="3205"/>
      <c r="E369" s="3204"/>
    </row>
    <row r="370" spans="1:5" s="1998" customFormat="1">
      <c r="A370" s="3204"/>
      <c r="C370" s="3205"/>
      <c r="E370" s="3204"/>
    </row>
    <row r="371" spans="1:5" s="1998" customFormat="1">
      <c r="A371" s="3204"/>
      <c r="C371" s="3205"/>
      <c r="E371" s="3204"/>
    </row>
    <row r="372" spans="1:5" s="1998" customFormat="1">
      <c r="A372" s="3204"/>
      <c r="C372" s="3205"/>
      <c r="E372" s="3204"/>
    </row>
    <row r="373" spans="1:5" s="1998" customFormat="1">
      <c r="A373" s="3204"/>
      <c r="C373" s="3205"/>
      <c r="E373" s="3204"/>
    </row>
    <row r="374" spans="1:5" s="1998" customFormat="1">
      <c r="A374" s="3204"/>
      <c r="C374" s="3205"/>
      <c r="E374" s="3204"/>
    </row>
    <row r="375" spans="1:5" s="1998" customFormat="1">
      <c r="A375" s="3204"/>
      <c r="C375" s="3205"/>
      <c r="E375" s="3204"/>
    </row>
    <row r="376" spans="1:5" s="1998" customFormat="1">
      <c r="A376" s="3204"/>
      <c r="C376" s="3205"/>
      <c r="E376" s="3204"/>
    </row>
    <row r="377" spans="1:5" s="1998" customFormat="1">
      <c r="A377" s="3204"/>
      <c r="C377" s="3205"/>
      <c r="E377" s="3204"/>
    </row>
    <row r="378" spans="1:5" s="1998" customFormat="1">
      <c r="A378" s="3204"/>
      <c r="C378" s="3205"/>
      <c r="E378" s="3204"/>
    </row>
    <row r="379" spans="1:5" s="1998" customFormat="1">
      <c r="A379" s="3204"/>
      <c r="C379" s="3205"/>
      <c r="E379" s="3204"/>
    </row>
    <row r="380" spans="1:5" s="1998" customFormat="1">
      <c r="A380" s="3204"/>
      <c r="C380" s="3205"/>
      <c r="E380" s="3204"/>
    </row>
    <row r="381" spans="1:5" s="1998" customFormat="1">
      <c r="A381" s="3204"/>
      <c r="C381" s="3205"/>
      <c r="E381" s="3204"/>
    </row>
    <row r="382" spans="1:5" s="1998" customFormat="1">
      <c r="A382" s="3204"/>
      <c r="C382" s="3205"/>
      <c r="E382" s="3204"/>
    </row>
    <row r="383" spans="1:5" s="1998" customFormat="1">
      <c r="A383" s="3204"/>
      <c r="C383" s="3205"/>
      <c r="E383" s="3204"/>
    </row>
    <row r="384" spans="1:5" s="1998" customFormat="1">
      <c r="A384" s="3204"/>
      <c r="C384" s="3205"/>
      <c r="E384" s="3204"/>
    </row>
    <row r="385" spans="1:5" s="1998" customFormat="1">
      <c r="A385" s="3204"/>
      <c r="C385" s="3205"/>
      <c r="E385" s="3204"/>
    </row>
    <row r="386" spans="1:5" s="1998" customFormat="1">
      <c r="A386" s="3204"/>
      <c r="C386" s="3205"/>
      <c r="E386" s="3204"/>
    </row>
    <row r="387" spans="1:5" s="1998" customFormat="1">
      <c r="A387" s="3204"/>
      <c r="C387" s="3205"/>
      <c r="E387" s="3204"/>
    </row>
    <row r="388" spans="1:5" s="1998" customFormat="1">
      <c r="A388" s="3204"/>
      <c r="C388" s="3205"/>
      <c r="E388" s="3204"/>
    </row>
    <row r="389" spans="1:5" s="1998" customFormat="1">
      <c r="A389" s="3204"/>
      <c r="C389" s="3205"/>
      <c r="E389" s="3204"/>
    </row>
    <row r="390" spans="1:5" s="1998" customFormat="1">
      <c r="A390" s="3204"/>
      <c r="C390" s="3205"/>
      <c r="E390" s="3204"/>
    </row>
    <row r="391" spans="1:5" s="1998" customFormat="1">
      <c r="A391" s="3204"/>
      <c r="C391" s="3205"/>
      <c r="E391" s="3204"/>
    </row>
    <row r="392" spans="1:5" s="1998" customFormat="1">
      <c r="A392" s="3204"/>
      <c r="C392" s="3205"/>
      <c r="E392" s="3204"/>
    </row>
    <row r="393" spans="1:5" s="1998" customFormat="1">
      <c r="A393" s="3204"/>
      <c r="C393" s="3205"/>
      <c r="E393" s="3204"/>
    </row>
    <row r="394" spans="1:5" s="1998" customFormat="1">
      <c r="A394" s="3204"/>
      <c r="C394" s="3205"/>
      <c r="E394" s="3204"/>
    </row>
    <row r="395" spans="1:5" s="1998" customFormat="1">
      <c r="A395" s="3204"/>
      <c r="C395" s="3205"/>
      <c r="E395" s="3204"/>
    </row>
    <row r="396" spans="1:5" s="1998" customFormat="1">
      <c r="A396" s="3204"/>
      <c r="C396" s="3205"/>
      <c r="E396" s="3204"/>
    </row>
    <row r="397" spans="1:5" s="1998" customFormat="1">
      <c r="A397" s="3204"/>
      <c r="C397" s="3205"/>
      <c r="E397" s="3204"/>
    </row>
    <row r="398" spans="1:5" s="1998" customFormat="1">
      <c r="A398" s="3204"/>
      <c r="C398" s="3205"/>
      <c r="E398" s="3204"/>
    </row>
    <row r="399" spans="1:5" s="1998" customFormat="1">
      <c r="A399" s="3204"/>
      <c r="C399" s="3205"/>
      <c r="E399" s="3204"/>
    </row>
    <row r="400" spans="1:5" s="1998" customFormat="1">
      <c r="A400" s="3204"/>
      <c r="C400" s="3205"/>
      <c r="E400" s="3204"/>
    </row>
    <row r="401" spans="1:5" s="1998" customFormat="1">
      <c r="A401" s="3204"/>
      <c r="C401" s="3205"/>
      <c r="E401" s="3204"/>
    </row>
    <row r="402" spans="1:5" s="1998" customFormat="1">
      <c r="A402" s="3204"/>
      <c r="C402" s="3205"/>
      <c r="E402" s="3204"/>
    </row>
    <row r="403" spans="1:5" s="1998" customFormat="1">
      <c r="A403" s="3204"/>
      <c r="C403" s="3205"/>
      <c r="E403" s="3204"/>
    </row>
    <row r="404" spans="1:5" s="1998" customFormat="1">
      <c r="A404" s="3204"/>
      <c r="C404" s="3205"/>
      <c r="E404" s="3204"/>
    </row>
    <row r="405" spans="1:5" s="1998" customFormat="1">
      <c r="A405" s="3204"/>
      <c r="C405" s="3205"/>
      <c r="E405" s="3204"/>
    </row>
    <row r="406" spans="1:5" s="1998" customFormat="1">
      <c r="A406" s="3204"/>
      <c r="C406" s="3205"/>
      <c r="E406" s="3204"/>
    </row>
    <row r="407" spans="1:5" s="1998" customFormat="1">
      <c r="A407" s="3204"/>
      <c r="C407" s="3205"/>
      <c r="E407" s="3204"/>
    </row>
    <row r="408" spans="1:5" s="1998" customFormat="1">
      <c r="A408" s="3204"/>
      <c r="C408" s="3205"/>
      <c r="E408" s="3204"/>
    </row>
    <row r="409" spans="1:5" s="1998" customFormat="1">
      <c r="A409" s="3204"/>
      <c r="C409" s="3205"/>
      <c r="E409" s="3204"/>
    </row>
    <row r="410" spans="1:5" s="1998" customFormat="1">
      <c r="A410" s="3204"/>
      <c r="C410" s="3205"/>
      <c r="E410" s="3204"/>
    </row>
    <row r="411" spans="1:5" s="1998" customFormat="1">
      <c r="A411" s="3204"/>
      <c r="C411" s="3205"/>
      <c r="E411" s="3204"/>
    </row>
    <row r="412" spans="1:5" s="1998" customFormat="1">
      <c r="A412" s="3204"/>
      <c r="C412" s="3205"/>
      <c r="E412" s="3204"/>
    </row>
    <row r="413" spans="1:5" s="1998" customFormat="1">
      <c r="A413" s="3204"/>
      <c r="C413" s="3205"/>
      <c r="E413" s="3204"/>
    </row>
    <row r="414" spans="1:5" s="1998" customFormat="1">
      <c r="A414" s="3204"/>
      <c r="C414" s="3205"/>
      <c r="E414" s="3204"/>
    </row>
    <row r="415" spans="1:5" s="1998" customFormat="1">
      <c r="A415" s="3204"/>
      <c r="C415" s="3205"/>
      <c r="E415" s="3204"/>
    </row>
    <row r="416" spans="1:5" s="1998" customFormat="1">
      <c r="A416" s="3204"/>
      <c r="C416" s="3205"/>
      <c r="E416" s="3204"/>
    </row>
    <row r="417" spans="1:5" s="1998" customFormat="1">
      <c r="A417" s="3204"/>
      <c r="C417" s="3205"/>
      <c r="E417" s="3204"/>
    </row>
    <row r="418" spans="1:5" s="1998" customFormat="1">
      <c r="A418" s="3204"/>
      <c r="C418" s="3205"/>
      <c r="E418" s="3204"/>
    </row>
    <row r="419" spans="1:5" s="1998" customFormat="1">
      <c r="A419" s="3204"/>
      <c r="C419" s="3205"/>
      <c r="E419" s="3204"/>
    </row>
    <row r="420" spans="1:5" s="1998" customFormat="1">
      <c r="A420" s="3204"/>
      <c r="C420" s="3205"/>
      <c r="E420" s="3204"/>
    </row>
    <row r="421" spans="1:5" s="1998" customFormat="1">
      <c r="A421" s="3204"/>
      <c r="C421" s="3205"/>
      <c r="E421" s="3204"/>
    </row>
    <row r="422" spans="1:5" s="1998" customFormat="1">
      <c r="A422" s="3204"/>
      <c r="C422" s="3205"/>
      <c r="E422" s="3204"/>
    </row>
    <row r="423" spans="1:5" s="1998" customFormat="1">
      <c r="A423" s="3204"/>
      <c r="C423" s="3205"/>
      <c r="E423" s="3204"/>
    </row>
    <row r="424" spans="1:5" s="1998" customFormat="1">
      <c r="A424" s="3204"/>
      <c r="C424" s="3205"/>
      <c r="E424" s="3204"/>
    </row>
    <row r="425" spans="1:5" s="1998" customFormat="1">
      <c r="A425" s="3204"/>
      <c r="C425" s="3205"/>
      <c r="E425" s="3204"/>
    </row>
    <row r="426" spans="1:5" s="1998" customFormat="1">
      <c r="A426" s="3204"/>
      <c r="C426" s="3205"/>
      <c r="E426" s="3204"/>
    </row>
    <row r="427" spans="1:5" s="1998" customFormat="1">
      <c r="A427" s="3204"/>
      <c r="C427" s="3205"/>
      <c r="E427" s="3204"/>
    </row>
    <row r="428" spans="1:5" s="1998" customFormat="1">
      <c r="A428" s="3204"/>
      <c r="C428" s="3205"/>
      <c r="E428" s="3204"/>
    </row>
    <row r="429" spans="1:5" s="1998" customFormat="1">
      <c r="A429" s="3204"/>
      <c r="C429" s="3205"/>
      <c r="E429" s="3204"/>
    </row>
    <row r="430" spans="1:5" s="1998" customFormat="1">
      <c r="A430" s="3204"/>
      <c r="C430" s="3205"/>
      <c r="E430" s="3204"/>
    </row>
    <row r="431" spans="1:5" s="1998" customFormat="1">
      <c r="A431" s="3204"/>
      <c r="C431" s="3205"/>
      <c r="E431" s="3204"/>
    </row>
    <row r="432" spans="1:5" s="1998" customFormat="1">
      <c r="A432" s="3204"/>
      <c r="C432" s="3205"/>
      <c r="E432" s="3204"/>
    </row>
    <row r="433" spans="1:5" s="1998" customFormat="1">
      <c r="A433" s="3204"/>
      <c r="C433" s="3205"/>
      <c r="E433" s="3204"/>
    </row>
    <row r="434" spans="1:5" s="1998" customFormat="1">
      <c r="A434" s="3204"/>
      <c r="C434" s="3205"/>
      <c r="E434" s="3204"/>
    </row>
    <row r="435" spans="1:5" s="1998" customFormat="1">
      <c r="A435" s="3204"/>
      <c r="C435" s="3205"/>
      <c r="E435" s="3204"/>
    </row>
    <row r="436" spans="1:5" s="1998" customFormat="1">
      <c r="A436" s="3204"/>
      <c r="C436" s="3205"/>
      <c r="E436" s="3204"/>
    </row>
    <row r="437" spans="1:5" s="1998" customFormat="1">
      <c r="A437" s="3204"/>
      <c r="C437" s="3205"/>
      <c r="E437" s="3204"/>
    </row>
    <row r="438" spans="1:5" s="1998" customFormat="1">
      <c r="A438" s="3204"/>
      <c r="C438" s="3205"/>
      <c r="E438" s="3204"/>
    </row>
    <row r="439" spans="1:5" s="1998" customFormat="1">
      <c r="A439" s="3204"/>
      <c r="C439" s="3205"/>
      <c r="E439" s="3204"/>
    </row>
    <row r="440" spans="1:5" s="1998" customFormat="1">
      <c r="A440" s="3204"/>
      <c r="C440" s="3205"/>
      <c r="E440" s="3204"/>
    </row>
    <row r="441" spans="1:5" s="1998" customFormat="1">
      <c r="A441" s="3204"/>
      <c r="C441" s="3205"/>
      <c r="E441" s="3204"/>
    </row>
    <row r="442" spans="1:5" s="1998" customFormat="1">
      <c r="A442" s="3204"/>
      <c r="C442" s="3205"/>
      <c r="E442" s="3204"/>
    </row>
    <row r="443" spans="1:5" s="1998" customFormat="1">
      <c r="A443" s="3204"/>
      <c r="C443" s="3205"/>
      <c r="E443" s="3204"/>
    </row>
    <row r="444" spans="1:5" s="1998" customFormat="1">
      <c r="A444" s="3204"/>
      <c r="C444" s="3205"/>
      <c r="E444" s="3204"/>
    </row>
    <row r="445" spans="1:5" s="1998" customFormat="1">
      <c r="A445" s="3204"/>
      <c r="C445" s="3205"/>
      <c r="E445" s="3204"/>
    </row>
    <row r="446" spans="1:5" s="1998" customFormat="1">
      <c r="A446" s="3204"/>
      <c r="C446" s="3205"/>
      <c r="E446" s="3204"/>
    </row>
    <row r="447" spans="1:5" s="1998" customFormat="1">
      <c r="A447" s="3204"/>
      <c r="C447" s="3205"/>
      <c r="E447" s="3204"/>
    </row>
    <row r="448" spans="1:5" s="1998" customFormat="1">
      <c r="A448" s="3204"/>
      <c r="C448" s="3205"/>
      <c r="E448" s="3204"/>
    </row>
    <row r="449" spans="1:5" s="1998" customFormat="1">
      <c r="A449" s="3204"/>
      <c r="C449" s="3205"/>
      <c r="E449" s="3204"/>
    </row>
    <row r="450" spans="1:5" s="1998" customFormat="1">
      <c r="A450" s="3204"/>
      <c r="C450" s="3205"/>
      <c r="E450" s="3204"/>
    </row>
    <row r="451" spans="1:5" s="1998" customFormat="1">
      <c r="A451" s="3204"/>
      <c r="C451" s="3205"/>
      <c r="E451" s="3204"/>
    </row>
    <row r="452" spans="1:5" s="1998" customFormat="1">
      <c r="A452" s="3204"/>
      <c r="C452" s="3205"/>
      <c r="E452" s="3204"/>
    </row>
    <row r="453" spans="1:5" s="1998" customFormat="1">
      <c r="A453" s="3204"/>
      <c r="C453" s="3205"/>
      <c r="E453" s="3204"/>
    </row>
    <row r="454" spans="1:5" s="1998" customFormat="1">
      <c r="A454" s="3204"/>
      <c r="C454" s="3205"/>
      <c r="E454" s="3204"/>
    </row>
    <row r="455" spans="1:5" s="1998" customFormat="1">
      <c r="A455" s="3204"/>
      <c r="C455" s="3205"/>
      <c r="E455" s="3204"/>
    </row>
    <row r="456" spans="1:5" s="1998" customFormat="1">
      <c r="A456" s="3204"/>
      <c r="C456" s="3205"/>
      <c r="E456" s="3204"/>
    </row>
    <row r="457" spans="1:5" s="1998" customFormat="1">
      <c r="A457" s="3204"/>
      <c r="C457" s="3205"/>
      <c r="E457" s="3204"/>
    </row>
    <row r="458" spans="1:5" s="1998" customFormat="1">
      <c r="A458" s="3204"/>
      <c r="C458" s="3205"/>
      <c r="E458" s="3204"/>
    </row>
    <row r="459" spans="1:5" s="1998" customFormat="1">
      <c r="A459" s="3204"/>
      <c r="C459" s="3205"/>
      <c r="E459" s="3204"/>
    </row>
    <row r="460" spans="1:5" s="1998" customFormat="1">
      <c r="A460" s="3204"/>
      <c r="C460" s="3205"/>
      <c r="E460" s="3204"/>
    </row>
    <row r="461" spans="1:5" s="1998" customFormat="1">
      <c r="A461" s="3204"/>
      <c r="C461" s="3205"/>
      <c r="E461" s="3204"/>
    </row>
    <row r="462" spans="1:5" s="1998" customFormat="1">
      <c r="A462" s="3204"/>
      <c r="C462" s="3205"/>
      <c r="E462" s="3204"/>
    </row>
    <row r="463" spans="1:5" s="1998" customFormat="1">
      <c r="A463" s="3204"/>
      <c r="C463" s="3205"/>
      <c r="E463" s="3204"/>
    </row>
    <row r="464" spans="1:5" s="1998" customFormat="1">
      <c r="A464" s="3204"/>
      <c r="C464" s="3205"/>
      <c r="E464" s="3204"/>
    </row>
    <row r="465" spans="1:5" s="1998" customFormat="1">
      <c r="A465" s="3204"/>
      <c r="C465" s="3205"/>
      <c r="E465" s="3204"/>
    </row>
    <row r="466" spans="1:5" s="1998" customFormat="1">
      <c r="A466" s="3204"/>
      <c r="C466" s="3205"/>
      <c r="E466" s="3204"/>
    </row>
    <row r="467" spans="1:5" s="1998" customFormat="1">
      <c r="A467" s="3204"/>
      <c r="C467" s="3205"/>
      <c r="E467" s="3204"/>
    </row>
    <row r="468" spans="1:5" s="1998" customFormat="1">
      <c r="A468" s="3204"/>
      <c r="C468" s="3205"/>
      <c r="E468" s="3204"/>
    </row>
    <row r="469" spans="1:5" s="1998" customFormat="1">
      <c r="A469" s="3204"/>
      <c r="C469" s="3205"/>
      <c r="E469" s="3204"/>
    </row>
    <row r="470" spans="1:5" s="1998" customFormat="1">
      <c r="A470" s="3204"/>
      <c r="C470" s="3205"/>
      <c r="E470" s="3204"/>
    </row>
    <row r="471" spans="1:5" s="1998" customFormat="1">
      <c r="A471" s="3204"/>
      <c r="C471" s="3205"/>
      <c r="E471" s="3204"/>
    </row>
    <row r="472" spans="1:5" s="1998" customFormat="1">
      <c r="A472" s="3204"/>
      <c r="C472" s="3205"/>
      <c r="E472" s="3204"/>
    </row>
    <row r="473" spans="1:5" s="1998" customFormat="1">
      <c r="A473" s="3204"/>
      <c r="C473" s="3205"/>
      <c r="E473" s="3204"/>
    </row>
    <row r="474" spans="1:5" s="1998" customFormat="1">
      <c r="A474" s="3204"/>
      <c r="C474" s="3205"/>
      <c r="E474" s="3204"/>
    </row>
    <row r="475" spans="1:5" s="1998" customFormat="1">
      <c r="A475" s="3204"/>
      <c r="C475" s="3205"/>
      <c r="E475" s="3204"/>
    </row>
    <row r="476" spans="1:5" s="1998" customFormat="1">
      <c r="A476" s="3204"/>
      <c r="C476" s="3205"/>
      <c r="E476" s="3204"/>
    </row>
    <row r="477" spans="1:5" s="1998" customFormat="1">
      <c r="A477" s="3204"/>
      <c r="C477" s="3205"/>
      <c r="E477" s="3204"/>
    </row>
    <row r="478" spans="1:5" s="1998" customFormat="1">
      <c r="A478" s="3204"/>
      <c r="C478" s="3205"/>
      <c r="E478" s="3204"/>
    </row>
    <row r="479" spans="1:5" s="1998" customFormat="1">
      <c r="A479" s="3204"/>
      <c r="C479" s="3205"/>
      <c r="E479" s="3204"/>
    </row>
    <row r="480" spans="1:5" s="1998" customFormat="1">
      <c r="A480" s="3204"/>
      <c r="C480" s="3205"/>
      <c r="E480" s="3204"/>
    </row>
    <row r="481" spans="1:5" s="1998" customFormat="1">
      <c r="A481" s="3204"/>
      <c r="C481" s="3205"/>
      <c r="E481" s="3204"/>
    </row>
    <row r="482" spans="1:5" s="1998" customFormat="1">
      <c r="A482" s="3204"/>
      <c r="C482" s="3205"/>
      <c r="E482" s="3204"/>
    </row>
    <row r="483" spans="1:5" s="1998" customFormat="1">
      <c r="A483" s="3204"/>
      <c r="C483" s="3205"/>
      <c r="E483" s="3204"/>
    </row>
    <row r="484" spans="1:5" s="1998" customFormat="1">
      <c r="A484" s="3204"/>
      <c r="C484" s="3205"/>
      <c r="E484" s="3204"/>
    </row>
    <row r="485" spans="1:5" s="1998" customFormat="1">
      <c r="A485" s="3204"/>
      <c r="C485" s="3205"/>
      <c r="E485" s="3204"/>
    </row>
    <row r="486" spans="1:5" s="1998" customFormat="1">
      <c r="A486" s="3204"/>
      <c r="C486" s="3205"/>
      <c r="E486" s="3204"/>
    </row>
    <row r="487" spans="1:5" s="1998" customFormat="1">
      <c r="A487" s="3204"/>
      <c r="C487" s="3205"/>
      <c r="E487" s="3204"/>
    </row>
    <row r="488" spans="1:5" s="1998" customFormat="1">
      <c r="A488" s="3204"/>
      <c r="C488" s="3205"/>
      <c r="E488" s="3204"/>
    </row>
    <row r="489" spans="1:5" s="1998" customFormat="1">
      <c r="A489" s="3204"/>
      <c r="C489" s="3205"/>
      <c r="E489" s="3204"/>
    </row>
    <row r="490" spans="1:5" s="1998" customFormat="1">
      <c r="A490" s="3204"/>
      <c r="C490" s="3205"/>
      <c r="E490" s="3204"/>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11" t="str">
        <f>项目基本情况!B1</f>
        <v>出让国有建设用地使用权抵押价格预评估</v>
      </c>
      <c r="C37" s="3311"/>
      <c r="D37" s="3311"/>
      <c r="E37" s="3311"/>
      <c r="F37" s="3311"/>
      <c r="G37" s="3311"/>
      <c r="H37" s="3311"/>
      <c r="I37" s="3311"/>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王鹏、郑燚</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6"/>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6"/>
      <c r="M6" s="3196"/>
      <c r="N6" s="3196"/>
      <c r="O6" s="3196"/>
      <c r="P6" s="3196"/>
      <c r="Q6" s="3196"/>
      <c r="R6" s="3196"/>
      <c r="S6" s="3196"/>
      <c r="T6" s="3196"/>
      <c r="U6" s="3196"/>
      <c r="V6" s="3196"/>
      <c r="W6" s="3196"/>
      <c r="X6" s="3196"/>
      <c r="Y6" s="3196"/>
      <c r="Z6" s="3196"/>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6"/>
      <c r="M11" s="3196"/>
      <c r="N11" s="3196"/>
      <c r="O11" s="3196"/>
      <c r="P11" s="3196"/>
      <c r="Q11" s="3196"/>
      <c r="R11" s="3196"/>
      <c r="S11" s="3196"/>
      <c r="T11" s="3196"/>
      <c r="U11" s="3196"/>
      <c r="V11" s="3196"/>
      <c r="W11" s="3196"/>
      <c r="X11" s="3196"/>
      <c r="Y11" s="3196"/>
      <c r="Z11" s="3196"/>
    </row>
    <row r="12" spans="1:41" s="1968"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9" customFormat="1" ht="13.5" customHeight="1">
      <c r="A13" s="1562" t="s">
        <v>1839</v>
      </c>
      <c r="B13" s="443" t="s">
        <v>473</v>
      </c>
      <c r="C13" s="444">
        <f ca="1">IF(B1="",'数据-取费表'!M16,INDIRECT("'数据-取费表'!M"&amp;$K$1)+INDIRECT("'数据-取费表'!t"&amp;$K$1))</f>
        <v>13333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400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1000</v>
      </c>
      <c r="D16" s="445">
        <f ca="1">IF(B1="",'数据-汇总表'!E3,INDIRECT("'数据-取费表'!K"&amp;$K$1)+INDIRECT("'数据-取费表'!S"&amp;$K$1))</f>
        <v>66666.600000000006</v>
      </c>
      <c r="E16" s="53">
        <f>'数据-取费表'!B35</f>
        <v>150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200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14933</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2" customFormat="1" ht="13.5" customHeight="1">
      <c r="A19" s="1563" t="s">
        <v>1845</v>
      </c>
      <c r="B19" s="453" t="s">
        <v>487</v>
      </c>
      <c r="C19" s="454">
        <f ca="1">ROUND(C18*F19,0)</f>
        <v>299</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4" customFormat="1" ht="13.5" customHeight="1">
      <c r="A21" s="1563" t="s">
        <v>1849</v>
      </c>
      <c r="B21" s="455" t="s">
        <v>488</v>
      </c>
      <c r="C21" s="464">
        <f ca="1">C22</f>
        <v>331</v>
      </c>
      <c r="D21" s="461">
        <f ca="1">C23</f>
        <v>4.0000000000000002E-4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3" customFormat="1" ht="13.5" customHeight="1">
      <c r="A22" s="1562" t="s">
        <v>1839</v>
      </c>
      <c r="B22" s="1282" t="s">
        <v>2419</v>
      </c>
      <c r="C22" s="481">
        <f ca="1">ROUND(IF('数据-取费表'!B22&lt;=1,(C18+C19)*F21*'数据-取费表'!B20/2,(C18+C19)*(POWER((1+F21),'数据-取费表'!B20/2)-1)),0)</f>
        <v>331</v>
      </c>
      <c r="D22" s="466"/>
      <c r="E22" s="467"/>
      <c r="F22" s="468"/>
      <c r="G22" s="2420" t="str">
        <f>IF('数据-取费表'!B22&lt;=1,"((1)+(2))×年利率×建设期÷2","((1)+(2))×((1+年利率)^(建设期÷2)-1)")</f>
        <v>((1)+(2))×年利率×建设期÷2</v>
      </c>
      <c r="H22" s="451"/>
      <c r="I22" s="451"/>
      <c r="J22" s="451"/>
      <c r="K22" s="452"/>
      <c r="L22" s="3200"/>
      <c r="M22" s="3200"/>
      <c r="N22" s="3200"/>
      <c r="O22" s="3200"/>
      <c r="P22" s="3200"/>
      <c r="Q22" s="3200"/>
      <c r="R22" s="3200"/>
      <c r="S22" s="3200"/>
      <c r="T22" s="3200"/>
      <c r="U22" s="3200"/>
      <c r="V22" s="3200"/>
      <c r="W22" s="3200"/>
      <c r="X22" s="3200"/>
      <c r="Y22" s="3200"/>
      <c r="Z22" s="3200"/>
    </row>
    <row r="23" spans="1:26" s="2003" customFormat="1" ht="13.5" customHeight="1">
      <c r="A23" s="1562" t="s">
        <v>1840</v>
      </c>
      <c r="B23" s="1282" t="s">
        <v>502</v>
      </c>
      <c r="C23" s="482">
        <f ca="1">ROUND(IF('数据-取费表'!B22&lt;=1,F20*F21*'数据-取费表'!B20/2,F20*(POWER((1+F21),'数据-取费表'!B20/2)-1)),4)</f>
        <v>4.0000000000000002E-4</v>
      </c>
      <c r="D23" s="466"/>
      <c r="E23" s="467"/>
      <c r="F23" s="468"/>
      <c r="G23" s="2420" t="str">
        <f>IF('数据-取费表'!B22&lt;=1,"销售费用率×年利率×建设期÷2","销售费用率×((1+年利率)^(建设期÷2)-1)")</f>
        <v>销售费用率×年利率×建设期÷2</v>
      </c>
      <c r="H23" s="451"/>
      <c r="I23" s="451"/>
      <c r="J23" s="451"/>
      <c r="K23" s="452"/>
      <c r="L23" s="3200"/>
      <c r="M23" s="3200"/>
      <c r="N23" s="3200"/>
      <c r="O23" s="3200"/>
      <c r="P23" s="3200"/>
      <c r="Q23" s="3200"/>
      <c r="R23" s="3200"/>
      <c r="S23" s="3200"/>
      <c r="T23" s="3200"/>
      <c r="U23" s="3200"/>
      <c r="V23" s="3200"/>
      <c r="W23" s="3200"/>
      <c r="X23" s="3200"/>
      <c r="Y23" s="3200"/>
      <c r="Z23" s="3200"/>
    </row>
    <row r="24" spans="1:26" s="2003" customFormat="1" ht="13.5" customHeight="1">
      <c r="A24" s="1563" t="s">
        <v>1850</v>
      </c>
      <c r="B24" s="2745" t="s">
        <v>2812</v>
      </c>
      <c r="C24" s="472">
        <f ca="1">C25</f>
        <v>1523</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3" customFormat="1" ht="13.5" customHeight="1">
      <c r="A25" s="1562" t="s">
        <v>1839</v>
      </c>
      <c r="B25" s="1282" t="s">
        <v>2420</v>
      </c>
      <c r="C25" s="484">
        <f ca="1">ROUND((C18+C19)*F24,0)</f>
        <v>1523</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3" customFormat="1" ht="13.5" customHeight="1">
      <c r="A26" s="1562" t="s">
        <v>1840</v>
      </c>
      <c r="B26" s="1282" t="s">
        <v>503</v>
      </c>
      <c r="C26" s="485">
        <f ca="1">ROUND(F20*F24,4)</f>
        <v>2E-3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3" customFormat="1" ht="13.5" customHeight="1">
      <c r="A27" s="1566" t="s">
        <v>1858</v>
      </c>
      <c r="B27" s="453" t="s">
        <v>505</v>
      </c>
      <c r="C27" s="2744">
        <f>ROUND(F27/(1+'数据-取费表'!C42),4)</f>
        <v>5.2400000000000002E-2</v>
      </c>
      <c r="D27" s="456" t="s">
        <v>2810</v>
      </c>
      <c r="E27" s="456"/>
      <c r="F27" s="460">
        <f>'数据-取费表'!B41</f>
        <v>5.5000000000000007E-2</v>
      </c>
      <c r="G27" s="1875"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4" customFormat="1" ht="13.5" customHeight="1">
      <c r="A28" s="1566" t="s">
        <v>1859</v>
      </c>
      <c r="B28" s="470" t="s">
        <v>506</v>
      </c>
      <c r="C28" s="464">
        <f ca="1">ROUND((C18+C19+C21+C24)/(1-C20-D21-D24-C27),0)</f>
        <v>18467</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4"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9"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2926</v>
      </c>
      <c r="H32" s="477"/>
      <c r="I32" s="477"/>
      <c r="J32" s="477"/>
      <c r="K32" s="479"/>
      <c r="L32" s="3197"/>
      <c r="M32" s="3197"/>
      <c r="N32" s="3197"/>
      <c r="O32" s="3197"/>
      <c r="P32" s="3197"/>
      <c r="Q32" s="3197"/>
      <c r="R32" s="3197"/>
      <c r="S32" s="3197"/>
      <c r="T32" s="3197"/>
      <c r="U32" s="3197"/>
      <c r="V32" s="3197"/>
      <c r="W32" s="3197"/>
      <c r="X32" s="3197"/>
      <c r="Y32" s="3197"/>
      <c r="Z32" s="3197"/>
    </row>
    <row r="33" spans="1:5" s="1998" customFormat="1">
      <c r="A33" s="3204"/>
      <c r="C33" s="3205"/>
      <c r="E33" s="3204"/>
    </row>
    <row r="34" spans="1:5" s="1998" customFormat="1" ht="12.75" customHeight="1">
      <c r="A34" s="3204"/>
      <c r="C34" s="3205"/>
      <c r="E34" s="3204"/>
    </row>
    <row r="35" spans="1:5" s="1998" customFormat="1">
      <c r="A35" s="3204"/>
      <c r="C35" s="3205"/>
      <c r="E35" s="3204"/>
    </row>
    <row r="36" spans="1:5" s="1998" customFormat="1">
      <c r="A36" s="3204"/>
      <c r="C36" s="3205"/>
      <c r="E36" s="3204"/>
    </row>
    <row r="37" spans="1:5" s="1998" customFormat="1">
      <c r="A37" s="3204"/>
      <c r="C37" s="3205"/>
      <c r="E37" s="3204"/>
    </row>
    <row r="38" spans="1:5" s="1998" customFormat="1">
      <c r="A38" s="3204"/>
      <c r="C38" s="3205"/>
      <c r="E38" s="3204"/>
    </row>
    <row r="39" spans="1:5" s="1998" customFormat="1">
      <c r="A39" s="3204"/>
      <c r="C39" s="3205"/>
      <c r="E39" s="3204"/>
    </row>
    <row r="40" spans="1:5" s="1998" customFormat="1">
      <c r="A40" s="3204"/>
      <c r="C40" s="3205"/>
      <c r="E40" s="3204"/>
    </row>
    <row r="41" spans="1:5" s="1998" customFormat="1">
      <c r="A41" s="3204"/>
      <c r="C41" s="3205"/>
      <c r="E41" s="3204"/>
    </row>
    <row r="42" spans="1:5" s="1998" customFormat="1">
      <c r="A42" s="3204"/>
      <c r="C42" s="3205"/>
      <c r="E42" s="3204"/>
    </row>
    <row r="43" spans="1:5" s="1998" customFormat="1">
      <c r="A43" s="3204"/>
      <c r="C43" s="3205"/>
      <c r="E43" s="3204"/>
    </row>
    <row r="44" spans="1:5" s="1998" customFormat="1">
      <c r="A44" s="3204"/>
      <c r="C44" s="3205"/>
      <c r="E44" s="3204"/>
    </row>
    <row r="45" spans="1:5" s="1998" customFormat="1">
      <c r="A45" s="3204"/>
      <c r="C45" s="3205"/>
      <c r="E45" s="3204"/>
    </row>
    <row r="46" spans="1:5" s="1998" customFormat="1">
      <c r="A46" s="3204"/>
      <c r="C46" s="3205"/>
      <c r="E46" s="3204"/>
    </row>
    <row r="47" spans="1:5" s="1998" customFormat="1">
      <c r="A47" s="3204"/>
      <c r="C47" s="3205"/>
      <c r="E47" s="3204"/>
    </row>
    <row r="48" spans="1:5"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sheetData>
  <sheetProtection password="CEE9" sheet="1" objects="1" scenarios="1" formatCells="0" formatColumns="0" formatRows="0"/>
  <phoneticPr fontId="42"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502" t="e">
        <f>F63</f>
        <v>#DIV/0!</v>
      </c>
      <c r="C2" s="3221"/>
      <c r="D2" s="3221"/>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c r="A3" s="1332" t="s">
        <v>1676</v>
      </c>
      <c r="B3" s="504" t="e">
        <f>ROUND(B2*10000/'数据-汇总表'!E3,0)</f>
        <v>#DIV/0!</v>
      </c>
      <c r="C3" s="3220"/>
      <c r="D3" s="3220"/>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3212"/>
      <c r="AC5" s="1945"/>
    </row>
    <row r="6" spans="1:29" ht="15">
      <c r="A6" s="506" t="s">
        <v>515</v>
      </c>
      <c r="B6" s="507"/>
      <c r="C6" s="3506" t="s">
        <v>516</v>
      </c>
      <c r="D6" s="3507"/>
      <c r="E6" s="3531" t="s">
        <v>517</v>
      </c>
      <c r="F6" s="3532"/>
      <c r="G6" s="3506" t="s">
        <v>518</v>
      </c>
      <c r="H6" s="3507"/>
      <c r="I6" s="3506" t="s">
        <v>519</v>
      </c>
      <c r="J6" s="3507"/>
      <c r="K6" s="508" t="s">
        <v>520</v>
      </c>
      <c r="L6" s="2016"/>
      <c r="M6" s="2017"/>
      <c r="N6" s="2017"/>
      <c r="O6" s="2017"/>
      <c r="P6" s="3508" t="s">
        <v>521</v>
      </c>
      <c r="Q6" s="3509"/>
      <c r="R6" s="3494" t="s">
        <v>517</v>
      </c>
      <c r="S6" s="3495"/>
      <c r="T6" s="3494" t="s">
        <v>518</v>
      </c>
      <c r="U6" s="3495"/>
      <c r="V6" s="3514" t="s">
        <v>519</v>
      </c>
      <c r="W6" s="3514"/>
      <c r="X6" s="1502"/>
      <c r="Y6" s="3494" t="s">
        <v>521</v>
      </c>
      <c r="Z6" s="3495"/>
      <c r="AA6" s="3489" t="s">
        <v>517</v>
      </c>
      <c r="AB6" s="3490" t="s">
        <v>518</v>
      </c>
      <c r="AC6" s="3489" t="s">
        <v>519</v>
      </c>
    </row>
    <row r="7" spans="1:29" ht="15">
      <c r="A7" s="509"/>
      <c r="B7" s="510"/>
      <c r="C7" s="3517" t="s">
        <v>2886</v>
      </c>
      <c r="D7" s="3518"/>
      <c r="E7" s="3533" t="s">
        <v>2887</v>
      </c>
      <c r="F7" s="3534"/>
      <c r="G7" s="3517" t="s">
        <v>2888</v>
      </c>
      <c r="H7" s="3518"/>
      <c r="I7" s="3517" t="s">
        <v>2889</v>
      </c>
      <c r="J7" s="3518"/>
      <c r="K7" s="508"/>
      <c r="L7" s="2016"/>
      <c r="M7" s="2017"/>
      <c r="N7" s="2017"/>
      <c r="O7" s="2017"/>
      <c r="P7" s="3510"/>
      <c r="Q7" s="3511"/>
      <c r="R7" s="3496"/>
      <c r="S7" s="3497"/>
      <c r="T7" s="3496"/>
      <c r="U7" s="3497"/>
      <c r="V7" s="3514"/>
      <c r="W7" s="3514"/>
      <c r="X7" s="1502"/>
      <c r="Y7" s="3496"/>
      <c r="Z7" s="3497"/>
      <c r="AA7" s="3490"/>
      <c r="AB7" s="3490"/>
      <c r="AC7" s="3490"/>
    </row>
    <row r="8" spans="1:29" ht="15.75" thickBot="1">
      <c r="A8" s="511"/>
      <c r="B8" s="512"/>
      <c r="C8" s="3515" t="s">
        <v>2890</v>
      </c>
      <c r="D8" s="3516"/>
      <c r="E8" s="3535" t="s">
        <v>2890</v>
      </c>
      <c r="F8" s="3536"/>
      <c r="G8" s="3515" t="s">
        <v>2890</v>
      </c>
      <c r="H8" s="3516"/>
      <c r="I8" s="3515" t="s">
        <v>2890</v>
      </c>
      <c r="J8" s="3516"/>
      <c r="K8" s="508" t="s">
        <v>522</v>
      </c>
      <c r="L8" s="2016"/>
      <c r="M8" s="2017"/>
      <c r="N8" s="2017"/>
      <c r="O8" s="2017"/>
      <c r="P8" s="3512"/>
      <c r="Q8" s="3513"/>
      <c r="R8" s="3496"/>
      <c r="S8" s="3497"/>
      <c r="T8" s="3498"/>
      <c r="U8" s="3499"/>
      <c r="V8" s="3514"/>
      <c r="W8" s="3514"/>
      <c r="X8" s="1502"/>
      <c r="Y8" s="3498"/>
      <c r="Z8" s="3499"/>
      <c r="AA8" s="3491"/>
      <c r="AB8" s="3491"/>
      <c r="AC8" s="3491"/>
    </row>
    <row r="9" spans="1:29" s="1203" customFormat="1" ht="15.75" thickBot="1">
      <c r="A9" s="2629"/>
      <c r="B9" s="2636" t="s">
        <v>523</v>
      </c>
      <c r="C9" s="513">
        <f>'数据-取费表'!B2</f>
        <v>44101</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2" t="s">
        <v>524</v>
      </c>
      <c r="Q9" s="3501"/>
      <c r="R9" s="1503" t="s">
        <v>8</v>
      </c>
      <c r="S9" s="1504">
        <f t="shared" ref="S9:S17" si="0">F9</f>
        <v>0</v>
      </c>
      <c r="T9" s="1503" t="s">
        <v>8</v>
      </c>
      <c r="U9" s="1504">
        <f t="shared" ref="U9:U17" si="1">H9</f>
        <v>0</v>
      </c>
      <c r="V9" s="1503" t="s">
        <v>8</v>
      </c>
      <c r="W9" s="1504">
        <f t="shared" ref="W9:W17" si="2">J9</f>
        <v>0</v>
      </c>
      <c r="X9" s="1505"/>
      <c r="Y9" s="3492" t="s">
        <v>524</v>
      </c>
      <c r="Z9" s="3493"/>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2" t="s">
        <v>527</v>
      </c>
      <c r="Q10" s="3493"/>
      <c r="R10" s="1503" t="s">
        <v>8</v>
      </c>
      <c r="S10" s="1504">
        <f t="shared" si="0"/>
        <v>0</v>
      </c>
      <c r="T10" s="1503" t="s">
        <v>8</v>
      </c>
      <c r="U10" s="1504">
        <f t="shared" si="1"/>
        <v>0</v>
      </c>
      <c r="V10" s="1503" t="s">
        <v>8</v>
      </c>
      <c r="W10" s="1504">
        <f t="shared" si="2"/>
        <v>0</v>
      </c>
      <c r="X10" s="1505"/>
      <c r="Y10" s="3492" t="s">
        <v>527</v>
      </c>
      <c r="Z10" s="3493"/>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00" t="s">
        <v>529</v>
      </c>
      <c r="Q11" s="1134" t="str">
        <f t="shared" ref="Q11:Q17" si="6">B11</f>
        <v>用途</v>
      </c>
      <c r="R11" s="1503" t="s">
        <v>8</v>
      </c>
      <c r="S11" s="1504">
        <f t="shared" si="0"/>
        <v>100</v>
      </c>
      <c r="T11" s="1503" t="s">
        <v>8</v>
      </c>
      <c r="U11" s="1504">
        <f t="shared" si="1"/>
        <v>100</v>
      </c>
      <c r="V11" s="1503" t="s">
        <v>8</v>
      </c>
      <c r="W11" s="1504">
        <f t="shared" si="2"/>
        <v>100</v>
      </c>
      <c r="X11" s="1505"/>
      <c r="Y11" s="3451"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166</v>
      </c>
      <c r="G12" s="522"/>
      <c r="H12" s="253">
        <f>ROUND(100/'数据-取费表'!G16,0)</f>
        <v>166</v>
      </c>
      <c r="I12" s="522"/>
      <c r="J12" s="253">
        <f>ROUND(100/'数据-取费表'!G16,0)</f>
        <v>166</v>
      </c>
      <c r="K12" s="525"/>
      <c r="L12" s="2021"/>
      <c r="M12" s="2060"/>
      <c r="N12" s="2060"/>
      <c r="O12" s="2022"/>
      <c r="P12" s="3500"/>
      <c r="Q12" s="1134" t="str">
        <f t="shared" si="6"/>
        <v>土地使用年限（年）</v>
      </c>
      <c r="R12" s="1503" t="s">
        <v>8</v>
      </c>
      <c r="S12" s="1504">
        <f t="shared" si="0"/>
        <v>166</v>
      </c>
      <c r="T12" s="1503" t="s">
        <v>8</v>
      </c>
      <c r="U12" s="1504">
        <f t="shared" si="1"/>
        <v>166</v>
      </c>
      <c r="V12" s="1503" t="s">
        <v>8</v>
      </c>
      <c r="W12" s="1504">
        <f t="shared" si="2"/>
        <v>166</v>
      </c>
      <c r="X12" s="1505"/>
      <c r="Y12" s="3451"/>
      <c r="Z12" s="1133" t="str">
        <f t="shared" si="7"/>
        <v>土地使用年限（年）</v>
      </c>
      <c r="AA12" s="1506">
        <f t="shared" si="3"/>
        <v>0.60240963855421692</v>
      </c>
      <c r="AB12" s="1506">
        <f t="shared" si="4"/>
        <v>0.60240963855421692</v>
      </c>
      <c r="AC12" s="1506">
        <f t="shared" si="5"/>
        <v>0.60240963855421692</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00"/>
      <c r="Q13" s="1134" t="str">
        <f t="shared" si="6"/>
        <v>容积率</v>
      </c>
      <c r="R13" s="1503" t="s">
        <v>8</v>
      </c>
      <c r="S13" s="1504" t="e">
        <f t="shared" si="0"/>
        <v>#N/A</v>
      </c>
      <c r="T13" s="1503" t="s">
        <v>8</v>
      </c>
      <c r="U13" s="1504" t="e">
        <f t="shared" si="1"/>
        <v>#N/A</v>
      </c>
      <c r="V13" s="1503" t="s">
        <v>8</v>
      </c>
      <c r="W13" s="1504" t="e">
        <f t="shared" si="2"/>
        <v>#N/A</v>
      </c>
      <c r="X13" s="1505"/>
      <c r="Y13" s="3451"/>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00"/>
      <c r="Q14" s="1134">
        <f t="shared" si="6"/>
        <v>111</v>
      </c>
      <c r="R14" s="1503" t="s">
        <v>8</v>
      </c>
      <c r="S14" s="1504">
        <f t="shared" si="0"/>
        <v>100</v>
      </c>
      <c r="T14" s="1503" t="s">
        <v>8</v>
      </c>
      <c r="U14" s="1504">
        <f t="shared" si="1"/>
        <v>100</v>
      </c>
      <c r="V14" s="1503" t="s">
        <v>8</v>
      </c>
      <c r="W14" s="1504">
        <f t="shared" si="2"/>
        <v>100</v>
      </c>
      <c r="X14" s="1505"/>
      <c r="Y14" s="3451"/>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00"/>
      <c r="Q15" s="1134">
        <f t="shared" si="6"/>
        <v>111</v>
      </c>
      <c r="R15" s="1503" t="s">
        <v>8</v>
      </c>
      <c r="S15" s="1504">
        <f t="shared" si="0"/>
        <v>100</v>
      </c>
      <c r="T15" s="1503" t="s">
        <v>8</v>
      </c>
      <c r="U15" s="1504">
        <f t="shared" si="1"/>
        <v>100</v>
      </c>
      <c r="V15" s="1503" t="s">
        <v>8</v>
      </c>
      <c r="W15" s="1504">
        <f t="shared" si="2"/>
        <v>100</v>
      </c>
      <c r="X15" s="1505"/>
      <c r="Y15" s="3451"/>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00"/>
      <c r="Q16" s="1134">
        <f t="shared" si="6"/>
        <v>111</v>
      </c>
      <c r="R16" s="1503" t="s">
        <v>8</v>
      </c>
      <c r="S16" s="1504">
        <f t="shared" si="0"/>
        <v>100</v>
      </c>
      <c r="T16" s="1503" t="s">
        <v>8</v>
      </c>
      <c r="U16" s="1504">
        <f t="shared" si="1"/>
        <v>100</v>
      </c>
      <c r="V16" s="1503" t="s">
        <v>8</v>
      </c>
      <c r="W16" s="1504">
        <f t="shared" si="2"/>
        <v>100</v>
      </c>
      <c r="X16" s="1505"/>
      <c r="Y16" s="3451"/>
      <c r="Z16" s="1133">
        <f t="shared" si="7"/>
        <v>111</v>
      </c>
      <c r="AA16" s="1506">
        <f t="shared" si="3"/>
        <v>1</v>
      </c>
      <c r="AB16" s="1506">
        <f t="shared" si="4"/>
        <v>1</v>
      </c>
      <c r="AC16" s="1506">
        <f t="shared" si="5"/>
        <v>1</v>
      </c>
    </row>
    <row r="17" spans="1:29" ht="15">
      <c r="A17" s="2627" t="s">
        <v>2735</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2" t="s">
        <v>534</v>
      </c>
      <c r="Q17" s="1507" t="str">
        <f t="shared" si="6"/>
        <v>产业集聚程度</v>
      </c>
      <c r="R17" s="1508" t="s">
        <v>8</v>
      </c>
      <c r="S17" s="1509">
        <f t="shared" si="0"/>
        <v>100</v>
      </c>
      <c r="T17" s="1508" t="s">
        <v>8</v>
      </c>
      <c r="U17" s="1509">
        <f t="shared" si="1"/>
        <v>100</v>
      </c>
      <c r="V17" s="1508" t="s">
        <v>8</v>
      </c>
      <c r="W17" s="1509">
        <f t="shared" si="2"/>
        <v>100</v>
      </c>
      <c r="X17" s="1502"/>
      <c r="Y17" s="3502"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3"/>
      <c r="Q18" s="1507"/>
      <c r="R18" s="1508"/>
      <c r="S18" s="1509"/>
      <c r="T18" s="1508"/>
      <c r="U18" s="1509"/>
      <c r="V18" s="1508"/>
      <c r="W18" s="1509"/>
      <c r="X18" s="1502"/>
      <c r="Y18" s="3503"/>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3"/>
      <c r="Q19" s="1507" t="str">
        <f>B19</f>
        <v>交通便捷度</v>
      </c>
      <c r="R19" s="1508" t="s">
        <v>8</v>
      </c>
      <c r="S19" s="1509">
        <f>F19</f>
        <v>100</v>
      </c>
      <c r="T19" s="1508" t="s">
        <v>8</v>
      </c>
      <c r="U19" s="1509">
        <f>H19</f>
        <v>100</v>
      </c>
      <c r="V19" s="1508" t="s">
        <v>8</v>
      </c>
      <c r="W19" s="1509">
        <f>J19</f>
        <v>100</v>
      </c>
      <c r="X19" s="1502"/>
      <c r="Y19" s="350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3"/>
      <c r="Q20" s="1507"/>
      <c r="R20" s="1508"/>
      <c r="S20" s="1509"/>
      <c r="T20" s="1508"/>
      <c r="U20" s="1509"/>
      <c r="V20" s="1508"/>
      <c r="W20" s="1509"/>
      <c r="X20" s="1502"/>
      <c r="Y20" s="350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3"/>
      <c r="Q21" s="1507" t="str">
        <f t="shared" ref="Q21:Q35" si="8">B21</f>
        <v>区域土地利用方向</v>
      </c>
      <c r="R21" s="1508" t="s">
        <v>8</v>
      </c>
      <c r="S21" s="1509">
        <f>F21</f>
        <v>100</v>
      </c>
      <c r="T21" s="1508" t="s">
        <v>8</v>
      </c>
      <c r="U21" s="1509">
        <f>H21</f>
        <v>100</v>
      </c>
      <c r="V21" s="1508" t="s">
        <v>8</v>
      </c>
      <c r="W21" s="1509">
        <f>J21</f>
        <v>100</v>
      </c>
      <c r="X21" s="1502"/>
      <c r="Y21" s="350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3"/>
      <c r="Q22" s="1507"/>
      <c r="R22" s="1508"/>
      <c r="S22" s="1509"/>
      <c r="T22" s="1508"/>
      <c r="U22" s="1509"/>
      <c r="V22" s="1508"/>
      <c r="W22" s="1509"/>
      <c r="X22" s="1502"/>
      <c r="Y22" s="3503"/>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3"/>
      <c r="Q23" s="1507" t="str">
        <f t="shared" si="8"/>
        <v>环境状况</v>
      </c>
      <c r="R23" s="1508" t="s">
        <v>8</v>
      </c>
      <c r="S23" s="1509">
        <f>F23</f>
        <v>100</v>
      </c>
      <c r="T23" s="1508" t="s">
        <v>8</v>
      </c>
      <c r="U23" s="1509">
        <f>H23</f>
        <v>100</v>
      </c>
      <c r="V23" s="1508" t="s">
        <v>8</v>
      </c>
      <c r="W23" s="1509">
        <f>J23</f>
        <v>100</v>
      </c>
      <c r="X23" s="1502"/>
      <c r="Y23" s="3503"/>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3"/>
      <c r="Q24" s="1507"/>
      <c r="R24" s="1508"/>
      <c r="S24" s="1509"/>
      <c r="T24" s="1508"/>
      <c r="U24" s="1509"/>
      <c r="V24" s="1508"/>
      <c r="W24" s="1509"/>
      <c r="X24" s="1502"/>
      <c r="Y24" s="3503"/>
      <c r="Z24" s="1510"/>
      <c r="AA24" s="1511">
        <v>1</v>
      </c>
      <c r="AB24" s="1511">
        <v>1</v>
      </c>
      <c r="AC24" s="1511">
        <v>1</v>
      </c>
    </row>
    <row r="25" spans="1:29" s="1203" customFormat="1" ht="15">
      <c r="A25" s="571"/>
      <c r="B25" s="2437" t="s">
        <v>2530</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3"/>
      <c r="Q25" s="1134" t="str">
        <f t="shared" si="8"/>
        <v>公共配套设施</v>
      </c>
      <c r="R25" s="1503" t="s">
        <v>8</v>
      </c>
      <c r="S25" s="1504">
        <f>F25</f>
        <v>100</v>
      </c>
      <c r="T25" s="1503" t="s">
        <v>8</v>
      </c>
      <c r="U25" s="1504">
        <f>H25</f>
        <v>100</v>
      </c>
      <c r="V25" s="1503" t="s">
        <v>8</v>
      </c>
      <c r="W25" s="1504">
        <f>J25</f>
        <v>100</v>
      </c>
      <c r="X25" s="1505"/>
      <c r="Y25" s="3503"/>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8"/>
      <c r="M26" s="2019"/>
      <c r="N26" s="2019"/>
      <c r="O26" s="2020"/>
      <c r="P26" s="3503"/>
      <c r="Q26" s="1134"/>
      <c r="R26" s="1503"/>
      <c r="S26" s="1504"/>
      <c r="T26" s="1503"/>
      <c r="U26" s="1504"/>
      <c r="V26" s="1503"/>
      <c r="W26" s="1504"/>
      <c r="X26" s="1505"/>
      <c r="Y26" s="3503"/>
      <c r="Z26" s="1133"/>
      <c r="AA26" s="1506">
        <v>1</v>
      </c>
      <c r="AB26" s="1506">
        <v>1</v>
      </c>
      <c r="AC26" s="1506">
        <v>1</v>
      </c>
    </row>
    <row r="27" spans="1:29" s="1203" customFormat="1" ht="15">
      <c r="A27" s="571"/>
      <c r="B27" s="2437" t="s">
        <v>2531</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3"/>
      <c r="Q27" s="2428" t="str">
        <f t="shared" ref="Q27" si="9">B27</f>
        <v>基础设施水平</v>
      </c>
      <c r="R27" s="1503" t="s">
        <v>8</v>
      </c>
      <c r="S27" s="1504">
        <f>F27</f>
        <v>100</v>
      </c>
      <c r="T27" s="1503" t="s">
        <v>8</v>
      </c>
      <c r="U27" s="1504">
        <f>H27</f>
        <v>100</v>
      </c>
      <c r="V27" s="1503" t="s">
        <v>8</v>
      </c>
      <c r="W27" s="1504">
        <f>J27</f>
        <v>100</v>
      </c>
      <c r="X27" s="1505"/>
      <c r="Y27" s="3503"/>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8"/>
      <c r="M28" s="2019"/>
      <c r="N28" s="2019"/>
      <c r="O28" s="2020"/>
      <c r="P28" s="3503"/>
      <c r="Q28" s="2428"/>
      <c r="R28" s="1503"/>
      <c r="S28" s="1504"/>
      <c r="T28" s="1503"/>
      <c r="U28" s="1504"/>
      <c r="V28" s="1503"/>
      <c r="W28" s="1504"/>
      <c r="X28" s="1505"/>
      <c r="Y28" s="3503"/>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3"/>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3"/>
      <c r="Q30" s="1507" t="str">
        <f t="shared" si="8"/>
        <v>毗邻道路的类型与等级</v>
      </c>
      <c r="R30" s="1508" t="s">
        <v>8</v>
      </c>
      <c r="S30" s="1509">
        <f t="shared" si="10"/>
        <v>100</v>
      </c>
      <c r="T30" s="1508" t="s">
        <v>8</v>
      </c>
      <c r="U30" s="1509">
        <f t="shared" si="11"/>
        <v>100</v>
      </c>
      <c r="V30" s="1508" t="s">
        <v>8</v>
      </c>
      <c r="W30" s="1509">
        <f t="shared" si="12"/>
        <v>100</v>
      </c>
      <c r="X30" s="1502"/>
      <c r="Y30" s="350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3"/>
      <c r="Q31" s="1507"/>
      <c r="R31" s="1508"/>
      <c r="S31" s="1509"/>
      <c r="T31" s="1508"/>
      <c r="U31" s="1509"/>
      <c r="V31" s="1508"/>
      <c r="W31" s="1509"/>
      <c r="X31" s="1502"/>
      <c r="Y31" s="3503"/>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3"/>
      <c r="Q32" s="1507" t="str">
        <f t="shared" si="8"/>
        <v>土地级别</v>
      </c>
      <c r="R32" s="1508" t="s">
        <v>8</v>
      </c>
      <c r="S32" s="1509">
        <f t="shared" si="10"/>
        <v>100</v>
      </c>
      <c r="T32" s="1508" t="s">
        <v>8</v>
      </c>
      <c r="U32" s="1509">
        <f t="shared" si="11"/>
        <v>100</v>
      </c>
      <c r="V32" s="1508" t="s">
        <v>8</v>
      </c>
      <c r="W32" s="1509">
        <f t="shared" si="12"/>
        <v>100</v>
      </c>
      <c r="X32" s="1502"/>
      <c r="Y32" s="3503"/>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3"/>
      <c r="Q33" s="1507">
        <f t="shared" si="8"/>
        <v>111</v>
      </c>
      <c r="R33" s="1508" t="s">
        <v>8</v>
      </c>
      <c r="S33" s="1509">
        <f t="shared" si="10"/>
        <v>100</v>
      </c>
      <c r="T33" s="1508" t="s">
        <v>8</v>
      </c>
      <c r="U33" s="1509">
        <f t="shared" si="11"/>
        <v>100</v>
      </c>
      <c r="V33" s="1508" t="s">
        <v>8</v>
      </c>
      <c r="W33" s="1509">
        <f t="shared" si="12"/>
        <v>100</v>
      </c>
      <c r="X33" s="1502"/>
      <c r="Y33" s="3503"/>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4" t="s">
        <v>544</v>
      </c>
      <c r="Q34" s="1507">
        <f t="shared" si="8"/>
        <v>111</v>
      </c>
      <c r="R34" s="1508" t="s">
        <v>8</v>
      </c>
      <c r="S34" s="1509">
        <f t="shared" si="10"/>
        <v>100</v>
      </c>
      <c r="T34" s="1508" t="s">
        <v>8</v>
      </c>
      <c r="U34" s="1509">
        <f t="shared" si="11"/>
        <v>100</v>
      </c>
      <c r="V34" s="1508" t="s">
        <v>8</v>
      </c>
      <c r="W34" s="1509">
        <f t="shared" si="12"/>
        <v>100</v>
      </c>
      <c r="X34" s="1502"/>
      <c r="Y34" s="3505"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5"/>
      <c r="Q35" s="1507">
        <f t="shared" si="8"/>
        <v>111</v>
      </c>
      <c r="R35" s="1512" t="s">
        <v>8</v>
      </c>
      <c r="S35" s="1513">
        <f t="shared" si="10"/>
        <v>100</v>
      </c>
      <c r="T35" s="1512" t="s">
        <v>8</v>
      </c>
      <c r="U35" s="1513">
        <f t="shared" si="11"/>
        <v>100</v>
      </c>
      <c r="V35" s="1512" t="s">
        <v>8</v>
      </c>
      <c r="W35" s="1513">
        <f t="shared" si="12"/>
        <v>100</v>
      </c>
      <c r="X35" s="1514"/>
      <c r="Y35" s="3505"/>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5"/>
      <c r="Q36" s="1507" t="str">
        <f>B36</f>
        <v>宗地面积</v>
      </c>
      <c r="R36" s="1508" t="s">
        <v>8</v>
      </c>
      <c r="S36" s="1509" t="e">
        <f t="shared" si="10"/>
        <v>#N/A</v>
      </c>
      <c r="T36" s="1508" t="s">
        <v>8</v>
      </c>
      <c r="U36" s="1509" t="e">
        <f t="shared" si="11"/>
        <v>#N/A</v>
      </c>
      <c r="V36" s="1508" t="s">
        <v>8</v>
      </c>
      <c r="W36" s="1509" t="e">
        <f t="shared" si="12"/>
        <v>#N/A</v>
      </c>
      <c r="X36" s="1502"/>
      <c r="Y36" s="3505"/>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5"/>
      <c r="Q37" s="1507" t="str">
        <f t="shared" ref="Q37:Q42" si="14">B37</f>
        <v>宗地形状</v>
      </c>
      <c r="R37" s="1508" t="s">
        <v>8</v>
      </c>
      <c r="S37" s="1509">
        <f t="shared" si="10"/>
        <v>100</v>
      </c>
      <c r="T37" s="1508" t="s">
        <v>8</v>
      </c>
      <c r="U37" s="1509">
        <f t="shared" si="11"/>
        <v>100</v>
      </c>
      <c r="V37" s="1508" t="s">
        <v>8</v>
      </c>
      <c r="W37" s="1509">
        <f t="shared" si="12"/>
        <v>100</v>
      </c>
      <c r="X37" s="1502"/>
      <c r="Y37" s="3505"/>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5"/>
      <c r="Q38" s="1507" t="str">
        <f t="shared" si="14"/>
        <v>宗地开发程度</v>
      </c>
      <c r="R38" s="1503" t="s">
        <v>8</v>
      </c>
      <c r="S38" s="1504">
        <f t="shared" si="10"/>
        <v>100</v>
      </c>
      <c r="T38" s="1503" t="s">
        <v>8</v>
      </c>
      <c r="U38" s="1504">
        <f t="shared" si="11"/>
        <v>100</v>
      </c>
      <c r="V38" s="1503" t="s">
        <v>8</v>
      </c>
      <c r="W38" s="1504">
        <f t="shared" si="12"/>
        <v>100</v>
      </c>
      <c r="X38" s="1505"/>
      <c r="Y38" s="3505"/>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5" t="s">
        <v>595</v>
      </c>
      <c r="Q39" s="1507" t="str">
        <f t="shared" si="14"/>
        <v>工程地质条件</v>
      </c>
      <c r="R39" s="1508" t="s">
        <v>8</v>
      </c>
      <c r="S39" s="1509">
        <f t="shared" si="10"/>
        <v>100</v>
      </c>
      <c r="T39" s="1508" t="s">
        <v>8</v>
      </c>
      <c r="U39" s="1509">
        <f t="shared" si="11"/>
        <v>100</v>
      </c>
      <c r="V39" s="1508" t="s">
        <v>8</v>
      </c>
      <c r="W39" s="1509">
        <f t="shared" si="12"/>
        <v>100</v>
      </c>
      <c r="X39" s="1502"/>
      <c r="Y39" s="3505"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5"/>
      <c r="Q40" s="1507">
        <f t="shared" si="14"/>
        <v>111</v>
      </c>
      <c r="R40" s="1508" t="s">
        <v>8</v>
      </c>
      <c r="S40" s="1509">
        <f t="shared" si="10"/>
        <v>100</v>
      </c>
      <c r="T40" s="1508" t="s">
        <v>8</v>
      </c>
      <c r="U40" s="1509">
        <f t="shared" si="11"/>
        <v>100</v>
      </c>
      <c r="V40" s="1508" t="s">
        <v>8</v>
      </c>
      <c r="W40" s="1509">
        <f t="shared" si="12"/>
        <v>100</v>
      </c>
      <c r="X40" s="1502"/>
      <c r="Y40" s="3505"/>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5"/>
      <c r="Q41" s="1507">
        <f t="shared" si="14"/>
        <v>111</v>
      </c>
      <c r="R41" s="1508" t="s">
        <v>8</v>
      </c>
      <c r="S41" s="1509">
        <f t="shared" si="10"/>
        <v>100</v>
      </c>
      <c r="T41" s="1508" t="s">
        <v>8</v>
      </c>
      <c r="U41" s="1509">
        <f t="shared" si="11"/>
        <v>100</v>
      </c>
      <c r="V41" s="1508" t="s">
        <v>8</v>
      </c>
      <c r="W41" s="1509">
        <f t="shared" si="12"/>
        <v>100</v>
      </c>
      <c r="X41" s="1502"/>
      <c r="Y41" s="3505"/>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5"/>
      <c r="Q42" s="1507">
        <f t="shared" si="14"/>
        <v>111</v>
      </c>
      <c r="R42" s="1512" t="s">
        <v>8</v>
      </c>
      <c r="S42" s="1513">
        <f t="shared" si="10"/>
        <v>100</v>
      </c>
      <c r="T42" s="1512" t="s">
        <v>8</v>
      </c>
      <c r="U42" s="1513">
        <f t="shared" si="11"/>
        <v>100</v>
      </c>
      <c r="V42" s="1512" t="s">
        <v>8</v>
      </c>
      <c r="W42" s="1513">
        <f t="shared" si="12"/>
        <v>100</v>
      </c>
      <c r="X42" s="1514"/>
      <c r="Y42" s="3505"/>
      <c r="Z42" s="1515">
        <f t="shared" si="13"/>
        <v>111</v>
      </c>
      <c r="AA42" s="1511">
        <f t="shared" si="3"/>
        <v>1</v>
      </c>
      <c r="AB42" s="1511">
        <f t="shared" si="4"/>
        <v>1</v>
      </c>
      <c r="AC42" s="1511">
        <f t="shared" si="5"/>
        <v>1</v>
      </c>
    </row>
    <row r="43" spans="1:29" ht="15">
      <c r="A43" s="601" t="s">
        <v>550</v>
      </c>
      <c r="B43" s="602" t="s">
        <v>2891</v>
      </c>
      <c r="C43" s="603" t="s">
        <v>1</v>
      </c>
      <c r="D43" s="604"/>
      <c r="E43" s="605"/>
      <c r="F43" s="606"/>
      <c r="G43" s="607"/>
      <c r="H43" s="608"/>
      <c r="I43" s="605"/>
      <c r="J43" s="608"/>
      <c r="K43" s="1294"/>
      <c r="L43" s="2027"/>
      <c r="M43" s="2017"/>
      <c r="N43" s="2017"/>
      <c r="O43" s="2028"/>
      <c r="P43" s="3500" t="str">
        <f>A43</f>
        <v>成交单价</v>
      </c>
      <c r="Q43" s="3500"/>
      <c r="R43" s="3514">
        <f>E43</f>
        <v>0</v>
      </c>
      <c r="S43" s="3514"/>
      <c r="T43" s="3514">
        <f>G43</f>
        <v>0</v>
      </c>
      <c r="U43" s="3514"/>
      <c r="V43" s="3514">
        <f>I43</f>
        <v>0</v>
      </c>
      <c r="W43" s="3514"/>
      <c r="X43" s="1497"/>
      <c r="Y43" s="1516"/>
      <c r="Z43" s="1497"/>
      <c r="AA43" s="1497"/>
      <c r="AB43" s="1497"/>
      <c r="AC43" s="1497"/>
    </row>
    <row r="44" spans="1:29" ht="15.75" thickBot="1">
      <c r="A44" s="609" t="s">
        <v>2674</v>
      </c>
      <c r="B44" s="610"/>
      <c r="C44" s="611" t="e">
        <f>R45</f>
        <v>#DIV/0!</v>
      </c>
      <c r="D44" s="3014" t="s">
        <v>2961</v>
      </c>
      <c r="E44" s="611" t="e">
        <f>R44</f>
        <v>#DIV/0!</v>
      </c>
      <c r="F44" s="3015"/>
      <c r="G44" s="612" t="e">
        <f>T44</f>
        <v>#DIV/0!</v>
      </c>
      <c r="H44" s="3015"/>
      <c r="I44" s="611" t="e">
        <f>V44</f>
        <v>#DIV/0!</v>
      </c>
      <c r="J44" s="3015"/>
      <c r="K44" s="3016">
        <f>F44+H44+J44</f>
        <v>0</v>
      </c>
      <c r="L44" s="2027"/>
      <c r="M44" s="2017"/>
      <c r="N44" s="2017"/>
      <c r="O44" s="2028"/>
      <c r="P44" s="3500" t="str">
        <f>A44</f>
        <v>比较价格（元/平方米）</v>
      </c>
      <c r="Q44" s="3500"/>
      <c r="R44" s="3524" t="e">
        <f>ROUND(PRODUCT(R43,AA9:AA42),0)</f>
        <v>#DIV/0!</v>
      </c>
      <c r="S44" s="3524"/>
      <c r="T44" s="3524" t="e">
        <f>ROUND(PRODUCT(T43,AB9:AB42),0)</f>
        <v>#DIV/0!</v>
      </c>
      <c r="U44" s="3524"/>
      <c r="V44" s="3524" t="e">
        <f>ROUND(PRODUCT(V43,AC9:AC42),0)</f>
        <v>#DIV/0!</v>
      </c>
      <c r="W44" s="3524"/>
      <c r="X44" s="1497"/>
      <c r="Y44" s="1497"/>
      <c r="Z44" s="1497"/>
      <c r="AA44" s="1497"/>
      <c r="AB44" s="1497"/>
      <c r="AC44" s="1497"/>
    </row>
    <row r="45" spans="1:29" ht="15.75" thickBot="1">
      <c r="A45" s="613" t="s">
        <v>2892</v>
      </c>
      <c r="B45" s="614"/>
      <c r="C45" s="615" t="e">
        <f>R45</f>
        <v>#DIV/0!</v>
      </c>
      <c r="D45" s="615"/>
      <c r="E45" s="615"/>
      <c r="F45" s="615"/>
      <c r="G45" s="615"/>
      <c r="H45" s="615"/>
      <c r="I45" s="615"/>
      <c r="J45" s="615"/>
      <c r="K45" s="1295"/>
      <c r="L45" s="2027"/>
      <c r="M45" s="2017"/>
      <c r="N45" s="2017"/>
      <c r="O45" s="2028"/>
      <c r="P45" s="3521" t="str">
        <f>A45</f>
        <v>估价对象XX用房的比较价格（楼面单价，元/平方米）</v>
      </c>
      <c r="Q45" s="3522"/>
      <c r="R45" s="3530" t="e">
        <f>ROUND(IF(D44="简单平均",AVERAGE(R44:W44),R44*F44+T44*H44+V44*J44),0)</f>
        <v>#DIV/0!</v>
      </c>
      <c r="S45" s="3530"/>
      <c r="T45" s="3530"/>
      <c r="U45" s="3530"/>
      <c r="V45" s="3530"/>
      <c r="W45" s="3530"/>
      <c r="X45" s="1497"/>
      <c r="Y45" s="1497"/>
      <c r="Z45" s="1497"/>
      <c r="AA45" s="1497"/>
      <c r="AB45" s="1497"/>
      <c r="AC45" s="1497"/>
    </row>
    <row r="46" spans="1:29">
      <c r="A46" s="3213"/>
      <c r="B46" s="3213"/>
      <c r="C46" s="3213"/>
      <c r="D46" s="3213"/>
      <c r="E46" s="3213"/>
      <c r="F46" s="3213"/>
      <c r="G46" s="3215"/>
      <c r="H46" s="3213"/>
      <c r="I46" s="3213"/>
      <c r="J46" s="3213"/>
      <c r="K46" s="3216"/>
      <c r="L46" s="2032"/>
      <c r="M46" s="2017"/>
      <c r="N46" s="2017"/>
      <c r="O46" s="2028"/>
      <c r="P46" s="2028"/>
      <c r="Q46" s="2028"/>
      <c r="R46" s="2028"/>
      <c r="S46" s="2028"/>
      <c r="T46" s="2028"/>
      <c r="U46" s="2028"/>
      <c r="V46" s="2028"/>
      <c r="W46" s="2028"/>
      <c r="X46" s="2028"/>
      <c r="Y46" s="2028"/>
      <c r="Z46" s="2028"/>
      <c r="AA46" s="2028"/>
      <c r="AB46" s="2028"/>
      <c r="AC46" s="2028"/>
    </row>
    <row r="47" spans="1:29">
      <c r="A47" s="3213"/>
      <c r="B47" s="3213"/>
      <c r="C47" s="3213"/>
      <c r="D47" s="3213"/>
      <c r="E47" s="3213"/>
      <c r="F47" s="3213"/>
      <c r="G47" s="3213"/>
      <c r="H47" s="3213"/>
      <c r="I47" s="3213"/>
      <c r="J47" s="3213"/>
      <c r="K47" s="3216"/>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4"/>
      <c r="B51" s="3225"/>
      <c r="C51" s="2033"/>
      <c r="D51" s="2029"/>
      <c r="E51" s="2029"/>
      <c r="F51" s="2029"/>
      <c r="G51" s="2029"/>
      <c r="H51" s="2029"/>
      <c r="I51" s="2029"/>
      <c r="J51" s="2029"/>
      <c r="K51" s="3217"/>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5" t="s">
        <v>2272</v>
      </c>
      <c r="H52" s="3526"/>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66666.600000000006</v>
      </c>
      <c r="F53" s="1865" t="e">
        <f t="shared" ref="F53:F62" si="15">ROUND(B53*E53/10000,0)</f>
        <v>#DIV/0!</v>
      </c>
      <c r="G53" s="3527"/>
      <c r="H53" s="3528"/>
      <c r="I53" s="1868">
        <v>1</v>
      </c>
      <c r="J53" s="1495">
        <v>1</v>
      </c>
      <c r="K53" s="3218"/>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9" t="s">
        <v>2273</v>
      </c>
      <c r="H54" s="1869">
        <f>项目基本情况!B43</f>
        <v>0</v>
      </c>
      <c r="I54" s="1868">
        <f>SUMIF(修正!$A$45:$A$56,H54,修正!B45:B56)</f>
        <v>0</v>
      </c>
      <c r="J54" s="1496"/>
      <c r="K54" s="3218"/>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9"/>
      <c r="H55" s="1870">
        <f>项目基本情况!B43</f>
        <v>0</v>
      </c>
      <c r="I55" s="1868">
        <f>SUMIF(修正!$A$45:$A$56,H55,修正!C45:C56)</f>
        <v>0</v>
      </c>
      <c r="J55" s="1496"/>
      <c r="K55" s="3218"/>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9"/>
      <c r="H56" s="1870">
        <f>项目基本情况!B43</f>
        <v>0</v>
      </c>
      <c r="I56" s="1868">
        <f>SUMIF(修正!$A$45:$A$56,H56,修正!D45:D56)</f>
        <v>0</v>
      </c>
      <c r="J56" s="1496"/>
      <c r="K56" s="3218"/>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9"/>
      <c r="H57" s="1870">
        <f>项目基本情况!B43</f>
        <v>0</v>
      </c>
      <c r="I57" s="1868">
        <f>SUMIF(修正!$A$45:$A$56,H57,修正!E45:E56)</f>
        <v>0</v>
      </c>
      <c r="J57" s="1496"/>
      <c r="K57" s="3218"/>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33333.300000000003</v>
      </c>
      <c r="F63" s="636" t="e">
        <f>IF(B43="楼面地价",SUM(F53:F62),ROUND(C45*E63/10000,0))</f>
        <v>#DIV/0!</v>
      </c>
      <c r="G63" s="2038"/>
      <c r="H63" s="2038"/>
      <c r="I63" s="2038"/>
      <c r="J63" s="2038"/>
      <c r="K63" s="3226"/>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09"/>
      <c r="D69" s="2510"/>
      <c r="E69" s="2510"/>
      <c r="F69" s="2510"/>
      <c r="G69" s="2510"/>
      <c r="H69" s="2510"/>
      <c r="I69" s="2510"/>
      <c r="J69" s="2510"/>
      <c r="K69" s="2510"/>
      <c r="L69" s="2510"/>
      <c r="M69" s="2510"/>
      <c r="N69" s="2510"/>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7"/>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7"/>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8"/>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9"/>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8"/>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9"/>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8"/>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0"/>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9"/>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0"/>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0"/>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0"/>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0"/>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8"/>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0"/>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8"/>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8"/>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8"/>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9"/>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8"/>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9"/>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0"/>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9"/>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8"/>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9"/>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8"/>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0"/>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8"/>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8"/>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9"/>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8"/>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9"/>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0"/>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0"/>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3" t="s">
        <v>2742</v>
      </c>
      <c r="S1" s="2653" t="s">
        <v>2743</v>
      </c>
      <c r="T1" s="2653" t="s">
        <v>2764</v>
      </c>
      <c r="U1" s="2653" t="s">
        <v>2765</v>
      </c>
      <c r="V1" s="2653"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1"/>
      <c r="L2" s="1800" t="s">
        <v>2228</v>
      </c>
      <c r="M2" s="1801">
        <f>SUMPRODUCT((区片价!B10:B28=I2)*(区片价!C3:F3=E2)*(区片价!C10:F28))</f>
        <v>0</v>
      </c>
      <c r="N2" s="1802">
        <f>SUMPRODUCT((因素修正幅度!B10:B28=I2)*(因素修正幅度!C3:F3=E2)*(因素修正幅度!C10:F28))</f>
        <v>0</v>
      </c>
      <c r="O2" s="3231"/>
      <c r="P2" s="2071"/>
      <c r="Q2" s="2071"/>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1"/>
      <c r="L3" s="1800" t="s">
        <v>2229</v>
      </c>
      <c r="M3" s="1801">
        <f>SUMPRODUCT((区片价!B29:B48=I2)*(区片价!C3:F3=E2)*(区片价!C29:F48))</f>
        <v>0</v>
      </c>
      <c r="N3" s="1802">
        <f>SUMPRODUCT((因素修正幅度!B29:B48=I2)*(因素修正幅度!C3:F3=E2)*(因素修正幅度!C29:F48))</f>
        <v>0</v>
      </c>
      <c r="O3" s="3231"/>
      <c r="P3" s="2071"/>
      <c r="Q3" s="2071"/>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1"/>
      <c r="X3" s="2071"/>
      <c r="Y3" s="2071"/>
      <c r="Z3" s="2071"/>
      <c r="AA3" s="2071"/>
      <c r="AB3" s="2071"/>
      <c r="AC3" s="2072"/>
    </row>
    <row r="4" spans="1:39" ht="28.5">
      <c r="A4" s="1806" t="s">
        <v>2268</v>
      </c>
      <c r="B4" s="2308" t="e">
        <f>ROUND(B2*10000/F1,0)</f>
        <v>#DIV/0!</v>
      </c>
      <c r="C4" s="1809" t="s">
        <v>2243</v>
      </c>
      <c r="D4" s="1809" t="e">
        <f>ROUND(B2/(F1/666.67),0)</f>
        <v>#DIV/0!</v>
      </c>
      <c r="E4" s="1809" t="s">
        <v>2244</v>
      </c>
      <c r="F4" s="1807"/>
      <c r="G4" s="1807"/>
      <c r="H4" s="1807"/>
      <c r="I4" s="1807"/>
      <c r="J4" s="1808"/>
      <c r="K4" s="3232"/>
      <c r="L4" s="1800" t="s">
        <v>2230</v>
      </c>
      <c r="M4" s="1801">
        <f>SUMPRODUCT((区片价!B49:B75=I2)*(区片价!C3:F3=E2)*(区片价!C49:F75))</f>
        <v>0</v>
      </c>
      <c r="N4" s="1802">
        <f>SUMPRODUCT((因素修正幅度!B49:B75=I2)*(因素修正幅度!C3:F3=E2)*(因素修正幅度!C49:F75))</f>
        <v>0</v>
      </c>
      <c r="O4" s="3232"/>
      <c r="P4" s="2071"/>
      <c r="Q4" s="2071"/>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3"/>
      <c r="L5" s="1800" t="s">
        <v>2231</v>
      </c>
      <c r="M5" s="1801">
        <f>SUMPRODUCT((区片价!B76:B109=I2)*(区片价!C3:F3=E2)*(区片价!C76:F109))</f>
        <v>0</v>
      </c>
      <c r="N5" s="1802">
        <f>SUMPRODUCT((因素修正幅度!B76:B109=I2)*(因素修正幅度!C3:F3=E2)*(因素修正幅度!C76:F109))</f>
        <v>0</v>
      </c>
      <c r="O5" s="3233"/>
      <c r="P5" s="3236"/>
      <c r="Q5" s="2071"/>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4"/>
      <c r="L6" s="1800" t="s">
        <v>2232</v>
      </c>
      <c r="M6" s="1801">
        <f>SUMPRODUCT((区片价!B110:B157=I2)*(区片价!C3:F3=E2)*(区片价!C110:F157))</f>
        <v>0</v>
      </c>
      <c r="N6" s="1802">
        <f>SUMPRODUCT((因素修正幅度!B110:B157=I2)*(因素修正幅度!C3:F3=E2)*(因素修正幅度!C110:F157))</f>
        <v>0</v>
      </c>
      <c r="O6" s="3234"/>
      <c r="P6" s="3237"/>
      <c r="Q6" s="2071"/>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1"/>
      <c r="X6" s="2071"/>
      <c r="Y6" s="2071"/>
      <c r="Z6" s="2071"/>
      <c r="AA6" s="2071"/>
      <c r="AB6" s="2071"/>
      <c r="AC6" s="2073"/>
      <c r="AD6" s="1368"/>
      <c r="AE6" s="1368"/>
      <c r="AF6" s="1368"/>
      <c r="AG6" s="1368"/>
      <c r="AH6" s="1368"/>
      <c r="AI6" s="1368"/>
      <c r="AJ6" s="1369"/>
    </row>
    <row r="7" spans="1:39" ht="24">
      <c r="A7" s="3538" t="str">
        <f>IF(E2="商业",IF(C8="不临58条商业街","",2),"")</f>
        <v/>
      </c>
      <c r="B7" s="1376" t="s">
        <v>923</v>
      </c>
      <c r="C7" s="1030" t="e">
        <f>IF(C8="不临58条商业街",1,ROUND(1+(1.6*E8+1.2*E9+0.8*E10+0.4*E11)*C9,4))</f>
        <v>#DIV/0!</v>
      </c>
      <c r="D7" s="1377" t="s">
        <v>924</v>
      </c>
      <c r="E7" s="1031"/>
      <c r="F7" s="1378"/>
      <c r="G7" s="1379"/>
      <c r="H7" s="1379"/>
      <c r="I7" s="1379"/>
      <c r="J7" s="1380"/>
      <c r="K7" s="3234"/>
      <c r="L7" s="1800" t="s">
        <v>2233</v>
      </c>
      <c r="M7" s="1801">
        <f>SUMPRODUCT((区片价!B158:B205=I2)*(区片价!C3:F3=E2)*(区片价!C158:F205))</f>
        <v>0</v>
      </c>
      <c r="N7" s="1802">
        <f>SUMPRODUCT((因素修正幅度!B158:B205=I2)*(因素修正幅度!C3:F3=E2)*(因素修正幅度!C158:F205))</f>
        <v>0</v>
      </c>
      <c r="O7" s="3234"/>
      <c r="P7" s="3237"/>
      <c r="Q7" s="2071"/>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2745</v>
      </c>
      <c r="X7" s="2644">
        <f>G2</f>
        <v>0</v>
      </c>
      <c r="Y7" s="2644" t="s">
        <v>2746</v>
      </c>
      <c r="Z7" s="2645">
        <f>G3</f>
        <v>0</v>
      </c>
      <c r="AA7" s="2074"/>
      <c r="AB7" s="2074"/>
      <c r="AC7" s="2075"/>
      <c r="AD7" s="2646"/>
      <c r="AE7" s="2646"/>
      <c r="AF7" s="2646"/>
      <c r="AG7" s="2646"/>
      <c r="AH7" s="2646"/>
      <c r="AI7" s="2646"/>
      <c r="AJ7" s="2647"/>
    </row>
    <row r="8" spans="1:39" ht="15">
      <c r="A8" s="3539"/>
      <c r="B8" s="1363" t="s">
        <v>925</v>
      </c>
      <c r="C8" s="1469"/>
      <c r="D8" s="1032" t="s">
        <v>926</v>
      </c>
      <c r="E8" s="1033" t="e">
        <f>ROUND(C11/E7,4)</f>
        <v>#DIV/0!</v>
      </c>
      <c r="F8" s="1381" t="s">
        <v>927</v>
      </c>
      <c r="G8" s="1382"/>
      <c r="H8" s="1382"/>
      <c r="I8" s="1382"/>
      <c r="J8" s="1383"/>
      <c r="K8" s="3234"/>
      <c r="L8" s="1800" t="s">
        <v>2234</v>
      </c>
      <c r="M8" s="1801">
        <f>SUMPRODUCT((区片价!B206:B244=I2)*(区片价!C3:F3=E2)*(区片价!C206:F244))</f>
        <v>0</v>
      </c>
      <c r="N8" s="1802">
        <f>SUMPRODUCT((因素修正幅度!B206:B244=I2)*(因素修正幅度!C3:F3=E2)*(因素修正幅度!C206:F244))</f>
        <v>0</v>
      </c>
      <c r="O8" s="3234"/>
      <c r="P8" s="2071"/>
      <c r="Q8" s="2071"/>
      <c r="R8" s="2654">
        <v>7</v>
      </c>
      <c r="S8" s="2643"/>
      <c r="T8" s="2654" t="e">
        <f t="shared" si="0"/>
        <v>#DIV/0!</v>
      </c>
      <c r="U8" s="2643"/>
      <c r="V8" s="2654" t="e">
        <f t="shared" si="1"/>
        <v>#DIV/0!</v>
      </c>
      <c r="W8" s="3549" t="s">
        <v>2763</v>
      </c>
      <c r="X8" s="3550"/>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39"/>
      <c r="B9" s="1363" t="s">
        <v>928</v>
      </c>
      <c r="C9" s="1034">
        <f>SUMIF(修正!C59:C119,C8,修正!E59:E119)</f>
        <v>0</v>
      </c>
      <c r="D9" s="1035" t="s">
        <v>929</v>
      </c>
      <c r="E9" s="1035" t="e">
        <f>ROUND(C11/E7,4)</f>
        <v>#DIV/0!</v>
      </c>
      <c r="F9" s="1381" t="s">
        <v>930</v>
      </c>
      <c r="G9" s="1382"/>
      <c r="H9" s="1382"/>
      <c r="I9" s="1382"/>
      <c r="J9" s="1383"/>
      <c r="K9" s="3234"/>
      <c r="L9" s="1800" t="s">
        <v>2235</v>
      </c>
      <c r="M9" s="1801">
        <f>SUMPRODUCT((区片价!B245:B289=I2)*(区片价!C3:F3=E2)*(区片价!C245:F289))</f>
        <v>0</v>
      </c>
      <c r="N9" s="1802">
        <f>SUMPRODUCT((因素修正幅度!B245:B289=I2)*(因素修正幅度!C3:F3=E2)*(因素修正幅度!C245:F289))</f>
        <v>0</v>
      </c>
      <c r="O9" s="3234"/>
      <c r="P9" s="2071"/>
      <c r="Q9" s="2071"/>
      <c r="R9" s="2654">
        <v>8</v>
      </c>
      <c r="S9" s="2643"/>
      <c r="T9" s="2654" t="e">
        <f t="shared" si="0"/>
        <v>#DIV/0!</v>
      </c>
      <c r="U9" s="2643"/>
      <c r="V9" s="2654" t="e">
        <f t="shared" si="1"/>
        <v>#DIV/0!</v>
      </c>
      <c r="W9" s="3548"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9"/>
      <c r="B10" s="1363" t="s">
        <v>931</v>
      </c>
      <c r="C10" s="1035">
        <f>SUMIF(修正!C59:C119,C8,修正!F59:F119)</f>
        <v>0</v>
      </c>
      <c r="D10" s="1035" t="s">
        <v>932</v>
      </c>
      <c r="E10" s="1035" t="e">
        <f>ROUND(C11/E7,4)</f>
        <v>#DIV/0!</v>
      </c>
      <c r="F10" s="1381" t="s">
        <v>933</v>
      </c>
      <c r="G10" s="1382"/>
      <c r="H10" s="1382"/>
      <c r="I10" s="1382"/>
      <c r="J10" s="1383"/>
      <c r="K10" s="3234"/>
      <c r="L10" s="1800" t="s">
        <v>2236</v>
      </c>
      <c r="M10" s="1801">
        <f>SUMPRODUCT((区片价!B290:B316=I2)*(区片价!C3:F3=E2)*(区片价!C290:F316))</f>
        <v>0</v>
      </c>
      <c r="N10" s="1802">
        <f>SUMPRODUCT((因素修正幅度!B290:B316=I2)*(因素修正幅度!C3:F3=E2)*(因素修正幅度!C290:F316))</f>
        <v>0</v>
      </c>
      <c r="O10" s="3234"/>
      <c r="P10" s="2071"/>
      <c r="Q10" s="2071"/>
      <c r="R10" s="2654">
        <v>9</v>
      </c>
      <c r="S10" s="2643"/>
      <c r="T10" s="2654" t="e">
        <f t="shared" si="0"/>
        <v>#DIV/0!</v>
      </c>
      <c r="U10" s="2643"/>
      <c r="V10" s="2654" t="e">
        <f t="shared" si="1"/>
        <v>#DIV/0!</v>
      </c>
      <c r="W10" s="354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9"/>
      <c r="B11" s="1384" t="s">
        <v>934</v>
      </c>
      <c r="C11" s="1036">
        <f>C10/4</f>
        <v>0</v>
      </c>
      <c r="D11" s="1036" t="s">
        <v>935</v>
      </c>
      <c r="E11" s="1036" t="e">
        <f>ROUND(C11/E7,4)</f>
        <v>#DIV/0!</v>
      </c>
      <c r="F11" s="1385" t="s">
        <v>936</v>
      </c>
      <c r="G11" s="1386"/>
      <c r="H11" s="1386"/>
      <c r="I11" s="1386"/>
      <c r="J11" s="1387"/>
      <c r="K11" s="3234"/>
      <c r="L11" s="1800" t="s">
        <v>2237</v>
      </c>
      <c r="M11" s="1801">
        <f>SUMPRODUCT((区片价!B317:B337=I2)*(区片价!C3:F3=E2)*(区片价!C317:F337))</f>
        <v>0</v>
      </c>
      <c r="N11" s="1802">
        <f>SUMPRODUCT((因素修正幅度!B317:B337=I2)*(因素修正幅度!C3:F3=E2)*(因素修正幅度!C317:F337))</f>
        <v>0</v>
      </c>
      <c r="O11" s="3234"/>
      <c r="P11" s="2071"/>
      <c r="Q11" s="2071"/>
      <c r="R11" s="2654">
        <v>10</v>
      </c>
      <c r="S11" s="2643"/>
      <c r="T11" s="2654" t="e">
        <f t="shared" si="0"/>
        <v>#DIV/0!</v>
      </c>
      <c r="U11" s="2643"/>
      <c r="V11" s="2654" t="e">
        <f t="shared" si="1"/>
        <v>#DIV/0!</v>
      </c>
      <c r="W11" s="3548"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38" t="s">
        <v>1862</v>
      </c>
      <c r="B12" s="1388" t="s">
        <v>937</v>
      </c>
      <c r="C12" s="1030">
        <f>ROUND(C15*D15*E15*F15*G15*H15*I15*J15,4)</f>
        <v>1</v>
      </c>
      <c r="D12" s="1389" t="s">
        <v>938</v>
      </c>
      <c r="E12" s="1390"/>
      <c r="F12" s="1390"/>
      <c r="G12" s="1391"/>
      <c r="H12" s="1391"/>
      <c r="I12" s="1391"/>
      <c r="J12" s="1392"/>
      <c r="K12" s="3234"/>
      <c r="L12" s="1803" t="s">
        <v>2238</v>
      </c>
      <c r="M12" s="1804">
        <f>SUMPRODUCT((区片价!B338:B344=I2)*(区片价!C3:F3=E2)*(区片价!C338:F344))</f>
        <v>0</v>
      </c>
      <c r="N12" s="1805">
        <f>SUMPRODUCT((因素修正幅度!B338:B344=I2)*(因素修正幅度!C3:F3=E2)*(因素修正幅度!C338:F344))</f>
        <v>0</v>
      </c>
      <c r="O12" s="3234"/>
      <c r="P12" s="2071"/>
      <c r="Q12" s="2071"/>
      <c r="R12" s="2654">
        <v>11</v>
      </c>
      <c r="S12" s="2643"/>
      <c r="T12" s="2654" t="e">
        <f t="shared" si="0"/>
        <v>#DIV/0!</v>
      </c>
      <c r="U12" s="2643"/>
      <c r="V12" s="2654" t="e">
        <f t="shared" si="1"/>
        <v>#DIV/0!</v>
      </c>
      <c r="W12" s="3548"/>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0"/>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4">
        <v>12</v>
      </c>
      <c r="S13" s="2643"/>
      <c r="T13" s="2654" t="e">
        <f t="shared" si="0"/>
        <v>#DIV/0!</v>
      </c>
      <c r="U13" s="2643"/>
      <c r="V13" s="2654" t="e">
        <f t="shared" si="1"/>
        <v>#DIV/0!</v>
      </c>
      <c r="W13" s="3548"/>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40"/>
      <c r="B14" s="1400"/>
      <c r="C14" s="1401"/>
      <c r="D14" s="1402"/>
      <c r="E14" s="1402"/>
      <c r="F14" s="1403"/>
      <c r="G14" s="1404" t="s">
        <v>940</v>
      </c>
      <c r="H14" s="1405"/>
      <c r="I14" s="1406"/>
      <c r="J14" s="1407"/>
      <c r="K14" s="3235"/>
      <c r="L14" s="3235"/>
      <c r="M14" s="3235"/>
      <c r="N14" s="3235"/>
      <c r="O14" s="3235"/>
      <c r="P14" s="2071"/>
      <c r="Q14" s="2071"/>
      <c r="R14" s="2654">
        <v>13</v>
      </c>
      <c r="S14" s="2643"/>
      <c r="T14" s="2654" t="e">
        <f t="shared" si="0"/>
        <v>#DIV/0!</v>
      </c>
      <c r="U14" s="2643"/>
      <c r="V14" s="2654" t="e">
        <f t="shared" si="1"/>
        <v>#DIV/0!</v>
      </c>
      <c r="W14" s="2071"/>
      <c r="X14" s="2071"/>
      <c r="Y14" s="2071"/>
      <c r="Z14" s="2071"/>
      <c r="AA14" s="2071"/>
      <c r="AB14" s="2071"/>
      <c r="AC14" s="2072"/>
    </row>
    <row r="15" spans="1:39" ht="13.5" customHeight="1" thickBot="1">
      <c r="A15" s="3541"/>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4">
        <v>14</v>
      </c>
      <c r="S15" s="2643"/>
      <c r="T15" s="2654" t="e">
        <f t="shared" si="0"/>
        <v>#DIV/0!</v>
      </c>
      <c r="U15" s="2643"/>
      <c r="V15" s="2654" t="e">
        <f t="shared" si="1"/>
        <v>#DIV/0!</v>
      </c>
      <c r="W15" s="2071"/>
      <c r="X15" s="2071"/>
      <c r="Y15" s="2071"/>
      <c r="Z15" s="2071"/>
      <c r="AA15" s="2071"/>
      <c r="AB15" s="2071"/>
      <c r="AC15" s="2072"/>
    </row>
    <row r="16" spans="1:39" ht="24.6" customHeight="1">
      <c r="A16" s="3538" t="s">
        <v>1829</v>
      </c>
      <c r="B16" s="1376" t="s">
        <v>941</v>
      </c>
      <c r="C16" s="1039" t="e">
        <f>ROUND(IF(F17="与级别开发程度一致",0,(G17-E17)/C17),0)</f>
        <v>#DIV/0!</v>
      </c>
      <c r="D16" s="3556" t="s">
        <v>945</v>
      </c>
      <c r="E16" s="3557"/>
      <c r="F16" s="3556" t="s">
        <v>942</v>
      </c>
      <c r="G16" s="3557"/>
      <c r="H16" s="1408"/>
      <c r="I16" s="1408"/>
      <c r="J16" s="1408"/>
      <c r="K16" s="1408"/>
      <c r="L16" s="1408"/>
      <c r="M16" s="1408"/>
      <c r="N16" s="1408"/>
      <c r="O16" s="2853"/>
      <c r="P16" s="2071"/>
      <c r="Q16" s="2074"/>
      <c r="R16" s="2654">
        <v>15</v>
      </c>
      <c r="S16" s="2643"/>
      <c r="T16" s="2654" t="e">
        <f t="shared" si="0"/>
        <v>#DIV/0!</v>
      </c>
      <c r="U16" s="2643"/>
      <c r="V16" s="2654" t="e">
        <f t="shared" si="1"/>
        <v>#DIV/0!</v>
      </c>
      <c r="W16" s="2074"/>
      <c r="X16" s="2074"/>
      <c r="Y16" s="2074"/>
      <c r="Z16" s="2074"/>
      <c r="AA16" s="2074"/>
      <c r="AB16" s="2074"/>
      <c r="AC16" s="2075"/>
    </row>
    <row r="17" spans="1:40" ht="13.5" thickBot="1">
      <c r="A17" s="3542"/>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0</v>
      </c>
      <c r="D19" s="1415" t="s">
        <v>948</v>
      </c>
      <c r="E19" s="1041">
        <v>41640</v>
      </c>
      <c r="F19" s="1415" t="s">
        <v>949</v>
      </c>
      <c r="G19" s="1042">
        <f>'数据-取费表'!B2</f>
        <v>44101</v>
      </c>
      <c r="H19" s="1416" t="s">
        <v>2944</v>
      </c>
      <c r="I19" s="2503" t="str">
        <f>IF(H19="季度增幅（自定义）",SUMIF(N21:N24,E2,O21:O24),"")</f>
        <v/>
      </c>
      <c r="J19" s="1412"/>
      <c r="K19" s="3233"/>
      <c r="L19" s="2753" t="s">
        <v>2821</v>
      </c>
      <c r="M19" s="2754">
        <f>ROUND(SUMIF(地价!B2:F2,E2,地价!B31:F31),0)</f>
        <v>0</v>
      </c>
      <c r="N19" s="2505" t="s">
        <v>1667</v>
      </c>
      <c r="O19" s="2504">
        <f>ROUNDDOWN(DATEDIF(E19,G19,"M")/3,0)</f>
        <v>26</v>
      </c>
      <c r="P19" s="2075"/>
      <c r="Q19" s="2642"/>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ROUND(SUMPRODUCT((地价!A4:A31=YEAR(G19)&amp;"-"&amp;ROUNDUP(MONTH(G19)/3,0))*(地价!B2:F2=E2)*(地价!B4:F31)),0)</f>
        <v>0</v>
      </c>
      <c r="N20" s="2508" t="s">
        <v>2626</v>
      </c>
      <c r="O20" s="2506" t="s">
        <v>2625</v>
      </c>
      <c r="P20" s="2507" t="s">
        <v>2631</v>
      </c>
      <c r="Q20" s="2642"/>
      <c r="R20" s="2077"/>
      <c r="S20" s="2077"/>
      <c r="T20" s="2077"/>
      <c r="U20" s="2077"/>
      <c r="V20" s="2077"/>
      <c r="W20" s="2077"/>
      <c r="X20" s="2077"/>
      <c r="Y20" s="1413"/>
      <c r="Z20" s="1413"/>
      <c r="AA20" s="1413"/>
      <c r="AB20" s="1413"/>
      <c r="AC20" s="1413"/>
      <c r="AD20" s="1413"/>
    </row>
    <row r="21" spans="1:40" s="1370" customFormat="1" ht="14.25">
      <c r="A21" s="1571" t="s">
        <v>1828</v>
      </c>
      <c r="B21" s="1421" t="s">
        <v>2981</v>
      </c>
      <c r="C21" s="1141" t="b">
        <f>IF(B21="容积率修正",IF(G3&lt;=10,D22,J22),C23)</f>
        <v>0</v>
      </c>
      <c r="D21" s="1422"/>
      <c r="E21" s="1422"/>
      <c r="F21" s="1422"/>
      <c r="G21" s="1422"/>
      <c r="H21" s="1422"/>
      <c r="I21" s="1422"/>
      <c r="J21" s="1423"/>
      <c r="K21" s="3233"/>
      <c r="L21" s="1422"/>
      <c r="M21" s="1422"/>
      <c r="N21" s="1419" t="s">
        <v>966</v>
      </c>
      <c r="O21" s="1482"/>
      <c r="P21" s="2495">
        <f>SUMPRODUCT((地价!A3:A31=YEAR(G19)&amp;"-"&amp;ROUNDUP(MONTH(G19)/3,0))*(地价!AD2:AH2=N21)*(地价!AD3:AH31))</f>
        <v>1.2E-2</v>
      </c>
      <c r="Q21" s="2642"/>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2"/>
      <c r="M22" s="1422"/>
      <c r="N22" s="1419" t="s">
        <v>969</v>
      </c>
      <c r="O22" s="1482"/>
      <c r="P22" s="2495">
        <f>SUMPRODUCT((地价!A3:A31=YEAR(G19)&amp;"-"&amp;ROUNDUP(MONTH(G19)/3,0))*(地价!AD2:AH2=N22)*(地价!AD3:AH31))</f>
        <v>1.2E-2</v>
      </c>
      <c r="Q22" s="2642"/>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0"/>
      <c r="L23" s="1350"/>
      <c r="M23" s="1350"/>
      <c r="N23" s="1419" t="s">
        <v>914</v>
      </c>
      <c r="O23" s="1482"/>
      <c r="P23" s="2495">
        <f>SUMPRODUCT((地价!A3:A31=YEAR(G19)&amp;"-"&amp;ROUNDUP(MONTH(G19)/3,0))*(地价!AD2:AH2=N23)*(地价!AD3:AH31))</f>
        <v>1.9699999999999999E-2</v>
      </c>
      <c r="Q23" s="2642"/>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0"/>
      <c r="L24" s="1422"/>
      <c r="M24" s="1422"/>
      <c r="N24" s="1419" t="s">
        <v>972</v>
      </c>
      <c r="O24" s="2836"/>
      <c r="P24" s="2495">
        <f>SUMPRODUCT((地价!A3:A31=YEAR(G19)&amp;"-"&amp;ROUNDUP(MONTH(G19)/3,0))*(地价!AD2:AH2=N24)*(地价!AD3:AH31))</f>
        <v>1.2699999999999999E-2</v>
      </c>
      <c r="Q24" s="2642"/>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4"/>
      <c r="L25" s="2077"/>
      <c r="M25" s="2077"/>
      <c r="N25" s="2838" t="s">
        <v>2629</v>
      </c>
      <c r="O25" s="2839"/>
      <c r="P25" s="2302">
        <f>SUMPRODUCT((地价!A3:A31=YEAR(G19)&amp;"-"&amp;ROUNDUP(MONTH(G19)/3,0))*(地价!AD2:AH2=N25)*(地价!AD3:AH31))</f>
        <v>1.7899999999999999E-2</v>
      </c>
      <c r="Q25" s="2642"/>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4"/>
      <c r="L26" s="1529" t="s">
        <v>889</v>
      </c>
      <c r="M26" s="1377" t="s">
        <v>974</v>
      </c>
      <c r="N26" s="1377" t="s">
        <v>975</v>
      </c>
      <c r="O26" s="1377" t="s">
        <v>893</v>
      </c>
      <c r="P26" s="1417" t="s">
        <v>976</v>
      </c>
      <c r="Q26" s="2642"/>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4"/>
      <c r="L27" s="1409" t="s">
        <v>978</v>
      </c>
      <c r="M27" s="1034">
        <v>0.25</v>
      </c>
      <c r="N27" s="1034">
        <v>0.2</v>
      </c>
      <c r="O27" s="1034">
        <v>0.15</v>
      </c>
      <c r="P27" s="1479">
        <v>0.1</v>
      </c>
      <c r="Q27" s="2077"/>
      <c r="R27" s="2642"/>
      <c r="S27" s="2642"/>
      <c r="T27" s="2642"/>
      <c r="U27" s="2642"/>
      <c r="V27" s="2642"/>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4"/>
      <c r="L28" s="1410" t="s">
        <v>964</v>
      </c>
      <c r="M28" s="1480">
        <f ca="1">ROUND($E$20*(1+M27),3)</f>
        <v>5.3999999999999999E-2</v>
      </c>
      <c r="N28" s="1480">
        <f ca="1">ROUND($E$20*(1+N27),3)</f>
        <v>5.1999999999999998E-2</v>
      </c>
      <c r="O28" s="1480">
        <f ca="1">ROUND($E$20*(1+O27),3)</f>
        <v>0.05</v>
      </c>
      <c r="P28" s="1481">
        <f ca="1">ROUND($E$20*(1+P27),3)</f>
        <v>4.8000000000000001E-2</v>
      </c>
      <c r="Q28" s="2077"/>
      <c r="R28" s="2642"/>
      <c r="S28" s="2642"/>
      <c r="T28" s="2642"/>
      <c r="U28" s="2642"/>
      <c r="V28" s="2642"/>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1"/>
      <c r="L29" s="3241"/>
      <c r="M29" s="3241"/>
      <c r="N29" s="3241"/>
      <c r="O29" s="3241"/>
      <c r="P29" s="2071"/>
      <c r="Q29" s="2077"/>
      <c r="R29" s="2077"/>
      <c r="S29" s="2077"/>
      <c r="T29" s="2077"/>
      <c r="U29" s="2077"/>
      <c r="V29" s="2077"/>
      <c r="W29" s="2642"/>
      <c r="X29" s="2642"/>
      <c r="Y29" s="2642"/>
      <c r="Z29" s="2642"/>
      <c r="AA29" s="2642"/>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4"/>
      <c r="L30" s="3234"/>
      <c r="M30" s="3234"/>
      <c r="N30" s="3234"/>
      <c r="O30" s="3234"/>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4"/>
      <c r="L31" s="3234"/>
      <c r="M31" s="3234"/>
      <c r="N31" s="3234"/>
      <c r="O31" s="3234"/>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2"/>
      <c r="L32" s="3242"/>
      <c r="M32" s="3242"/>
      <c r="N32" s="3242"/>
      <c r="O32" s="3242"/>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5"/>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5" t="s">
        <v>2985</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6"/>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6"/>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6"/>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6"/>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7"/>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7"/>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2938</v>
      </c>
      <c r="C41" s="828" t="e">
        <f>ROUND(POWER(1+E41,H41-G41)*(POWER(1+E41,G41)-1)/(POWER(1+E41,H41)-1),4)</f>
        <v>#DIV/0!</v>
      </c>
      <c r="D41" s="372" t="s">
        <v>2936</v>
      </c>
      <c r="E41" s="2832">
        <f>G20</f>
        <v>0</v>
      </c>
      <c r="F41" s="372" t="s">
        <v>2937</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6" t="str">
        <f>估价对象房地状况!C16</f>
        <v>较差</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3" t="str">
        <f>估价对象房地状况!C18</f>
        <v>较差</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2894</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3" t="str">
        <f>估价对象房地状况!C24</f>
        <v>支路</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2893</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5" t="s">
        <v>1017</v>
      </c>
      <c r="B53" s="2264" t="str">
        <f>估价对象房地状况!C21</f>
        <v>较差</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5" t="s">
        <v>1018</v>
      </c>
      <c r="B54" s="2263" t="str">
        <f>估价对象房地状况!C22</f>
        <v>六通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6" t="s">
        <v>1019</v>
      </c>
      <c r="B55" s="2267" t="str">
        <f>估价对象房地状况!C20</f>
        <v>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6">
        <f>估价对象房地状况!C17</f>
        <v>0</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3" t="str">
        <f>估价对象房地状况!C18</f>
        <v>较差</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2895</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3" t="str">
        <f>估价对象房地状况!C24</f>
        <v>支路</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2893</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4" t="str">
        <f>估价对象房地状况!C21</f>
        <v>较差</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4" t="str">
        <f>估价对象房地状况!C22</f>
        <v>六通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6" t="s">
        <v>1019</v>
      </c>
      <c r="B66" s="2268" t="str">
        <f>估价对象房地状况!C20</f>
        <v>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6">
        <f>估价对象房地状况!C15</f>
        <v>0</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3" t="str">
        <f>估价对象房地状况!C18</f>
        <v>较差</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3" t="str">
        <f>估价对象房地状况!C24</f>
        <v>支路</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4" t="str">
        <f>估价对象房地状况!C21</f>
        <v>较差</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4" t="str">
        <f>估价对象房地状况!C22</f>
        <v>六通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2893</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6" t="str">
        <f>估价对象房地状况!C20</f>
        <v>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6" t="s">
        <v>1026</v>
      </c>
      <c r="B77" s="1765"/>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24">
      <c r="A80" s="1050" t="s">
        <v>1028</v>
      </c>
      <c r="B80" s="2263">
        <f>估价对象房地状况!G15</f>
        <v>0</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14.25">
      <c r="A81" s="1050" t="s">
        <v>1024</v>
      </c>
      <c r="B81" s="2263">
        <f>估价对象房地状况!G16</f>
        <v>0</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f>估价对象房地状况!G19</f>
        <v>0</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f>估价对象房地状况!G20</f>
        <v>0</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2893</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15" thickBot="1">
      <c r="A87" s="2296" t="s">
        <v>1029</v>
      </c>
      <c r="B87" s="2265">
        <f>估价对象房地状况!G18</f>
        <v>0</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43" t="s">
        <v>1624</v>
      </c>
      <c r="B90" s="3543"/>
      <c r="C90" s="3543"/>
      <c r="D90" s="3543"/>
      <c r="E90" s="3543"/>
      <c r="F90" s="3543"/>
      <c r="G90" s="3543"/>
      <c r="H90" s="3543"/>
      <c r="I90" s="3543"/>
      <c r="J90" s="3543"/>
      <c r="K90" s="2305"/>
      <c r="L90" s="2305"/>
      <c r="M90" s="2305"/>
      <c r="N90" s="2305"/>
    </row>
    <row r="91" spans="1:40">
      <c r="A91" s="3544" t="s">
        <v>1434</v>
      </c>
      <c r="B91" s="3544" t="s">
        <v>1625</v>
      </c>
      <c r="C91" s="1123" t="s">
        <v>1626</v>
      </c>
      <c r="D91" s="1124"/>
      <c r="E91" s="1124"/>
      <c r="F91" s="1124"/>
      <c r="G91" s="1124"/>
      <c r="H91" s="1124"/>
      <c r="I91" s="1124"/>
      <c r="J91" s="1125"/>
      <c r="K91" s="1117"/>
      <c r="L91" s="1117"/>
      <c r="M91" s="1117"/>
      <c r="N91" s="1117"/>
    </row>
    <row r="92" spans="1:40">
      <c r="A92" s="3544"/>
      <c r="B92" s="3544"/>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51"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5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5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5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5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5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5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5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51"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52"/>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52"/>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52"/>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52"/>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52"/>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52"/>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52"/>
      <c r="B108" s="355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53"/>
      <c r="B109" s="3555"/>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7" t="s">
        <v>1630</v>
      </c>
      <c r="B110" s="3537"/>
      <c r="C110" s="3537"/>
      <c r="D110" s="3537"/>
      <c r="E110" s="3537"/>
      <c r="F110" s="3537"/>
      <c r="G110" s="3537"/>
      <c r="H110" s="3537"/>
      <c r="I110" s="3537"/>
      <c r="J110" s="3537"/>
      <c r="K110" s="2303"/>
      <c r="L110" s="2303"/>
      <c r="M110" s="2303"/>
      <c r="N110" s="2303"/>
    </row>
    <row r="112" spans="1:14" ht="12.75" thickBot="1"/>
    <row r="113" spans="1:13" ht="25.5" thickBot="1">
      <c r="A113" s="1003" t="s">
        <v>887</v>
      </c>
      <c r="B113" s="2306">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4" t="s">
        <v>998</v>
      </c>
      <c r="B18" s="1137" t="s">
        <v>1437</v>
      </c>
      <c r="C18" s="1114" t="s">
        <v>1438</v>
      </c>
      <c r="D18" s="1115"/>
      <c r="E18" s="1137">
        <v>1</v>
      </c>
      <c r="F18" s="1116" t="s">
        <v>1439</v>
      </c>
      <c r="G18" s="1117"/>
      <c r="H18" s="1088"/>
      <c r="I18" s="1088"/>
    </row>
    <row r="19" spans="1:9" s="1530" customFormat="1" ht="19.5" customHeight="1">
      <c r="A19" s="3544"/>
      <c r="B19" s="3544" t="s">
        <v>1440</v>
      </c>
      <c r="C19" s="1114" t="s">
        <v>1441</v>
      </c>
      <c r="D19" s="1115"/>
      <c r="E19" s="1137">
        <v>0.9</v>
      </c>
      <c r="F19" s="1116" t="s">
        <v>1442</v>
      </c>
      <c r="G19" s="1117"/>
      <c r="H19" s="1088"/>
      <c r="I19" s="1088"/>
    </row>
    <row r="20" spans="1:9" s="1530" customFormat="1" ht="19.5" customHeight="1">
      <c r="A20" s="3544"/>
      <c r="B20" s="3544"/>
      <c r="C20" s="1114" t="s">
        <v>1443</v>
      </c>
      <c r="D20" s="1115"/>
      <c r="E20" s="1137">
        <v>1.1000000000000001</v>
      </c>
      <c r="F20" s="1116" t="s">
        <v>1444</v>
      </c>
      <c r="G20" s="1117"/>
      <c r="H20" s="1088"/>
      <c r="I20" s="1088"/>
    </row>
    <row r="21" spans="1:9" s="1530" customFormat="1" ht="19.5" customHeight="1">
      <c r="A21" s="3544"/>
      <c r="B21" s="3544"/>
      <c r="C21" s="1114" t="s">
        <v>1445</v>
      </c>
      <c r="D21" s="1115"/>
      <c r="E21" s="1137">
        <v>0.8</v>
      </c>
      <c r="F21" s="1116" t="s">
        <v>1446</v>
      </c>
      <c r="G21" s="1117"/>
      <c r="H21" s="1088"/>
      <c r="I21" s="1088"/>
    </row>
    <row r="22" spans="1:9" s="1530" customFormat="1" ht="19.5" customHeight="1">
      <c r="A22" s="3544"/>
      <c r="B22" s="3544"/>
      <c r="C22" s="1114" t="s">
        <v>1447</v>
      </c>
      <c r="D22" s="1115"/>
      <c r="E22" s="1137">
        <v>0.5</v>
      </c>
      <c r="F22" s="1116"/>
      <c r="G22" s="1117"/>
      <c r="H22" s="1088"/>
      <c r="I22" s="1088"/>
    </row>
    <row r="23" spans="1:9" s="1530" customFormat="1" ht="19.5" customHeight="1">
      <c r="A23" s="3544" t="s">
        <v>1020</v>
      </c>
      <c r="B23" s="1137" t="s">
        <v>1437</v>
      </c>
      <c r="C23" s="1114" t="s">
        <v>1448</v>
      </c>
      <c r="D23" s="1115"/>
      <c r="E23" s="1137">
        <v>1</v>
      </c>
      <c r="F23" s="1116" t="s">
        <v>1449</v>
      </c>
      <c r="G23" s="1117"/>
      <c r="H23" s="1088"/>
      <c r="I23" s="1088"/>
    </row>
    <row r="24" spans="1:9" s="1530" customFormat="1" ht="19.5" customHeight="1">
      <c r="A24" s="3544"/>
      <c r="B24" s="3544" t="s">
        <v>1440</v>
      </c>
      <c r="C24" s="1114" t="s">
        <v>1450</v>
      </c>
      <c r="D24" s="1115"/>
      <c r="E24" s="1137">
        <v>0.5</v>
      </c>
      <c r="F24" s="1116"/>
      <c r="G24" s="1117"/>
      <c r="H24" s="1088"/>
      <c r="I24" s="1088"/>
    </row>
    <row r="25" spans="1:9" s="1530" customFormat="1" ht="19.5" customHeight="1">
      <c r="A25" s="3544"/>
      <c r="B25" s="3544"/>
      <c r="C25" s="1114" t="s">
        <v>1451</v>
      </c>
      <c r="D25" s="1115"/>
      <c r="E25" s="1137">
        <v>1.1000000000000001</v>
      </c>
      <c r="F25" s="1116"/>
      <c r="G25" s="1117"/>
      <c r="H25" s="1088"/>
      <c r="I25" s="1088"/>
    </row>
    <row r="26" spans="1:9" s="1530" customFormat="1" ht="19.5" customHeight="1">
      <c r="A26" s="3544"/>
      <c r="B26" s="3544"/>
      <c r="C26" s="1114" t="s">
        <v>1452</v>
      </c>
      <c r="D26" s="1115"/>
      <c r="E26" s="1137">
        <v>1.1000000000000001</v>
      </c>
      <c r="F26" s="1116"/>
      <c r="G26" s="1117"/>
      <c r="H26" s="1088"/>
      <c r="I26" s="1088"/>
    </row>
    <row r="27" spans="1:9" s="1530" customFormat="1" ht="19.5" customHeight="1">
      <c r="A27" s="3544"/>
      <c r="B27" s="3544"/>
      <c r="C27" s="1114" t="s">
        <v>1453</v>
      </c>
      <c r="D27" s="1115"/>
      <c r="E27" s="1137">
        <v>0.9</v>
      </c>
      <c r="F27" s="1116" t="s">
        <v>1454</v>
      </c>
      <c r="G27" s="1117"/>
      <c r="H27" s="1088"/>
      <c r="I27" s="1088"/>
    </row>
    <row r="28" spans="1:9" s="1530" customFormat="1" ht="19.5" customHeight="1">
      <c r="A28" s="3544"/>
      <c r="B28" s="3544"/>
      <c r="C28" s="1114" t="s">
        <v>1455</v>
      </c>
      <c r="D28" s="1115"/>
      <c r="E28" s="1137">
        <v>0.9</v>
      </c>
      <c r="F28" s="1116" t="s">
        <v>1456</v>
      </c>
      <c r="G28" s="1117"/>
      <c r="H28" s="1088"/>
      <c r="I28" s="1088"/>
    </row>
    <row r="29" spans="1:9" s="1530" customFormat="1" ht="19.5" customHeight="1">
      <c r="A29" s="3544"/>
      <c r="B29" s="3544"/>
      <c r="C29" s="1114" t="s">
        <v>1457</v>
      </c>
      <c r="D29" s="1115"/>
      <c r="E29" s="1137">
        <v>0.9</v>
      </c>
      <c r="F29" s="1116" t="s">
        <v>1458</v>
      </c>
      <c r="G29" s="1117"/>
      <c r="H29" s="1088"/>
      <c r="I29" s="1088"/>
    </row>
    <row r="30" spans="1:9" s="1530" customFormat="1" ht="19.5" customHeight="1">
      <c r="A30" s="3544"/>
      <c r="B30" s="3544"/>
      <c r="C30" s="1114" t="s">
        <v>1459</v>
      </c>
      <c r="D30" s="1115"/>
      <c r="E30" s="1137">
        <v>0.9</v>
      </c>
      <c r="F30" s="1116" t="s">
        <v>1460</v>
      </c>
      <c r="G30" s="1117"/>
      <c r="H30" s="1088"/>
      <c r="I30" s="1088"/>
    </row>
    <row r="31" spans="1:9" s="1530" customFormat="1" ht="19.5" customHeight="1">
      <c r="A31" s="3544"/>
      <c r="B31" s="3544"/>
      <c r="C31" s="1114" t="s">
        <v>1461</v>
      </c>
      <c r="D31" s="1115"/>
      <c r="E31" s="1137">
        <v>0.8</v>
      </c>
      <c r="F31" s="1116" t="s">
        <v>1462</v>
      </c>
      <c r="G31" s="1117"/>
      <c r="H31" s="1088"/>
      <c r="I31" s="1088"/>
    </row>
    <row r="32" spans="1:9" s="1530" customFormat="1" ht="19.5" customHeight="1">
      <c r="A32" s="3544"/>
      <c r="B32" s="3544"/>
      <c r="C32" s="1114" t="s">
        <v>1463</v>
      </c>
      <c r="D32" s="1115"/>
      <c r="E32" s="1137">
        <v>0.8</v>
      </c>
      <c r="F32" s="1116" t="s">
        <v>1464</v>
      </c>
      <c r="G32" s="1117"/>
      <c r="H32" s="1088"/>
      <c r="I32" s="1088"/>
    </row>
    <row r="33" spans="1:9" s="1530" customFormat="1" ht="19.5" customHeight="1">
      <c r="A33" s="3544" t="s">
        <v>1465</v>
      </c>
      <c r="B33" s="1137" t="s">
        <v>1437</v>
      </c>
      <c r="C33" s="1114" t="s">
        <v>1466</v>
      </c>
      <c r="D33" s="1115"/>
      <c r="E33" s="1137">
        <v>1</v>
      </c>
      <c r="F33" s="1116" t="s">
        <v>1467</v>
      </c>
      <c r="G33" s="1117"/>
      <c r="H33" s="1088"/>
      <c r="I33" s="1088"/>
    </row>
    <row r="34" spans="1:9" s="1530" customFormat="1" ht="19.5" customHeight="1">
      <c r="A34" s="3544"/>
      <c r="B34" s="1137" t="s">
        <v>1440</v>
      </c>
      <c r="C34" s="1114" t="s">
        <v>1468</v>
      </c>
      <c r="D34" s="1115"/>
      <c r="E34" s="1137">
        <v>1.5</v>
      </c>
      <c r="F34" s="1116" t="s">
        <v>1469</v>
      </c>
      <c r="G34" s="1117"/>
      <c r="H34" s="1088"/>
      <c r="I34" s="1088"/>
    </row>
    <row r="35" spans="1:9" s="1530" customFormat="1" ht="19.5" customHeight="1">
      <c r="A35" s="3544" t="s">
        <v>1423</v>
      </c>
      <c r="B35" s="1137" t="s">
        <v>1437</v>
      </c>
      <c r="C35" s="1114" t="s">
        <v>1470</v>
      </c>
      <c r="D35" s="1115"/>
      <c r="E35" s="1137">
        <v>1</v>
      </c>
      <c r="F35" s="1116" t="s">
        <v>1471</v>
      </c>
      <c r="G35" s="1117"/>
      <c r="H35" s="1088"/>
      <c r="I35" s="1088"/>
    </row>
    <row r="36" spans="1:9" s="1530" customFormat="1" ht="19.5" customHeight="1">
      <c r="A36" s="3544"/>
      <c r="B36" s="3544" t="s">
        <v>1440</v>
      </c>
      <c r="C36" s="1114" t="s">
        <v>1472</v>
      </c>
      <c r="D36" s="1115"/>
      <c r="E36" s="1137">
        <v>1</v>
      </c>
      <c r="F36" s="1116" t="s">
        <v>1473</v>
      </c>
      <c r="G36" s="1117"/>
      <c r="H36" s="1088"/>
      <c r="I36" s="1088"/>
    </row>
    <row r="37" spans="1:9" s="1530" customFormat="1" ht="19.5" customHeight="1">
      <c r="A37" s="3544"/>
      <c r="B37" s="3544"/>
      <c r="C37" s="1114" t="s">
        <v>1474</v>
      </c>
      <c r="D37" s="1115"/>
      <c r="E37" s="1137">
        <v>1.5</v>
      </c>
      <c r="F37" s="1116" t="s">
        <v>1475</v>
      </c>
      <c r="G37" s="1117"/>
      <c r="H37" s="1088"/>
      <c r="I37" s="1088"/>
    </row>
    <row r="38" spans="1:9" s="1530" customFormat="1" ht="19.5" customHeight="1">
      <c r="A38" s="3544"/>
      <c r="B38" s="3544"/>
      <c r="C38" s="1114" t="s">
        <v>1476</v>
      </c>
      <c r="D38" s="1115"/>
      <c r="E38" s="1137">
        <v>1</v>
      </c>
      <c r="F38" s="1116" t="s">
        <v>1477</v>
      </c>
      <c r="G38" s="1117"/>
      <c r="H38" s="1088"/>
      <c r="I38" s="1088"/>
    </row>
    <row r="39" spans="1:9" s="1530" customFormat="1" ht="19.5" customHeight="1">
      <c r="A39" s="3544"/>
      <c r="B39" s="3544"/>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4" t="s">
        <v>1492</v>
      </c>
      <c r="C61" s="1051" t="s">
        <v>1493</v>
      </c>
      <c r="D61" s="1051" t="s">
        <v>1494</v>
      </c>
      <c r="E61" s="1122">
        <v>0.5</v>
      </c>
      <c r="F61" s="1137">
        <v>80</v>
      </c>
      <c r="H61" s="1088">
        <f>SUMIF(C59:C119,基准地价!C8,E59:E119)</f>
        <v>0</v>
      </c>
    </row>
    <row r="62" spans="1:8" s="1088" customFormat="1" ht="24">
      <c r="A62" s="1137">
        <v>2</v>
      </c>
      <c r="B62" s="3544"/>
      <c r="C62" s="1051" t="s">
        <v>1495</v>
      </c>
      <c r="D62" s="1051" t="s">
        <v>1496</v>
      </c>
      <c r="E62" s="1122">
        <v>0.5</v>
      </c>
      <c r="F62" s="1137">
        <v>80</v>
      </c>
    </row>
    <row r="63" spans="1:8" s="1088" customFormat="1" ht="36">
      <c r="A63" s="1137">
        <v>3</v>
      </c>
      <c r="B63" s="3544"/>
      <c r="C63" s="1051" t="s">
        <v>1497</v>
      </c>
      <c r="D63" s="1051" t="s">
        <v>1498</v>
      </c>
      <c r="E63" s="1122">
        <v>0.5</v>
      </c>
      <c r="F63" s="1137">
        <v>80</v>
      </c>
    </row>
    <row r="64" spans="1:8" s="1088" customFormat="1" ht="36">
      <c r="A64" s="1137">
        <v>4</v>
      </c>
      <c r="B64" s="3544"/>
      <c r="C64" s="1051" t="s">
        <v>1499</v>
      </c>
      <c r="D64" s="1051" t="s">
        <v>1500</v>
      </c>
      <c r="E64" s="1122">
        <v>0.4</v>
      </c>
      <c r="F64" s="1137">
        <v>60</v>
      </c>
    </row>
    <row r="65" spans="1:6" s="1088" customFormat="1" ht="36">
      <c r="A65" s="1137">
        <v>5</v>
      </c>
      <c r="B65" s="3544"/>
      <c r="C65" s="1051" t="s">
        <v>1501</v>
      </c>
      <c r="D65" s="1051" t="s">
        <v>1502</v>
      </c>
      <c r="E65" s="1122">
        <v>0.2</v>
      </c>
      <c r="F65" s="1137">
        <v>30</v>
      </c>
    </row>
    <row r="66" spans="1:6" s="1088" customFormat="1" ht="36">
      <c r="A66" s="1137">
        <v>6</v>
      </c>
      <c r="B66" s="3544"/>
      <c r="C66" s="1051" t="s">
        <v>1503</v>
      </c>
      <c r="D66" s="1051" t="s">
        <v>1504</v>
      </c>
      <c r="E66" s="1122">
        <v>0.3</v>
      </c>
      <c r="F66" s="1137">
        <v>50</v>
      </c>
    </row>
    <row r="67" spans="1:6" s="1088" customFormat="1" ht="36">
      <c r="A67" s="1137">
        <v>7</v>
      </c>
      <c r="B67" s="3544"/>
      <c r="C67" s="1051" t="s">
        <v>1505</v>
      </c>
      <c r="D67" s="1051" t="s">
        <v>1506</v>
      </c>
      <c r="E67" s="1122">
        <v>0.2</v>
      </c>
      <c r="F67" s="1137">
        <v>30</v>
      </c>
    </row>
    <row r="68" spans="1:6" s="1088" customFormat="1" ht="36">
      <c r="A68" s="1137">
        <v>8</v>
      </c>
      <c r="B68" s="3544"/>
      <c r="C68" s="1051" t="s">
        <v>1507</v>
      </c>
      <c r="D68" s="1051" t="s">
        <v>1508</v>
      </c>
      <c r="E68" s="1122">
        <v>0.2</v>
      </c>
      <c r="F68" s="1137">
        <v>30</v>
      </c>
    </row>
    <row r="69" spans="1:6" s="1088" customFormat="1" ht="36">
      <c r="A69" s="1137">
        <v>9</v>
      </c>
      <c r="B69" s="3544"/>
      <c r="C69" s="1051" t="s">
        <v>1509</v>
      </c>
      <c r="D69" s="1051" t="s">
        <v>1510</v>
      </c>
      <c r="E69" s="1122">
        <v>0.2</v>
      </c>
      <c r="F69" s="1137">
        <v>30</v>
      </c>
    </row>
    <row r="70" spans="1:6" s="1088" customFormat="1" ht="48">
      <c r="A70" s="1137">
        <v>10</v>
      </c>
      <c r="B70" s="3544"/>
      <c r="C70" s="1051" t="s">
        <v>1511</v>
      </c>
      <c r="D70" s="1051" t="s">
        <v>1512</v>
      </c>
      <c r="E70" s="1122">
        <v>0.2</v>
      </c>
      <c r="F70" s="1137">
        <v>30</v>
      </c>
    </row>
    <row r="71" spans="1:6" s="1088" customFormat="1" ht="48">
      <c r="A71" s="1137">
        <v>11</v>
      </c>
      <c r="B71" s="3544"/>
      <c r="C71" s="1051" t="s">
        <v>1513</v>
      </c>
      <c r="D71" s="1051" t="s">
        <v>1514</v>
      </c>
      <c r="E71" s="1122">
        <v>0.2</v>
      </c>
      <c r="F71" s="1137">
        <v>30</v>
      </c>
    </row>
    <row r="72" spans="1:6" s="1088" customFormat="1" ht="36">
      <c r="A72" s="1137">
        <v>12</v>
      </c>
      <c r="B72" s="3544"/>
      <c r="C72" s="1051" t="s">
        <v>1515</v>
      </c>
      <c r="D72" s="1051" t="s">
        <v>1516</v>
      </c>
      <c r="E72" s="1122">
        <v>0.5</v>
      </c>
      <c r="F72" s="1137">
        <v>80</v>
      </c>
    </row>
    <row r="73" spans="1:6" s="1088" customFormat="1" ht="24">
      <c r="A73" s="1137">
        <v>13</v>
      </c>
      <c r="B73" s="3544"/>
      <c r="C73" s="1051" t="s">
        <v>1517</v>
      </c>
      <c r="D73" s="1051" t="s">
        <v>1518</v>
      </c>
      <c r="E73" s="1122">
        <v>0.4</v>
      </c>
      <c r="F73" s="1137">
        <v>60</v>
      </c>
    </row>
    <row r="74" spans="1:6" s="1088" customFormat="1" ht="24">
      <c r="A74" s="1137">
        <v>14</v>
      </c>
      <c r="B74" s="3544"/>
      <c r="C74" s="1051" t="s">
        <v>1519</v>
      </c>
      <c r="D74" s="1051" t="s">
        <v>1520</v>
      </c>
      <c r="E74" s="1122">
        <v>0.2</v>
      </c>
      <c r="F74" s="1137">
        <v>30</v>
      </c>
    </row>
    <row r="75" spans="1:6" s="1088" customFormat="1" ht="24">
      <c r="A75" s="1137">
        <v>15</v>
      </c>
      <c r="B75" s="3544"/>
      <c r="C75" s="1051" t="s">
        <v>1521</v>
      </c>
      <c r="D75" s="1051" t="s">
        <v>1522</v>
      </c>
      <c r="E75" s="1122">
        <v>0.2</v>
      </c>
      <c r="F75" s="1137">
        <v>30</v>
      </c>
    </row>
    <row r="76" spans="1:6" s="1088" customFormat="1" ht="24">
      <c r="A76" s="1137">
        <v>16</v>
      </c>
      <c r="B76" s="3544" t="s">
        <v>1523</v>
      </c>
      <c r="C76" s="1051" t="s">
        <v>1524</v>
      </c>
      <c r="D76" s="1051" t="s">
        <v>1525</v>
      </c>
      <c r="E76" s="1122">
        <v>0.5</v>
      </c>
      <c r="F76" s="1137">
        <v>80</v>
      </c>
    </row>
    <row r="77" spans="1:6" s="1088" customFormat="1" ht="24">
      <c r="A77" s="1137">
        <v>17</v>
      </c>
      <c r="B77" s="3544"/>
      <c r="C77" s="1051" t="s">
        <v>1526</v>
      </c>
      <c r="D77" s="1051" t="s">
        <v>1527</v>
      </c>
      <c r="E77" s="1122">
        <v>0.5</v>
      </c>
      <c r="F77" s="1137">
        <v>80</v>
      </c>
    </row>
    <row r="78" spans="1:6" s="1088" customFormat="1" ht="24">
      <c r="A78" s="1137">
        <v>18</v>
      </c>
      <c r="B78" s="3544"/>
      <c r="C78" s="1051" t="s">
        <v>1528</v>
      </c>
      <c r="D78" s="1051" t="s">
        <v>1529</v>
      </c>
      <c r="E78" s="1122">
        <v>0.2</v>
      </c>
      <c r="F78" s="1137">
        <v>30</v>
      </c>
    </row>
    <row r="79" spans="1:6" s="1088" customFormat="1" ht="24">
      <c r="A79" s="1137">
        <v>19</v>
      </c>
      <c r="B79" s="3544"/>
      <c r="C79" s="1051" t="s">
        <v>1530</v>
      </c>
      <c r="D79" s="1051" t="s">
        <v>1531</v>
      </c>
      <c r="E79" s="1122">
        <v>0.5</v>
      </c>
      <c r="F79" s="1137">
        <v>80</v>
      </c>
    </row>
    <row r="80" spans="1:6" s="1088" customFormat="1" ht="36">
      <c r="A80" s="1137">
        <v>20</v>
      </c>
      <c r="B80" s="3544"/>
      <c r="C80" s="1051" t="s">
        <v>1532</v>
      </c>
      <c r="D80" s="1051" t="s">
        <v>1533</v>
      </c>
      <c r="E80" s="1122">
        <v>0.2</v>
      </c>
      <c r="F80" s="1137">
        <v>30</v>
      </c>
    </row>
    <row r="81" spans="1:6" s="1088" customFormat="1" ht="36">
      <c r="A81" s="1137">
        <v>21</v>
      </c>
      <c r="B81" s="3544"/>
      <c r="C81" s="1051" t="s">
        <v>1534</v>
      </c>
      <c r="D81" s="1051" t="s">
        <v>1535</v>
      </c>
      <c r="E81" s="1122">
        <v>0.2</v>
      </c>
      <c r="F81" s="1137">
        <v>30</v>
      </c>
    </row>
    <row r="82" spans="1:6" s="1088" customFormat="1" ht="48">
      <c r="A82" s="1137">
        <v>22</v>
      </c>
      <c r="B82" s="3544"/>
      <c r="C82" s="1051" t="s">
        <v>1536</v>
      </c>
      <c r="D82" s="1051" t="s">
        <v>1537</v>
      </c>
      <c r="E82" s="1122">
        <v>0.2</v>
      </c>
      <c r="F82" s="1137">
        <v>30</v>
      </c>
    </row>
    <row r="83" spans="1:6" s="1088" customFormat="1" ht="48">
      <c r="A83" s="1137">
        <v>23</v>
      </c>
      <c r="B83" s="3544"/>
      <c r="C83" s="1051" t="s">
        <v>1538</v>
      </c>
      <c r="D83" s="1051" t="s">
        <v>1539</v>
      </c>
      <c r="E83" s="1122">
        <v>0.2</v>
      </c>
      <c r="F83" s="1137">
        <v>30</v>
      </c>
    </row>
    <row r="84" spans="1:6" s="1088" customFormat="1" ht="36">
      <c r="A84" s="1137">
        <v>24</v>
      </c>
      <c r="B84" s="3544"/>
      <c r="C84" s="1051" t="s">
        <v>1540</v>
      </c>
      <c r="D84" s="1051" t="s">
        <v>1541</v>
      </c>
      <c r="E84" s="1122">
        <v>0.2</v>
      </c>
      <c r="F84" s="1137">
        <v>30</v>
      </c>
    </row>
    <row r="85" spans="1:6" s="1088" customFormat="1" ht="36">
      <c r="A85" s="1137">
        <v>25</v>
      </c>
      <c r="B85" s="3544"/>
      <c r="C85" s="1051" t="s">
        <v>1542</v>
      </c>
      <c r="D85" s="1051" t="s">
        <v>1543</v>
      </c>
      <c r="E85" s="1122">
        <v>0.5</v>
      </c>
      <c r="F85" s="1137">
        <v>80</v>
      </c>
    </row>
    <row r="86" spans="1:6" s="1088" customFormat="1" ht="36">
      <c r="A86" s="1137">
        <v>26</v>
      </c>
      <c r="B86" s="3544"/>
      <c r="C86" s="1051" t="s">
        <v>1544</v>
      </c>
      <c r="D86" s="1051" t="s">
        <v>1545</v>
      </c>
      <c r="E86" s="1122">
        <v>0.2</v>
      </c>
      <c r="F86" s="1137">
        <v>30</v>
      </c>
    </row>
    <row r="87" spans="1:6" s="1088" customFormat="1" ht="36">
      <c r="A87" s="1137">
        <v>27</v>
      </c>
      <c r="B87" s="3544"/>
      <c r="C87" s="1051" t="s">
        <v>1546</v>
      </c>
      <c r="D87" s="1051" t="s">
        <v>1547</v>
      </c>
      <c r="E87" s="1122">
        <v>0.2</v>
      </c>
      <c r="F87" s="1137">
        <v>30</v>
      </c>
    </row>
    <row r="88" spans="1:6" s="1088" customFormat="1" ht="36">
      <c r="A88" s="1137">
        <v>28</v>
      </c>
      <c r="B88" s="3544"/>
      <c r="C88" s="1051" t="s">
        <v>1548</v>
      </c>
      <c r="D88" s="1051" t="s">
        <v>1549</v>
      </c>
      <c r="E88" s="1122">
        <v>0.2</v>
      </c>
      <c r="F88" s="1137">
        <v>30</v>
      </c>
    </row>
    <row r="89" spans="1:6" s="1088" customFormat="1" ht="24">
      <c r="A89" s="1137">
        <v>29</v>
      </c>
      <c r="B89" s="3544"/>
      <c r="C89" s="1051" t="s">
        <v>1550</v>
      </c>
      <c r="D89" s="1051" t="s">
        <v>1551</v>
      </c>
      <c r="E89" s="1122">
        <v>0.2</v>
      </c>
      <c r="F89" s="1137">
        <v>30</v>
      </c>
    </row>
    <row r="90" spans="1:6" s="1088" customFormat="1" ht="24">
      <c r="A90" s="1137">
        <v>30</v>
      </c>
      <c r="B90" s="3544"/>
      <c r="C90" s="1051" t="s">
        <v>1552</v>
      </c>
      <c r="D90" s="1051" t="s">
        <v>1553</v>
      </c>
      <c r="E90" s="1122">
        <v>0.2</v>
      </c>
      <c r="F90" s="1137">
        <v>30</v>
      </c>
    </row>
    <row r="91" spans="1:6" s="1088" customFormat="1" ht="36">
      <c r="A91" s="1137">
        <v>31</v>
      </c>
      <c r="B91" s="3544"/>
      <c r="C91" s="1051" t="s">
        <v>1554</v>
      </c>
      <c r="D91" s="1051" t="s">
        <v>1555</v>
      </c>
      <c r="E91" s="1122">
        <v>0.2</v>
      </c>
      <c r="F91" s="1137">
        <v>30</v>
      </c>
    </row>
    <row r="92" spans="1:6" s="1088" customFormat="1" ht="24">
      <c r="A92" s="1137">
        <v>32</v>
      </c>
      <c r="B92" s="3544" t="s">
        <v>1556</v>
      </c>
      <c r="C92" s="1137" t="s">
        <v>1557</v>
      </c>
      <c r="D92" s="1051" t="s">
        <v>1558</v>
      </c>
      <c r="E92" s="1122">
        <v>0.2</v>
      </c>
      <c r="F92" s="1137">
        <v>30</v>
      </c>
    </row>
    <row r="93" spans="1:6" s="1088" customFormat="1" ht="36">
      <c r="A93" s="1137">
        <v>33</v>
      </c>
      <c r="B93" s="3544"/>
      <c r="C93" s="1137" t="s">
        <v>1559</v>
      </c>
      <c r="D93" s="1051" t="s">
        <v>1560</v>
      </c>
      <c r="E93" s="1122">
        <v>0.2</v>
      </c>
      <c r="F93" s="1137">
        <v>30</v>
      </c>
    </row>
    <row r="94" spans="1:6" s="1088" customFormat="1" ht="48">
      <c r="A94" s="1137">
        <v>34</v>
      </c>
      <c r="B94" s="3544"/>
      <c r="C94" s="1137" t="s">
        <v>1561</v>
      </c>
      <c r="D94" s="1051" t="s">
        <v>1562</v>
      </c>
      <c r="E94" s="1122">
        <v>0.2</v>
      </c>
      <c r="F94" s="1137">
        <v>30</v>
      </c>
    </row>
    <row r="95" spans="1:6" s="1088" customFormat="1" ht="36">
      <c r="A95" s="1137">
        <v>35</v>
      </c>
      <c r="B95" s="3544"/>
      <c r="C95" s="1137" t="s">
        <v>1563</v>
      </c>
      <c r="D95" s="1051" t="s">
        <v>1564</v>
      </c>
      <c r="E95" s="1122">
        <v>0.2</v>
      </c>
      <c r="F95" s="1137">
        <v>30</v>
      </c>
    </row>
    <row r="96" spans="1:6" s="1088" customFormat="1" ht="48">
      <c r="A96" s="1137">
        <v>36</v>
      </c>
      <c r="B96" s="3544"/>
      <c r="C96" s="1051" t="s">
        <v>1565</v>
      </c>
      <c r="D96" s="1051" t="s">
        <v>1566</v>
      </c>
      <c r="E96" s="1122">
        <v>0.2</v>
      </c>
      <c r="F96" s="1137">
        <v>30</v>
      </c>
    </row>
    <row r="97" spans="1:6" s="1088" customFormat="1" ht="36">
      <c r="A97" s="1137">
        <v>37</v>
      </c>
      <c r="B97" s="3544"/>
      <c r="C97" s="1137" t="s">
        <v>1567</v>
      </c>
      <c r="D97" s="1051" t="s">
        <v>1568</v>
      </c>
      <c r="E97" s="1122">
        <v>0.2</v>
      </c>
      <c r="F97" s="1137">
        <v>30</v>
      </c>
    </row>
    <row r="98" spans="1:6" s="1088" customFormat="1" ht="36">
      <c r="A98" s="1137">
        <v>38</v>
      </c>
      <c r="B98" s="3544"/>
      <c r="C98" s="1137" t="s">
        <v>1569</v>
      </c>
      <c r="D98" s="1051" t="s">
        <v>1570</v>
      </c>
      <c r="E98" s="1122">
        <v>0.2</v>
      </c>
      <c r="F98" s="1137">
        <v>30</v>
      </c>
    </row>
    <row r="99" spans="1:6" s="1088" customFormat="1" ht="36">
      <c r="A99" s="1137">
        <v>39</v>
      </c>
      <c r="B99" s="3544" t="s">
        <v>1571</v>
      </c>
      <c r="C99" s="1137" t="s">
        <v>1572</v>
      </c>
      <c r="D99" s="1051" t="s">
        <v>1573</v>
      </c>
      <c r="E99" s="1122">
        <v>0.3</v>
      </c>
      <c r="F99" s="1137">
        <v>50</v>
      </c>
    </row>
    <row r="100" spans="1:6" s="1088" customFormat="1" ht="24">
      <c r="A100" s="1137">
        <v>40</v>
      </c>
      <c r="B100" s="3544"/>
      <c r="C100" s="1137" t="s">
        <v>1574</v>
      </c>
      <c r="D100" s="1051" t="s">
        <v>1575</v>
      </c>
      <c r="E100" s="1122">
        <v>0.2</v>
      </c>
      <c r="F100" s="1137">
        <v>30</v>
      </c>
    </row>
    <row r="101" spans="1:6" s="1088" customFormat="1" ht="36">
      <c r="A101" s="1137">
        <v>41</v>
      </c>
      <c r="B101" s="3544"/>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4" t="s">
        <v>1586</v>
      </c>
      <c r="C105" s="1137" t="s">
        <v>1587</v>
      </c>
      <c r="D105" s="1051" t="s">
        <v>1588</v>
      </c>
      <c r="E105" s="1122">
        <v>0.2</v>
      </c>
      <c r="F105" s="1137">
        <v>30</v>
      </c>
    </row>
    <row r="106" spans="1:6" s="1088" customFormat="1" ht="36">
      <c r="A106" s="1137">
        <v>46</v>
      </c>
      <c r="B106" s="3544"/>
      <c r="C106" s="1137" t="s">
        <v>1589</v>
      </c>
      <c r="D106" s="1051" t="s">
        <v>1590</v>
      </c>
      <c r="E106" s="1122">
        <v>0.2</v>
      </c>
      <c r="F106" s="1137">
        <v>30</v>
      </c>
    </row>
    <row r="107" spans="1:6" s="1088" customFormat="1" ht="36">
      <c r="A107" s="1137">
        <v>47</v>
      </c>
      <c r="B107" s="3544" t="s">
        <v>1591</v>
      </c>
      <c r="C107" s="1137" t="s">
        <v>1592</v>
      </c>
      <c r="D107" s="1051" t="s">
        <v>1593</v>
      </c>
      <c r="E107" s="1122">
        <v>0.3</v>
      </c>
      <c r="F107" s="1137">
        <v>50</v>
      </c>
    </row>
    <row r="108" spans="1:6" s="1088" customFormat="1" ht="36">
      <c r="A108" s="1137">
        <v>48</v>
      </c>
      <c r="B108" s="3544"/>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4" t="s">
        <v>1602</v>
      </c>
      <c r="C111" s="1137" t="s">
        <v>1603</v>
      </c>
      <c r="D111" s="1051" t="s">
        <v>1604</v>
      </c>
      <c r="E111" s="1122">
        <v>0.2</v>
      </c>
      <c r="F111" s="1137">
        <v>30</v>
      </c>
    </row>
    <row r="112" spans="1:6" s="1088" customFormat="1" ht="24">
      <c r="A112" s="1137">
        <v>52</v>
      </c>
      <c r="B112" s="3544"/>
      <c r="C112" s="1137" t="s">
        <v>1605</v>
      </c>
      <c r="D112" s="1051" t="s">
        <v>1606</v>
      </c>
      <c r="E112" s="1122">
        <v>0.2</v>
      </c>
      <c r="F112" s="1137">
        <v>30</v>
      </c>
    </row>
    <row r="113" spans="1:14" s="1088" customFormat="1" ht="24">
      <c r="A113" s="1137">
        <v>53</v>
      </c>
      <c r="B113" s="3544"/>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4" t="s">
        <v>1615</v>
      </c>
      <c r="C116" s="1137" t="s">
        <v>1616</v>
      </c>
      <c r="D116" s="1051" t="s">
        <v>1617</v>
      </c>
      <c r="E116" s="1122">
        <v>0.2</v>
      </c>
      <c r="F116" s="1137">
        <v>30</v>
      </c>
    </row>
    <row r="117" spans="1:14" ht="36">
      <c r="A117" s="1137">
        <v>57</v>
      </c>
      <c r="B117" s="3544"/>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3" t="s">
        <v>1624</v>
      </c>
      <c r="B121" s="3543"/>
      <c r="C121" s="3543"/>
      <c r="D121" s="3543"/>
      <c r="E121" s="3543"/>
      <c r="F121" s="3543"/>
      <c r="G121" s="3543"/>
      <c r="H121" s="3543"/>
      <c r="I121" s="3543"/>
      <c r="J121" s="354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8" t="s">
        <v>1030</v>
      </c>
      <c r="B1" s="3558"/>
      <c r="C1" s="3558"/>
      <c r="D1" s="3558"/>
      <c r="E1" s="3558"/>
      <c r="F1" s="3558"/>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9" t="s">
        <v>1043</v>
      </c>
      <c r="B2" s="3559"/>
      <c r="C2" s="3559"/>
      <c r="D2" s="3559"/>
      <c r="E2" s="3559"/>
      <c r="F2" s="3559"/>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60"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61"/>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62" t="s">
        <v>2068</v>
      </c>
      <c r="B1" s="3562"/>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4"/>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5" t="s">
        <v>2557</v>
      </c>
      <c r="C1" s="3565"/>
      <c r="D1" s="3565"/>
      <c r="E1" s="3565"/>
      <c r="F1" s="3565"/>
      <c r="G1" s="3564" t="s">
        <v>2558</v>
      </c>
      <c r="H1" s="3564"/>
      <c r="I1" s="3564"/>
      <c r="J1" s="3564"/>
      <c r="K1" s="3564"/>
      <c r="L1" s="3564"/>
      <c r="N1" s="3564" t="s">
        <v>2559</v>
      </c>
      <c r="O1" s="3564"/>
      <c r="P1" s="3564"/>
      <c r="Q1" s="3564"/>
      <c r="S1" s="3564" t="s">
        <v>2560</v>
      </c>
      <c r="T1" s="3564"/>
      <c r="U1" s="3564"/>
      <c r="V1" s="3564"/>
      <c r="X1" s="3563" t="s">
        <v>2620</v>
      </c>
      <c r="Y1" s="3564"/>
      <c r="Z1" s="3564"/>
      <c r="AA1" s="3564"/>
      <c r="AB1" s="3564"/>
      <c r="AD1" s="3563" t="s">
        <v>2624</v>
      </c>
      <c r="AE1" s="3564"/>
      <c r="AF1" s="3564"/>
      <c r="AG1" s="3564"/>
      <c r="AH1" s="3564"/>
    </row>
    <row r="2" spans="1:34" s="2865" customFormat="1" ht="14.25" thickBot="1">
      <c r="B2" s="2866" t="s">
        <v>2561</v>
      </c>
      <c r="C2" s="2866" t="s">
        <v>2622</v>
      </c>
      <c r="D2" s="2867" t="s">
        <v>1635</v>
      </c>
      <c r="E2" s="2867" t="s">
        <v>1938</v>
      </c>
      <c r="F2" s="2866" t="s">
        <v>2623</v>
      </c>
      <c r="G2" s="2868"/>
      <c r="I2" s="2866" t="s">
        <v>2911</v>
      </c>
      <c r="J2" s="2867" t="s">
        <v>2913</v>
      </c>
      <c r="K2" s="2867" t="s">
        <v>2914</v>
      </c>
      <c r="L2" s="2866" t="s">
        <v>2915</v>
      </c>
      <c r="N2" s="2866" t="s">
        <v>2561</v>
      </c>
      <c r="O2" s="2867" t="s">
        <v>2912</v>
      </c>
      <c r="P2" s="2867" t="s">
        <v>1938</v>
      </c>
      <c r="Q2" s="2866" t="s">
        <v>2623</v>
      </c>
      <c r="S2" s="2866" t="s">
        <v>2561</v>
      </c>
      <c r="T2" s="2867" t="s">
        <v>2912</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2922</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2953</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2923</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2952</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2950</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2947</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2946</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2943</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2942</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2939</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67">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2932</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67"/>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2933</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67"/>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2929</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73"/>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2921</v>
      </c>
      <c r="B16" s="2915">
        <v>439</v>
      </c>
      <c r="C16" s="2915">
        <v>327</v>
      </c>
      <c r="D16" s="2915">
        <f t="shared" si="109"/>
        <v>327</v>
      </c>
      <c r="E16" s="2915">
        <v>627</v>
      </c>
      <c r="F16" s="2916">
        <v>283</v>
      </c>
      <c r="G16" s="3572">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2924</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67"/>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21"/>
        <v>419.31181600000002</v>
      </c>
      <c r="C18" s="2899">
        <f t="shared" si="121"/>
        <v>313.95436800000004</v>
      </c>
      <c r="D18" s="2899">
        <f t="shared" si="109"/>
        <v>313.95436800000004</v>
      </c>
      <c r="E18" s="2899">
        <f t="shared" si="122"/>
        <v>596.63028431999999</v>
      </c>
      <c r="F18" s="2899">
        <f t="shared" si="122"/>
        <v>274.74220703999998</v>
      </c>
      <c r="G18" s="3567"/>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21"/>
        <v>405.524</v>
      </c>
      <c r="C19" s="2899">
        <f t="shared" si="121"/>
        <v>307.79840000000002</v>
      </c>
      <c r="D19" s="2899">
        <f t="shared" si="109"/>
        <v>307.79840000000002</v>
      </c>
      <c r="E19" s="2899">
        <f t="shared" si="122"/>
        <v>574.67759999999998</v>
      </c>
      <c r="F19" s="2899">
        <f t="shared" si="122"/>
        <v>270.20280000000002</v>
      </c>
      <c r="G19" s="3573"/>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9"/>
        <v>302</v>
      </c>
      <c r="E20" s="2920">
        <v>553</v>
      </c>
      <c r="F20" s="2921">
        <v>266</v>
      </c>
      <c r="G20" s="3572">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67"/>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30"/>
        <v>360.06949782209392</v>
      </c>
      <c r="C22" s="2899">
        <f t="shared" si="130"/>
        <v>289.84672674747821</v>
      </c>
      <c r="D22" s="2899">
        <f t="shared" si="131"/>
        <v>289.84672674747821</v>
      </c>
      <c r="E22" s="2899">
        <f t="shared" si="132"/>
        <v>501.06543001181495</v>
      </c>
      <c r="F22" s="2899">
        <f t="shared" si="132"/>
        <v>256.82882500744967</v>
      </c>
      <c r="G22" s="3567"/>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30"/>
        <v>346.720748986128</v>
      </c>
      <c r="C23" s="2899">
        <f t="shared" si="130"/>
        <v>284.30282172386285</v>
      </c>
      <c r="D23" s="2899">
        <f t="shared" si="131"/>
        <v>284.30282172386285</v>
      </c>
      <c r="E23" s="2899">
        <f t="shared" si="132"/>
        <v>479.58023546306947</v>
      </c>
      <c r="F23" s="2899">
        <f t="shared" si="132"/>
        <v>253.25788877571213</v>
      </c>
      <c r="G23" s="3568"/>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31"/>
        <v>277</v>
      </c>
      <c r="E24" s="2920">
        <v>459</v>
      </c>
      <c r="F24" s="2921">
        <v>249</v>
      </c>
      <c r="G24" s="3566">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67"/>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34"/>
        <v>322.34053690220776</v>
      </c>
      <c r="C26" s="2899">
        <f t="shared" si="134"/>
        <v>271.46160770422546</v>
      </c>
      <c r="D26" s="2899">
        <f t="shared" si="131"/>
        <v>271.46160770422546</v>
      </c>
      <c r="E26" s="2899">
        <f t="shared" si="135"/>
        <v>442.69434542172456</v>
      </c>
      <c r="F26" s="2899">
        <f t="shared" si="135"/>
        <v>241.34030753190925</v>
      </c>
      <c r="G26" s="3567"/>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34"/>
        <v>319.87748030386797</v>
      </c>
      <c r="C27" s="2899">
        <f t="shared" si="134"/>
        <v>269.60135833173649</v>
      </c>
      <c r="D27" s="2899">
        <f t="shared" si="131"/>
        <v>269.60135833173649</v>
      </c>
      <c r="E27" s="2899">
        <f t="shared" si="135"/>
        <v>439.18089823583784</v>
      </c>
      <c r="F27" s="2899">
        <f t="shared" si="135"/>
        <v>239.23503918706311</v>
      </c>
      <c r="G27" s="3568"/>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31"/>
        <v>268</v>
      </c>
      <c r="E28" s="2927">
        <v>437</v>
      </c>
      <c r="F28" s="2928">
        <v>237</v>
      </c>
      <c r="G28" s="3566">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67"/>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36"/>
        <v>314.72141172386546</v>
      </c>
      <c r="C30" s="2899">
        <f t="shared" si="136"/>
        <v>263.03901319069001</v>
      </c>
      <c r="D30" s="2899">
        <f t="shared" si="131"/>
        <v>263.03901319069001</v>
      </c>
      <c r="E30" s="2899">
        <f t="shared" si="137"/>
        <v>433.65745506782821</v>
      </c>
      <c r="F30" s="2899">
        <f t="shared" si="137"/>
        <v>233.23005080045735</v>
      </c>
      <c r="G30" s="3567"/>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951</v>
      </c>
      <c r="B31" s="2932">
        <f t="shared" si="136"/>
        <v>307.34512863658733</v>
      </c>
      <c r="C31" s="2932">
        <f t="shared" si="136"/>
        <v>257.80556031626975</v>
      </c>
      <c r="D31" s="2932">
        <f t="shared" si="131"/>
        <v>257.80556031626975</v>
      </c>
      <c r="E31" s="2932">
        <f t="shared" si="137"/>
        <v>422.70928459677179</v>
      </c>
      <c r="F31" s="2932">
        <f t="shared" si="137"/>
        <v>229.73803270336617</v>
      </c>
      <c r="G31" s="3568"/>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31"/>
        <v>252</v>
      </c>
      <c r="E32" s="2920">
        <v>409</v>
      </c>
      <c r="F32" s="2921">
        <v>227</v>
      </c>
      <c r="G32" s="3569">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2565</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70"/>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2566</v>
      </c>
      <c r="B34" s="2899">
        <f t="shared" si="140"/>
        <v>288.2649053828776</v>
      </c>
      <c r="C34" s="2899">
        <f t="shared" si="140"/>
        <v>243.64564425013293</v>
      </c>
      <c r="D34" s="2899">
        <f t="shared" si="131"/>
        <v>243.64564425013293</v>
      </c>
      <c r="E34" s="2899">
        <f t="shared" si="141"/>
        <v>393.31080825986544</v>
      </c>
      <c r="F34" s="2899">
        <f t="shared" si="141"/>
        <v>223.07903790551154</v>
      </c>
      <c r="G34" s="3570"/>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2567</v>
      </c>
      <c r="B35" s="2899">
        <f t="shared" si="140"/>
        <v>282.50186729015837</v>
      </c>
      <c r="C35" s="2899">
        <f t="shared" si="140"/>
        <v>238.09796174155468</v>
      </c>
      <c r="D35" s="2899">
        <f t="shared" si="131"/>
        <v>238.09796174155468</v>
      </c>
      <c r="E35" s="2899">
        <f t="shared" si="141"/>
        <v>385.33438646014054</v>
      </c>
      <c r="F35" s="2899">
        <f t="shared" si="141"/>
        <v>221.55034055567739</v>
      </c>
      <c r="G35" s="3571"/>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31"/>
        <v>234</v>
      </c>
      <c r="E36" s="2948">
        <v>379</v>
      </c>
      <c r="F36" s="2949">
        <v>220</v>
      </c>
      <c r="G36" s="3566">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31"/>
        <v>232.41954707985698</v>
      </c>
      <c r="E37" s="2899">
        <f t="shared" ref="E37:F39" si="142">E36/(1+P36)</f>
        <v>375.32184591008121</v>
      </c>
      <c r="F37" s="2899">
        <f t="shared" si="142"/>
        <v>218.03766105054513</v>
      </c>
      <c r="G37" s="3567"/>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2570</v>
      </c>
      <c r="B38" s="2899">
        <f>B37/(1+N37)</f>
        <v>275.24529281292263</v>
      </c>
      <c r="C38" s="2899">
        <f>C37/(1+O37)</f>
        <v>231.74747938962707</v>
      </c>
      <c r="D38" s="2899">
        <f t="shared" si="131"/>
        <v>231.74747938962707</v>
      </c>
      <c r="E38" s="2899">
        <f t="shared" si="142"/>
        <v>375.35938184826603</v>
      </c>
      <c r="F38" s="2899">
        <f t="shared" si="142"/>
        <v>216.78033510692495</v>
      </c>
      <c r="G38" s="3567"/>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2571</v>
      </c>
      <c r="B39" s="2899">
        <f>B38/(1+N38)</f>
        <v>275.19025476197027</v>
      </c>
      <c r="C39" s="2950">
        <v>232</v>
      </c>
      <c r="D39" s="2950">
        <f t="shared" si="131"/>
        <v>232</v>
      </c>
      <c r="E39" s="2899">
        <f t="shared" si="142"/>
        <v>375.65990977608692</v>
      </c>
      <c r="F39" s="2899">
        <f t="shared" si="142"/>
        <v>214.12518283971252</v>
      </c>
      <c r="G39" s="3568"/>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31"/>
        <v>232</v>
      </c>
      <c r="E40" s="2920">
        <v>376</v>
      </c>
      <c r="F40" s="2921">
        <v>213</v>
      </c>
      <c r="G40" s="3566">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2573</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67">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2574</v>
      </c>
      <c r="B42" s="2899">
        <f t="shared" si="143"/>
        <v>275.19335084830601</v>
      </c>
      <c r="C42" s="2899">
        <f t="shared" si="143"/>
        <v>230.18088050139744</v>
      </c>
      <c r="D42" s="2899">
        <f t="shared" si="131"/>
        <v>230.18088050139744</v>
      </c>
      <c r="E42" s="2899">
        <f t="shared" si="144"/>
        <v>377.58482925212331</v>
      </c>
      <c r="F42" s="2899">
        <f t="shared" si="144"/>
        <v>210.90687997847917</v>
      </c>
      <c r="G42" s="3567">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2575</v>
      </c>
      <c r="B43" s="2899">
        <f t="shared" si="143"/>
        <v>276.29854502841971</v>
      </c>
      <c r="C43" s="2899">
        <f t="shared" si="143"/>
        <v>229.79023709833027</v>
      </c>
      <c r="D43" s="2899">
        <f t="shared" si="131"/>
        <v>229.79023709833027</v>
      </c>
      <c r="E43" s="2899">
        <f t="shared" si="144"/>
        <v>379.78759731655936</v>
      </c>
      <c r="F43" s="2899">
        <f t="shared" si="144"/>
        <v>211.32953905659235</v>
      </c>
      <c r="G43" s="3568">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31"/>
        <v>221</v>
      </c>
      <c r="E44" s="2920">
        <v>373</v>
      </c>
      <c r="F44" s="2921">
        <v>196</v>
      </c>
      <c r="G44" s="3566">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2577</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67">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2578</v>
      </c>
      <c r="B46" s="2899">
        <f t="shared" si="145"/>
        <v>242.95398227588385</v>
      </c>
      <c r="C46" s="2899">
        <f t="shared" si="145"/>
        <v>199.59137053614126</v>
      </c>
      <c r="D46" s="2899">
        <f t="shared" si="131"/>
        <v>199.59137053614126</v>
      </c>
      <c r="E46" s="2899">
        <f t="shared" si="146"/>
        <v>335.92189522342125</v>
      </c>
      <c r="F46" s="2899">
        <f t="shared" si="146"/>
        <v>183.10139991109489</v>
      </c>
      <c r="G46" s="3567">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2579</v>
      </c>
      <c r="B47" s="2899">
        <f t="shared" si="145"/>
        <v>232.06990378821649</v>
      </c>
      <c r="C47" s="2899">
        <f t="shared" si="145"/>
        <v>192.74878854286936</v>
      </c>
      <c r="D47" s="2899">
        <f t="shared" si="131"/>
        <v>192.74878854286936</v>
      </c>
      <c r="E47" s="2899">
        <f t="shared" si="146"/>
        <v>319.71247284992984</v>
      </c>
      <c r="F47" s="2899">
        <f t="shared" si="146"/>
        <v>175.67053622862409</v>
      </c>
      <c r="G47" s="3568">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31"/>
        <v>187</v>
      </c>
      <c r="E48" s="2920">
        <v>301</v>
      </c>
      <c r="F48" s="2921">
        <v>168</v>
      </c>
      <c r="G48" s="3566">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2581</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67">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2582</v>
      </c>
      <c r="B50" s="2899">
        <f t="shared" si="147"/>
        <v>210.630522469011</v>
      </c>
      <c r="C50" s="2899">
        <f t="shared" si="147"/>
        <v>181.69567812247232</v>
      </c>
      <c r="D50" s="2899">
        <f t="shared" si="131"/>
        <v>181.69567812247232</v>
      </c>
      <c r="E50" s="2899">
        <f t="shared" si="148"/>
        <v>286.13517466736738</v>
      </c>
      <c r="F50" s="2899">
        <f t="shared" si="148"/>
        <v>165.47535084591149</v>
      </c>
      <c r="G50" s="3567">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2583</v>
      </c>
      <c r="B51" s="2899">
        <f t="shared" si="147"/>
        <v>208.83454537875372</v>
      </c>
      <c r="C51" s="2899">
        <f t="shared" si="147"/>
        <v>183.77230517090351</v>
      </c>
      <c r="D51" s="2899">
        <f t="shared" si="131"/>
        <v>183.77230517090351</v>
      </c>
      <c r="E51" s="2899">
        <f t="shared" si="148"/>
        <v>281.10342338870947</v>
      </c>
      <c r="F51" s="2899">
        <f t="shared" si="148"/>
        <v>168.97309388942256</v>
      </c>
      <c r="G51" s="3568">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31"/>
        <v>188</v>
      </c>
      <c r="E52" s="2948">
        <v>289</v>
      </c>
      <c r="F52" s="2949">
        <v>166</v>
      </c>
      <c r="G52" s="3566">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2585</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67">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2586</v>
      </c>
      <c r="B54" s="2899">
        <f t="shared" si="149"/>
        <v>206.31694671589116</v>
      </c>
      <c r="C54" s="2899">
        <f t="shared" si="149"/>
        <v>183.61041121036101</v>
      </c>
      <c r="D54" s="2899">
        <f t="shared" si="131"/>
        <v>183.61041121036101</v>
      </c>
      <c r="E54" s="2899">
        <f t="shared" si="150"/>
        <v>276.66850301795557</v>
      </c>
      <c r="F54" s="2899">
        <f t="shared" si="150"/>
        <v>165.1360938278614</v>
      </c>
      <c r="G54" s="3567">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2587</v>
      </c>
      <c r="B55" s="2951">
        <f t="shared" si="149"/>
        <v>196.62341248059772</v>
      </c>
      <c r="C55" s="2951">
        <f t="shared" si="149"/>
        <v>170.99125648199012</v>
      </c>
      <c r="D55" s="2951">
        <f t="shared" si="131"/>
        <v>170.99125648199012</v>
      </c>
      <c r="E55" s="2951">
        <f t="shared" si="150"/>
        <v>266.07857570490052</v>
      </c>
      <c r="F55" s="2951">
        <f t="shared" si="150"/>
        <v>154.53499328828505</v>
      </c>
      <c r="G55" s="3568">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31"/>
        <v>165</v>
      </c>
      <c r="E56" s="2920">
        <v>254</v>
      </c>
      <c r="F56" s="2921">
        <v>148</v>
      </c>
      <c r="G56" s="3566">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2589</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67">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2590</v>
      </c>
      <c r="B58" s="2899">
        <f t="shared" si="153"/>
        <v>168.82017748715555</v>
      </c>
      <c r="C58" s="2899">
        <f t="shared" si="153"/>
        <v>148.06267029972753</v>
      </c>
      <c r="D58" s="2899">
        <f t="shared" si="131"/>
        <v>148.06267029972753</v>
      </c>
      <c r="E58" s="2899">
        <f t="shared" si="154"/>
        <v>216.46288379323747</v>
      </c>
      <c r="F58" s="2899">
        <f t="shared" si="154"/>
        <v>134.23529411764704</v>
      </c>
      <c r="G58" s="3567">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2591</v>
      </c>
      <c r="B59" s="2899">
        <f t="shared" si="153"/>
        <v>163.84913591779542</v>
      </c>
      <c r="C59" s="2899">
        <f t="shared" si="153"/>
        <v>145.0283378746594</v>
      </c>
      <c r="D59" s="2899">
        <f t="shared" si="131"/>
        <v>145.0283378746594</v>
      </c>
      <c r="E59" s="2899">
        <f t="shared" si="154"/>
        <v>204.95180722891567</v>
      </c>
      <c r="F59" s="2899">
        <f t="shared" si="154"/>
        <v>125.95920303605313</v>
      </c>
      <c r="G59" s="3568">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31"/>
        <v>141</v>
      </c>
      <c r="E60" s="2927">
        <v>195</v>
      </c>
      <c r="F60" s="2928">
        <v>122</v>
      </c>
      <c r="G60" s="3566">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2593</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67">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2594</v>
      </c>
      <c r="B62" s="2899">
        <f t="shared" si="157"/>
        <v>146.57412060301507</v>
      </c>
      <c r="C62" s="2899">
        <f t="shared" si="157"/>
        <v>136.46831955922866</v>
      </c>
      <c r="D62" s="2899">
        <f t="shared" si="131"/>
        <v>136.46831955922866</v>
      </c>
      <c r="E62" s="2899">
        <f t="shared" si="158"/>
        <v>166.73864894795128</v>
      </c>
      <c r="F62" s="2899">
        <f t="shared" si="158"/>
        <v>115.05882352941177</v>
      </c>
      <c r="G62" s="3567">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2595</v>
      </c>
      <c r="B63" s="2899">
        <f t="shared" si="157"/>
        <v>144.04145728643215</v>
      </c>
      <c r="C63" s="2899">
        <f t="shared" si="157"/>
        <v>136.12396694214877</v>
      </c>
      <c r="D63" s="2899">
        <f t="shared" si="131"/>
        <v>136.12396694214877</v>
      </c>
      <c r="E63" s="2899">
        <f t="shared" si="158"/>
        <v>158.32225913621264</v>
      </c>
      <c r="F63" s="2899">
        <f t="shared" si="158"/>
        <v>114.04278074866311</v>
      </c>
      <c r="G63" s="3568">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31"/>
        <v>131</v>
      </c>
      <c r="E64" s="2927">
        <v>155</v>
      </c>
      <c r="F64" s="2928">
        <v>114</v>
      </c>
      <c r="G64" s="3566">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2597</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67">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2598</v>
      </c>
      <c r="B66" s="2899">
        <f t="shared" si="161"/>
        <v>124.29032258064517</v>
      </c>
      <c r="C66" s="2899">
        <f t="shared" si="161"/>
        <v>123.8968609865471</v>
      </c>
      <c r="D66" s="2899">
        <f t="shared" si="131"/>
        <v>123.8968609865471</v>
      </c>
      <c r="E66" s="2899">
        <f t="shared" si="162"/>
        <v>138.00507614213197</v>
      </c>
      <c r="F66" s="2899">
        <f t="shared" si="162"/>
        <v>107.96106557377048</v>
      </c>
      <c r="G66" s="3567">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2599</v>
      </c>
      <c r="B67" s="2899">
        <f t="shared" si="161"/>
        <v>122.57204301075269</v>
      </c>
      <c r="C67" s="2899">
        <f t="shared" si="161"/>
        <v>123.4932735426009</v>
      </c>
      <c r="D67" s="2899">
        <f t="shared" si="131"/>
        <v>123.4932735426009</v>
      </c>
      <c r="E67" s="2899">
        <f t="shared" si="162"/>
        <v>129.82233502538071</v>
      </c>
      <c r="F67" s="2899">
        <f t="shared" si="162"/>
        <v>107.39446721311475</v>
      </c>
      <c r="G67" s="3568">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31"/>
        <v>122</v>
      </c>
      <c r="E68" s="2948">
        <v>124</v>
      </c>
      <c r="F68" s="2949">
        <v>107</v>
      </c>
      <c r="G68" s="3566">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2601</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67">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2602</v>
      </c>
      <c r="B70" s="2899">
        <f t="shared" si="165"/>
        <v>116.99099099099099</v>
      </c>
      <c r="C70" s="2899">
        <f t="shared" si="165"/>
        <v>118.84848484848486</v>
      </c>
      <c r="D70" s="2899">
        <f t="shared" si="131"/>
        <v>118.84848484848486</v>
      </c>
      <c r="E70" s="2899">
        <f t="shared" si="166"/>
        <v>117.60960960960961</v>
      </c>
      <c r="F70" s="2899">
        <f t="shared" si="166"/>
        <v>104</v>
      </c>
      <c r="G70" s="3567">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2603</v>
      </c>
      <c r="B71" s="2951">
        <f t="shared" si="165"/>
        <v>112.48648648648648</v>
      </c>
      <c r="C71" s="2951">
        <f t="shared" si="165"/>
        <v>115.21212121212122</v>
      </c>
      <c r="D71" s="2951">
        <f t="shared" si="131"/>
        <v>115.21212121212122</v>
      </c>
      <c r="E71" s="2951">
        <f t="shared" si="166"/>
        <v>110.4024024024024</v>
      </c>
      <c r="F71" s="2951">
        <f t="shared" si="166"/>
        <v>104</v>
      </c>
      <c r="G71" s="3568">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31"/>
        <v>114</v>
      </c>
      <c r="E72" s="2968">
        <v>108</v>
      </c>
      <c r="F72" s="2969">
        <v>104</v>
      </c>
      <c r="G72" s="3566">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67">B74+(B$72-B$76)/4</f>
        <v>109.75</v>
      </c>
      <c r="C73" s="2972">
        <f t="shared" si="167"/>
        <v>112.25</v>
      </c>
      <c r="D73" s="2972">
        <f t="shared" si="131"/>
        <v>112.25</v>
      </c>
      <c r="E73" s="2972">
        <f t="shared" ref="E73:F75" si="168">E74+(E$72-E$76)/4</f>
        <v>107.25</v>
      </c>
      <c r="F73" s="2972">
        <f t="shared" si="168"/>
        <v>103.5</v>
      </c>
      <c r="G73" s="3567">
        <v>2003</v>
      </c>
      <c r="H73" s="2925">
        <v>3</v>
      </c>
      <c r="I73" s="2970"/>
      <c r="J73" s="2970"/>
      <c r="K73" s="2970"/>
      <c r="L73" s="2970"/>
      <c r="X73" s="2962"/>
      <c r="Y73" s="2962"/>
      <c r="Z73" s="2962"/>
    </row>
    <row r="74" spans="1:26">
      <c r="A74" s="2898" t="s">
        <v>2606</v>
      </c>
      <c r="B74" s="2972">
        <f t="shared" si="167"/>
        <v>108.5</v>
      </c>
      <c r="C74" s="2972">
        <f t="shared" si="167"/>
        <v>110.5</v>
      </c>
      <c r="D74" s="2972">
        <f t="shared" si="131"/>
        <v>110.5</v>
      </c>
      <c r="E74" s="2972">
        <f t="shared" si="168"/>
        <v>106.5</v>
      </c>
      <c r="F74" s="2972">
        <f t="shared" si="168"/>
        <v>103</v>
      </c>
      <c r="G74" s="3567">
        <v>2003</v>
      </c>
      <c r="H74" s="2913">
        <v>2</v>
      </c>
      <c r="I74" s="2970"/>
      <c r="J74" s="2970"/>
      <c r="K74" s="2970"/>
      <c r="L74" s="2970"/>
      <c r="X74" s="2962"/>
      <c r="Y74" s="2962"/>
      <c r="Z74" s="2962"/>
    </row>
    <row r="75" spans="1:26" ht="13.5" thickBot="1">
      <c r="A75" s="2898" t="s">
        <v>2607</v>
      </c>
      <c r="B75" s="2972">
        <f t="shared" si="167"/>
        <v>107.25</v>
      </c>
      <c r="C75" s="2972">
        <f t="shared" si="167"/>
        <v>108.75</v>
      </c>
      <c r="D75" s="2972">
        <f t="shared" si="131"/>
        <v>108.75</v>
      </c>
      <c r="E75" s="2972">
        <f t="shared" si="168"/>
        <v>105.75</v>
      </c>
      <c r="F75" s="2972">
        <f t="shared" si="168"/>
        <v>102.5</v>
      </c>
      <c r="G75" s="3568">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31"/>
        <v>107</v>
      </c>
      <c r="E76" s="2974">
        <v>105</v>
      </c>
      <c r="F76" s="2975">
        <v>102</v>
      </c>
      <c r="G76" s="3566">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9">B78+(B$76-B$80)/4</f>
        <v>105</v>
      </c>
      <c r="C77" s="2972">
        <f t="shared" si="169"/>
        <v>106</v>
      </c>
      <c r="D77" s="2972">
        <f t="shared" si="131"/>
        <v>106</v>
      </c>
      <c r="E77" s="2972">
        <f t="shared" ref="E77:F79" si="170">E78+(E$76-E$80)/4</f>
        <v>104.5</v>
      </c>
      <c r="F77" s="2972">
        <f t="shared" si="170"/>
        <v>101.5</v>
      </c>
      <c r="G77" s="3567">
        <v>2002</v>
      </c>
      <c r="H77" s="2925">
        <v>3</v>
      </c>
      <c r="I77" s="2970"/>
      <c r="J77" s="2970"/>
      <c r="K77" s="2970"/>
      <c r="L77" s="2970"/>
      <c r="X77" s="2962"/>
      <c r="Y77" s="2962"/>
      <c r="Z77" s="2962"/>
    </row>
    <row r="78" spans="1:26">
      <c r="A78" s="2898" t="s">
        <v>2610</v>
      </c>
      <c r="B78" s="2972">
        <f t="shared" si="169"/>
        <v>104</v>
      </c>
      <c r="C78" s="2972">
        <f t="shared" si="169"/>
        <v>105</v>
      </c>
      <c r="D78" s="2972">
        <f t="shared" si="131"/>
        <v>105</v>
      </c>
      <c r="E78" s="2972">
        <f t="shared" si="170"/>
        <v>104</v>
      </c>
      <c r="F78" s="2972">
        <f t="shared" si="170"/>
        <v>101</v>
      </c>
      <c r="G78" s="3567">
        <v>2002</v>
      </c>
      <c r="H78" s="2913">
        <v>2</v>
      </c>
      <c r="I78" s="2970"/>
      <c r="J78" s="2970"/>
      <c r="K78" s="2970"/>
      <c r="L78" s="2970"/>
      <c r="X78" s="2962"/>
      <c r="Y78" s="2962"/>
      <c r="Z78" s="2962"/>
    </row>
    <row r="79" spans="1:26" s="2935" customFormat="1" ht="13.5" thickBot="1">
      <c r="A79" s="2931" t="s">
        <v>2611</v>
      </c>
      <c r="B79" s="2938">
        <f t="shared" si="169"/>
        <v>103</v>
      </c>
      <c r="C79" s="2938">
        <f t="shared" si="169"/>
        <v>104</v>
      </c>
      <c r="D79" s="2938">
        <f t="shared" si="131"/>
        <v>104</v>
      </c>
      <c r="E79" s="2938">
        <f t="shared" si="170"/>
        <v>103.5</v>
      </c>
      <c r="F79" s="2938">
        <f t="shared" si="170"/>
        <v>100.5</v>
      </c>
      <c r="G79" s="3568">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2905</v>
      </c>
      <c r="B1" s="3245"/>
      <c r="C1" s="3245"/>
      <c r="D1" s="3245"/>
      <c r="E1" s="3245"/>
      <c r="F1" s="3245"/>
      <c r="G1" s="3246"/>
      <c r="H1" s="3246"/>
      <c r="I1" s="3246"/>
      <c r="J1" s="3246"/>
      <c r="K1" s="3246"/>
      <c r="L1" s="3246"/>
      <c r="M1" s="3246"/>
      <c r="N1" s="3246"/>
    </row>
    <row r="2" spans="1:14" ht="14.25">
      <c r="A2" s="3251" t="s">
        <v>2900</v>
      </c>
      <c r="B2" s="3256">
        <f ca="1">SUMIF(B7:B14,"&lt;&gt;#ref!",B7:B14)</f>
        <v>0</v>
      </c>
      <c r="C2" s="3251" t="s">
        <v>2901</v>
      </c>
      <c r="D2" s="3248"/>
      <c r="E2" s="3248"/>
      <c r="F2" s="3248"/>
      <c r="G2" s="3246"/>
      <c r="H2" s="3246"/>
      <c r="I2" s="3246"/>
      <c r="J2" s="3246"/>
      <c r="K2" s="3246"/>
      <c r="L2" s="3246"/>
      <c r="M2" s="3246"/>
      <c r="N2" s="3246"/>
    </row>
    <row r="3" spans="1:14" ht="14.25">
      <c r="A3" s="3251" t="s">
        <v>2930</v>
      </c>
      <c r="B3" s="3256" t="e">
        <f ca="1">ROUND(B2*10000/E3,0)</f>
        <v>#DIV/0!</v>
      </c>
      <c r="C3" s="3251" t="s">
        <v>2067</v>
      </c>
      <c r="D3" s="3251" t="s">
        <v>2902</v>
      </c>
      <c r="E3" s="3249">
        <f ca="1">SUMIF(E7:E14,"&lt;&gt;#ref!",E7:E14)</f>
        <v>0</v>
      </c>
      <c r="F3" s="3248"/>
      <c r="G3" s="3246"/>
      <c r="H3" s="3246"/>
      <c r="I3" s="3246"/>
      <c r="J3" s="3246"/>
      <c r="K3" s="3246"/>
      <c r="L3" s="3246"/>
      <c r="M3" s="3246"/>
      <c r="N3" s="3246"/>
    </row>
    <row r="4" spans="1:14" ht="14.25">
      <c r="A4" s="3251" t="s">
        <v>2908</v>
      </c>
      <c r="B4" s="3256" t="e">
        <f ca="1">ROUND(B2*10000/E4,0)</f>
        <v>#DIV/0!</v>
      </c>
      <c r="C4" s="3251" t="s">
        <v>2067</v>
      </c>
      <c r="D4" s="3251" t="s">
        <v>2909</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2906</v>
      </c>
      <c r="B6" s="3251" t="s">
        <v>2903</v>
      </c>
      <c r="C6" s="2790"/>
      <c r="D6" s="3248"/>
      <c r="E6" s="3251" t="s">
        <v>2904</v>
      </c>
      <c r="F6" s="3251" t="s">
        <v>2907</v>
      </c>
      <c r="G6" s="3246"/>
      <c r="H6" s="3246"/>
      <c r="I6" s="3246"/>
      <c r="J6" s="3246"/>
      <c r="K6" s="3246"/>
      <c r="L6" s="3246"/>
      <c r="M6" s="3246"/>
      <c r="N6" s="3246"/>
    </row>
    <row r="7" spans="1:14" ht="14.25">
      <c r="A7" s="3254"/>
      <c r="B7" s="3256" t="e">
        <f ca="1">SUMIF(INDIRECT("'"&amp;A7&amp;"'"&amp;"!A:A"),"总价",INDIRECT("'"&amp;A7&amp;"'"&amp;"!B:B"))</f>
        <v>#REF!</v>
      </c>
      <c r="C7" s="3251" t="s">
        <v>2901</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2901</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2901</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2901</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2901</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2901</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2901</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2901</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9"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2" t="s">
        <v>2359</v>
      </c>
      <c r="F1" s="2243">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6" t="s">
        <v>1815</v>
      </c>
      <c r="B8" s="3575" t="s">
        <v>2445</v>
      </c>
      <c r="C8" s="1741">
        <f ca="1">ROUND(F8*F10*F9*(1-F11)/10000,0)</f>
        <v>0</v>
      </c>
      <c r="D8" s="1738" t="s">
        <v>2516</v>
      </c>
      <c r="E8" s="61" t="s">
        <v>631</v>
      </c>
      <c r="F8" s="775">
        <f ca="1">INDIRECT("'数据-取费表'!u"&amp;$G$1)</f>
        <v>0</v>
      </c>
      <c r="G8" s="1527"/>
      <c r="H8" s="2357" t="s">
        <v>1815</v>
      </c>
      <c r="I8" s="3575" t="s">
        <v>2445</v>
      </c>
      <c r="J8" s="773">
        <f ca="1">ROUND(M8*M10*M9*(1-M11)/10000,0)</f>
        <v>0</v>
      </c>
      <c r="K8" s="339" t="s">
        <v>2516</v>
      </c>
      <c r="L8" s="774" t="s">
        <v>1729</v>
      </c>
      <c r="M8" s="775">
        <f ca="1">INDIRECT("'数据-取费表'!z"&amp;$G$1)</f>
        <v>0</v>
      </c>
    </row>
    <row r="9" spans="1:25" ht="18" customHeight="1">
      <c r="A9" s="2353"/>
      <c r="B9" s="3576"/>
      <c r="C9" s="1742"/>
      <c r="D9" s="1739"/>
      <c r="E9" s="61" t="s">
        <v>632</v>
      </c>
      <c r="F9" s="775">
        <f ca="1">IF(INDIRECT("'数据-取费表'!ah"&amp;$G$1)="",INDIRECT("'数据-取费表'!k"&amp;$G$1),INDIRECT("'数据-取费表'!ah"&amp;$G$1))</f>
        <v>0</v>
      </c>
      <c r="G9" s="1527"/>
      <c r="H9" s="2342"/>
      <c r="I9" s="3576"/>
      <c r="J9" s="778"/>
      <c r="K9" s="779"/>
      <c r="L9" s="774" t="s">
        <v>1730</v>
      </c>
      <c r="M9" s="775">
        <f ca="1">F9</f>
        <v>0</v>
      </c>
    </row>
    <row r="10" spans="1:25" ht="18" customHeight="1">
      <c r="A10" s="2346"/>
      <c r="B10" s="3577"/>
      <c r="C10" s="1742"/>
      <c r="D10" s="1739"/>
      <c r="E10" s="61" t="s">
        <v>633</v>
      </c>
      <c r="F10" s="775">
        <f ca="1">INDIRECT("'数据-取费表'!ai"&amp;$G$1)</f>
        <v>0</v>
      </c>
      <c r="G10" s="1527"/>
      <c r="H10" s="2342"/>
      <c r="I10" s="3577"/>
      <c r="J10" s="778"/>
      <c r="K10" s="779"/>
      <c r="L10" s="774" t="s">
        <v>1731</v>
      </c>
      <c r="M10" s="775">
        <f ca="1">INDIRECT("'数据-取费表'!ai"&amp;$G$1)</f>
        <v>0</v>
      </c>
    </row>
    <row r="11" spans="1:25" ht="18" customHeight="1">
      <c r="A11" s="776"/>
      <c r="B11" s="3578"/>
      <c r="C11" s="1742"/>
      <c r="D11" s="1739"/>
      <c r="E11" s="61" t="s">
        <v>634</v>
      </c>
      <c r="F11" s="784">
        <f ca="1">INDIRECT("'数据-取费表'!w"&amp;$G$1)</f>
        <v>0</v>
      </c>
      <c r="G11" s="1527"/>
      <c r="H11" s="2358"/>
      <c r="I11" s="3577"/>
      <c r="J11" s="778"/>
      <c r="K11" s="779"/>
      <c r="L11" s="785" t="s">
        <v>1732</v>
      </c>
      <c r="M11" s="786">
        <f ca="1">INDIRECT("'数据-取费表'!ab"&amp;$G$1)</f>
        <v>0</v>
      </c>
    </row>
    <row r="12" spans="1:25" ht="18" customHeight="1">
      <c r="A12" s="1746" t="s">
        <v>1816</v>
      </c>
      <c r="B12" s="2347" t="s">
        <v>2441</v>
      </c>
      <c r="C12" s="789">
        <f ca="1">ROUND(IF(F12="押一",C8/12*F13,IF(F12="押二",C8/12*2*F13,IF(F12="押三",C8/12*3*F13,C13*F13))),0)</f>
        <v>0</v>
      </c>
      <c r="D12" s="2354" t="s">
        <v>2927</v>
      </c>
      <c r="E12" s="2351" t="s">
        <v>2446</v>
      </c>
      <c r="F12" s="2465"/>
      <c r="G12" s="1527"/>
      <c r="H12" s="2414" t="s">
        <v>1816</v>
      </c>
      <c r="I12" s="2419" t="s">
        <v>2441</v>
      </c>
      <c r="J12" s="773">
        <f ca="1">ROUND(IF(M12="押一",J8/12*M13,IF(M12="押二",J8/12*2*M13,IF(M12="押三",J8/12*3*M13,J13*M13))),0)</f>
        <v>0</v>
      </c>
      <c r="K12" s="2354" t="s">
        <v>2927</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150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2</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4.0000000000000002E-4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0"/>
      <c r="F32" s="2344"/>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7" t="s">
        <v>2986</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2</v>
      </c>
      <c r="G36" s="1946"/>
      <c r="H36" s="1949"/>
      <c r="I36" s="3574"/>
      <c r="J36" s="1963"/>
      <c r="K36" s="1964"/>
      <c r="L36" s="1963"/>
      <c r="M36" s="1963"/>
    </row>
    <row r="37" spans="1:18" ht="18" customHeight="1">
      <c r="A37" s="804"/>
      <c r="B37" s="783"/>
      <c r="C37" s="69"/>
      <c r="D37" s="805"/>
      <c r="E37" s="774" t="s">
        <v>668</v>
      </c>
      <c r="F37" s="775">
        <f ca="1">INDIRECT("'数据-取费表'!r"&amp;$G$1)</f>
        <v>0</v>
      </c>
      <c r="G37" s="1946"/>
      <c r="H37" s="1949"/>
      <c r="I37" s="3574"/>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3" t="s">
        <v>1870</v>
      </c>
      <c r="B40" s="2399" t="s">
        <v>660</v>
      </c>
      <c r="C40" s="2397">
        <f ca="1">ROUND(C7*F40,1)</f>
        <v>0</v>
      </c>
      <c r="D40" s="2398" t="s">
        <v>677</v>
      </c>
      <c r="E40" s="2399" t="s">
        <v>643</v>
      </c>
      <c r="F40" s="2395">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2916</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2919</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3" t="s">
        <v>2328</v>
      </c>
      <c r="J47" s="2234"/>
      <c r="K47" s="2235"/>
      <c r="L47" s="2811" t="str">
        <f ca="1">IF(M48="住宅",0,IF(L49&gt;J52,L61,J61))</f>
        <v>0</v>
      </c>
      <c r="O47" s="2249" t="s">
        <v>2395</v>
      </c>
      <c r="P47" s="1527"/>
      <c r="Q47" s="1535"/>
      <c r="R47" s="1527"/>
    </row>
    <row r="48" spans="1:18" s="1943" customFormat="1" ht="18" customHeight="1" thickBot="1">
      <c r="A48" s="1967"/>
      <c r="C48" s="1970"/>
      <c r="D48" s="1971"/>
      <c r="E48" s="1971"/>
      <c r="F48" s="1972"/>
      <c r="G48" s="1973"/>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3" customFormat="1" ht="18" customHeight="1" thickBot="1">
      <c r="A49" s="1967"/>
      <c r="D49" s="1974"/>
      <c r="E49" s="1975"/>
      <c r="F49" s="1972"/>
      <c r="G49" s="1973"/>
      <c r="H49" s="1976"/>
      <c r="I49" s="2799" t="s">
        <v>2330</v>
      </c>
      <c r="J49" s="2237"/>
      <c r="K49" s="2809" t="s">
        <v>2336</v>
      </c>
      <c r="L49" s="1823">
        <f ca="1">INDIRECT("'数据-取费表'!f"&amp;$G$1)</f>
        <v>0</v>
      </c>
      <c r="O49" s="2253" t="s">
        <v>2364</v>
      </c>
      <c r="P49" s="2254" t="s">
        <v>2390</v>
      </c>
      <c r="Q49" s="2255">
        <f ca="1">C41+J31</f>
        <v>0</v>
      </c>
      <c r="R49" s="2254" t="s">
        <v>2365</v>
      </c>
    </row>
    <row r="50" spans="1:18" s="1943" customFormat="1" ht="18" customHeight="1" thickBot="1">
      <c r="A50" s="1967"/>
      <c r="D50" s="1977"/>
      <c r="E50" s="1977"/>
      <c r="F50" s="1971"/>
      <c r="G50" s="1978"/>
      <c r="H50" s="1976"/>
      <c r="I50" s="2799" t="s">
        <v>2331</v>
      </c>
      <c r="J50" s="2238"/>
      <c r="K50" s="2810" t="s">
        <v>2337</v>
      </c>
      <c r="L50" s="2239"/>
      <c r="O50" s="2253" t="s">
        <v>2366</v>
      </c>
      <c r="P50" s="2254" t="s">
        <v>2391</v>
      </c>
      <c r="Q50" s="2255" t="str">
        <f ca="1">J61</f>
        <v>0</v>
      </c>
      <c r="R50" s="2254" t="s">
        <v>2367</v>
      </c>
    </row>
    <row r="51" spans="1:18" s="1943" customFormat="1" ht="18" customHeight="1" thickBot="1">
      <c r="A51" s="1979"/>
      <c r="D51" s="1977"/>
      <c r="E51" s="1977"/>
      <c r="F51" s="1968"/>
      <c r="H51" s="1976"/>
      <c r="I51" s="2799" t="s">
        <v>2332</v>
      </c>
      <c r="J51" s="2806">
        <f>SUMPRODUCT((I64:I66=J48)*(J63:L63=J49)*(J64:L66))</f>
        <v>0</v>
      </c>
      <c r="K51" s="2810" t="s">
        <v>2338</v>
      </c>
      <c r="L51" s="2239"/>
      <c r="O51" s="2256" t="s">
        <v>2368</v>
      </c>
      <c r="P51" s="2254" t="s">
        <v>2392</v>
      </c>
      <c r="Q51" s="2255">
        <f ca="1">C31</f>
        <v>0</v>
      </c>
      <c r="R51" s="2254" t="s">
        <v>2365</v>
      </c>
    </row>
    <row r="52" spans="1:18" s="1943" customFormat="1" ht="18" customHeight="1" thickBot="1">
      <c r="A52" s="1979"/>
      <c r="F52" s="1968"/>
      <c r="I52" s="2803" t="s">
        <v>2333</v>
      </c>
      <c r="J52" s="2807">
        <f>IF(J50="",J51,J50+J51-YEAR('数据-取费表'!B3))</f>
        <v>0</v>
      </c>
      <c r="K52" s="2799" t="s">
        <v>2339</v>
      </c>
      <c r="L52" s="2813">
        <f ca="1">C45</f>
        <v>0</v>
      </c>
      <c r="O52" s="2256" t="s">
        <v>2369</v>
      </c>
      <c r="P52" s="2254" t="s">
        <v>2370</v>
      </c>
      <c r="Q52" s="2257" t="e">
        <f ca="1">J59</f>
        <v>#VALUE!</v>
      </c>
      <c r="R52" s="2258"/>
    </row>
    <row r="53" spans="1:18" s="1943" customFormat="1" ht="18" customHeight="1" thickBot="1">
      <c r="A53" s="1979"/>
      <c r="F53" s="1968"/>
      <c r="I53" s="2804" t="s">
        <v>2406</v>
      </c>
      <c r="J53" s="2240"/>
      <c r="K53" s="2804" t="s">
        <v>2405</v>
      </c>
      <c r="L53" s="2240"/>
      <c r="O53" s="2256" t="s">
        <v>2371</v>
      </c>
      <c r="P53" s="2254" t="s">
        <v>2372</v>
      </c>
      <c r="Q53" s="2257">
        <f>J53</f>
        <v>0</v>
      </c>
      <c r="R53" s="2258"/>
    </row>
    <row r="54" spans="1:18" s="1943" customFormat="1" ht="29.25" thickBot="1">
      <c r="A54" s="1979"/>
      <c r="I54" s="2805" t="s">
        <v>2931</v>
      </c>
      <c r="J54" s="2858">
        <f ca="1">IF(M48="住宅",MAX(J52,L49-'数据-取费表'!B20),MIN(J52,L49-'数据-取费表'!B20))</f>
        <v>-1</v>
      </c>
      <c r="K54" s="3579"/>
      <c r="L54" s="3580"/>
      <c r="O54" s="2256" t="s">
        <v>2373</v>
      </c>
      <c r="P54" s="2254" t="s">
        <v>2374</v>
      </c>
      <c r="Q54" s="2255">
        <f ca="1">J54</f>
        <v>-1</v>
      </c>
      <c r="R54" s="2254"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3" customFormat="1" ht="16.5" thickBot="1">
      <c r="A56" s="1979"/>
      <c r="B56" s="1980"/>
      <c r="C56" s="1980"/>
      <c r="I56" s="2816" t="s">
        <v>2340</v>
      </c>
      <c r="J56" s="2788" t="e">
        <f ca="1">ROUND(IF(J48="钢混",J58/J51,1-(1-2%)*(J51-J58)/J51),3)</f>
        <v>#VALUE!</v>
      </c>
      <c r="K56" s="2817" t="s">
        <v>2341</v>
      </c>
      <c r="L56" s="2241"/>
      <c r="O56" s="2259" t="s">
        <v>2396</v>
      </c>
      <c r="P56" s="1527"/>
      <c r="Q56" s="1535"/>
      <c r="R56" s="1527"/>
    </row>
    <row r="57" spans="1:18" s="1943" customFormat="1" ht="43.5" thickBot="1">
      <c r="A57" s="1979"/>
      <c r="B57" s="1980"/>
      <c r="C57" s="1980"/>
      <c r="I57" s="2818" t="s">
        <v>2342</v>
      </c>
      <c r="J57" s="2828" t="s">
        <v>1669</v>
      </c>
      <c r="K57" s="2799" t="s">
        <v>2347</v>
      </c>
      <c r="L57" s="1823">
        <f ca="1">IF(L49&lt;J52,"——",L49-J52)</f>
        <v>0</v>
      </c>
      <c r="O57" s="2250" t="s">
        <v>2360</v>
      </c>
      <c r="P57" s="2251" t="s">
        <v>2361</v>
      </c>
      <c r="Q57" s="2252" t="s">
        <v>2362</v>
      </c>
      <c r="R57" s="2251"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3" t="s">
        <v>2364</v>
      </c>
      <c r="P58" s="2254" t="s">
        <v>2390</v>
      </c>
      <c r="Q58" s="2255">
        <f ca="1">C41+J31</f>
        <v>0</v>
      </c>
      <c r="R58" s="2254"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3" t="s">
        <v>2366</v>
      </c>
      <c r="P59" s="2254" t="s">
        <v>2397</v>
      </c>
      <c r="Q59" s="2255" t="e">
        <f ca="1">L61</f>
        <v>#DIV/0!</v>
      </c>
      <c r="R59" s="2258"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6" t="s">
        <v>2368</v>
      </c>
      <c r="P60" s="2254" t="s">
        <v>2398</v>
      </c>
      <c r="Q60" s="2255">
        <f>IF(L56="比较法",L50,IF(L56="基准地价",L51,0))</f>
        <v>0</v>
      </c>
      <c r="R60" s="2254"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3" customFormat="1" ht="20.25" thickBot="1">
      <c r="A62" s="1979"/>
      <c r="B62" s="1980"/>
      <c r="C62" s="1980"/>
      <c r="K62" s="1969"/>
      <c r="O62" s="2256" t="s">
        <v>2371</v>
      </c>
      <c r="P62" s="2254" t="s">
        <v>2379</v>
      </c>
      <c r="Q62" s="2255">
        <f ca="1">L59</f>
        <v>0</v>
      </c>
      <c r="R62" s="2258" t="s">
        <v>2380</v>
      </c>
    </row>
    <row r="63" spans="1:18" s="1943" customFormat="1" ht="20.25" thickBot="1">
      <c r="A63" s="1979"/>
      <c r="B63" s="1980"/>
      <c r="C63" s="1980"/>
      <c r="I63" s="2824" t="s">
        <v>2352</v>
      </c>
      <c r="J63" s="2825" t="s">
        <v>2353</v>
      </c>
      <c r="K63" s="2825" t="s">
        <v>2354</v>
      </c>
      <c r="L63" s="2825" t="s">
        <v>2335</v>
      </c>
      <c r="M63" s="2826" t="s">
        <v>2899</v>
      </c>
      <c r="O63" s="2256" t="s">
        <v>2373</v>
      </c>
      <c r="P63" s="2254" t="s">
        <v>2381</v>
      </c>
      <c r="Q63" s="2255">
        <f ca="1">L60</f>
        <v>0</v>
      </c>
      <c r="R63" s="2258" t="s">
        <v>2382</v>
      </c>
    </row>
    <row r="64" spans="1:18" s="1943" customFormat="1" ht="15.75" thickBot="1">
      <c r="A64" s="1979"/>
      <c r="B64" s="1980"/>
      <c r="C64" s="1980"/>
      <c r="I64" s="2824" t="s">
        <v>2355</v>
      </c>
      <c r="J64" s="2825">
        <v>70</v>
      </c>
      <c r="K64" s="2825">
        <v>50</v>
      </c>
      <c r="L64" s="2825">
        <v>80</v>
      </c>
      <c r="M64" s="2827">
        <v>0.02</v>
      </c>
      <c r="O64" s="2253" t="s">
        <v>2376</v>
      </c>
      <c r="P64" s="2254" t="s">
        <v>2393</v>
      </c>
      <c r="Q64" s="2255" t="e">
        <f ca="1">Q58+Q59</f>
        <v>#DIV/0!</v>
      </c>
      <c r="R64" s="2258" t="s">
        <v>2377</v>
      </c>
    </row>
    <row r="65" spans="1:18" s="1943" customFormat="1" ht="16.5" thickBot="1">
      <c r="A65" s="1979"/>
      <c r="B65" s="1980"/>
      <c r="C65" s="1980"/>
      <c r="I65" s="2824" t="s">
        <v>2356</v>
      </c>
      <c r="J65" s="2825">
        <v>50</v>
      </c>
      <c r="K65" s="2825">
        <v>35</v>
      </c>
      <c r="L65" s="2825">
        <v>60</v>
      </c>
      <c r="M65" s="835">
        <v>0</v>
      </c>
      <c r="O65" s="2259" t="s">
        <v>2400</v>
      </c>
      <c r="P65" s="1527"/>
      <c r="Q65" s="1535"/>
      <c r="R65" s="1527"/>
    </row>
    <row r="66" spans="1:18" s="1943" customFormat="1" ht="15.75" thickBot="1">
      <c r="A66" s="1979"/>
      <c r="B66" s="1980"/>
      <c r="C66" s="1980"/>
      <c r="I66" s="2824" t="s">
        <v>2357</v>
      </c>
      <c r="J66" s="2825">
        <v>40</v>
      </c>
      <c r="K66" s="2825">
        <v>30</v>
      </c>
      <c r="L66" s="2825">
        <v>50</v>
      </c>
      <c r="M66" s="2827">
        <v>0.02</v>
      </c>
      <c r="O66" s="2250" t="s">
        <v>2360</v>
      </c>
      <c r="P66" s="2251" t="s">
        <v>2361</v>
      </c>
      <c r="Q66" s="2252" t="s">
        <v>2362</v>
      </c>
      <c r="R66" s="2251" t="s">
        <v>2363</v>
      </c>
    </row>
    <row r="67" spans="1:18" s="1943" customFormat="1" ht="15.75" thickBot="1">
      <c r="A67" s="1979"/>
      <c r="B67" s="1980"/>
      <c r="C67" s="1980"/>
      <c r="K67" s="1969"/>
      <c r="O67" s="2253" t="s">
        <v>2364</v>
      </c>
      <c r="P67" s="2254" t="s">
        <v>2390</v>
      </c>
      <c r="Q67" s="2255">
        <f ca="1">C41+J31</f>
        <v>0</v>
      </c>
      <c r="R67" s="2254" t="s">
        <v>2365</v>
      </c>
    </row>
    <row r="68" spans="1:18" s="1943" customFormat="1" ht="20.25" thickBot="1">
      <c r="A68" s="1979"/>
      <c r="B68" s="1980"/>
      <c r="C68" s="1980"/>
      <c r="K68" s="1969"/>
      <c r="O68" s="2253" t="s">
        <v>2366</v>
      </c>
      <c r="P68" s="2254" t="s">
        <v>2397</v>
      </c>
      <c r="Q68" s="2255" t="e">
        <f ca="1">L61</f>
        <v>#DIV/0!</v>
      </c>
      <c r="R68" s="2258" t="s">
        <v>2399</v>
      </c>
    </row>
    <row r="69" spans="1:18" s="1943" customFormat="1" ht="21.75" thickBot="1">
      <c r="A69" s="1979"/>
      <c r="B69" s="1980"/>
      <c r="C69" s="1980"/>
      <c r="K69" s="1969"/>
      <c r="O69" s="2256" t="s">
        <v>2368</v>
      </c>
      <c r="P69" s="2254" t="s">
        <v>2398</v>
      </c>
      <c r="Q69" s="2260">
        <f ca="1">L52</f>
        <v>0</v>
      </c>
      <c r="R69" s="2261" t="s">
        <v>2401</v>
      </c>
    </row>
    <row r="70" spans="1:18" s="1943" customFormat="1" ht="20.25" thickBot="1">
      <c r="A70" s="1979"/>
      <c r="B70" s="1980"/>
      <c r="C70" s="1980"/>
      <c r="K70" s="1969"/>
      <c r="O70" s="2256" t="s">
        <v>2369</v>
      </c>
      <c r="P70" s="2262" t="s">
        <v>2383</v>
      </c>
      <c r="Q70" s="2255">
        <f ca="1">ROUND(Q71-Q72*Q73,0)</f>
        <v>0</v>
      </c>
      <c r="R70" s="2258"/>
    </row>
    <row r="71" spans="1:18" s="1943" customFormat="1" ht="15.75" thickBot="1">
      <c r="A71" s="1979"/>
      <c r="B71" s="1980"/>
      <c r="C71" s="1980"/>
      <c r="K71" s="1969"/>
      <c r="O71" s="2256" t="s">
        <v>2384</v>
      </c>
      <c r="P71" s="2262" t="s">
        <v>2385</v>
      </c>
      <c r="Q71" s="2255">
        <f ca="1">C42</f>
        <v>0</v>
      </c>
      <c r="R71" s="2254" t="s">
        <v>2365</v>
      </c>
    </row>
    <row r="72" spans="1:18" s="1943" customFormat="1" ht="15.75" thickBot="1">
      <c r="A72" s="1979"/>
      <c r="B72" s="1980"/>
      <c r="C72" s="1980"/>
      <c r="K72" s="1969"/>
      <c r="O72" s="2256" t="s">
        <v>2386</v>
      </c>
      <c r="P72" s="2262" t="s">
        <v>2387</v>
      </c>
      <c r="Q72" s="2255">
        <f ca="1">C15</f>
        <v>0</v>
      </c>
      <c r="R72" s="2254" t="s">
        <v>2365</v>
      </c>
    </row>
    <row r="73" spans="1:18" s="1943" customFormat="1" ht="15.75" thickBot="1">
      <c r="A73" s="1979"/>
      <c r="B73" s="1980"/>
      <c r="C73" s="1980"/>
      <c r="K73" s="1969"/>
      <c r="O73" s="2256" t="s">
        <v>2388</v>
      </c>
      <c r="P73" s="2262" t="s">
        <v>2389</v>
      </c>
      <c r="Q73" s="2257">
        <f ca="1">F43</f>
        <v>0</v>
      </c>
      <c r="R73" s="2258"/>
    </row>
    <row r="74" spans="1:18" s="1943" customFormat="1" ht="15.75" thickBot="1">
      <c r="A74" s="1979"/>
      <c r="B74" s="1980"/>
      <c r="C74" s="1980"/>
      <c r="K74" s="1969"/>
      <c r="O74" s="2256" t="s">
        <v>2371</v>
      </c>
      <c r="P74" s="2254" t="s">
        <v>2378</v>
      </c>
      <c r="Q74" s="2257">
        <f>L53</f>
        <v>0</v>
      </c>
      <c r="R74" s="2258"/>
    </row>
    <row r="75" spans="1:18" s="1943" customFormat="1" ht="20.25" thickBot="1">
      <c r="A75" s="1979"/>
      <c r="B75" s="1980"/>
      <c r="C75" s="1980"/>
      <c r="K75" s="1969"/>
      <c r="O75" s="2256" t="s">
        <v>2373</v>
      </c>
      <c r="P75" s="2254" t="s">
        <v>2379</v>
      </c>
      <c r="Q75" s="2255">
        <f ca="1">L59</f>
        <v>0</v>
      </c>
      <c r="R75" s="2258" t="s">
        <v>2380</v>
      </c>
    </row>
    <row r="76" spans="1:18" s="1943" customFormat="1" ht="20.25" thickBot="1">
      <c r="A76" s="1979"/>
      <c r="B76" s="1980"/>
      <c r="C76" s="1980"/>
      <c r="K76" s="1969"/>
      <c r="O76" s="2256" t="s">
        <v>2402</v>
      </c>
      <c r="P76" s="2254" t="s">
        <v>2381</v>
      </c>
      <c r="Q76" s="2255">
        <f ca="1">L60</f>
        <v>0</v>
      </c>
      <c r="R76" s="2258" t="s">
        <v>2382</v>
      </c>
    </row>
    <row r="77" spans="1:18" s="1943" customFormat="1" ht="15.75" thickBot="1">
      <c r="A77" s="1979"/>
      <c r="B77" s="1980"/>
      <c r="C77" s="1980"/>
      <c r="K77" s="1969"/>
      <c r="O77" s="2253" t="s">
        <v>2376</v>
      </c>
      <c r="P77" s="2254" t="s">
        <v>2393</v>
      </c>
      <c r="Q77" s="2255" t="e">
        <f ca="1">Q67+Q68</f>
        <v>#DIV/0!</v>
      </c>
      <c r="R77" s="2258"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33333.3平方米。根据《建设工程规划许可证》[]、《出让合同》[]，估价对象规划建筑面积为66666.6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2020年9月27日（评估专业人员勘察现场之日）</v>
      </c>
    </row>
    <row r="12" spans="1:4" ht="18.75">
      <c r="A12" s="1713" t="s">
        <v>2014</v>
      </c>
    </row>
    <row r="13" spans="1:4" ht="18.75">
      <c r="A13" s="1707" t="s">
        <v>2898</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根据《国有土地使用证》[]，估价对象（分摊）出让国有建设用地使用权面积为33333.3平方米。根据《建设工程规划许可证》[]、《出让合同》[]，估价对象规划建筑面积为66666.6平方米。</v>
      </c>
    </row>
    <row r="21" spans="1:1" ht="18.75">
      <c r="A21" s="1707" t="s">
        <v>2063</v>
      </c>
    </row>
    <row r="22" spans="1:1" ht="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本次估价对象为出让国有建设用地使用权，证载土地终止日期为商业2035年8月30日。截至估价期日，出让国有建设用地使用权剩余土地使用年限为。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D16" sqref="D1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3101</v>
      </c>
      <c r="D1" s="2798" t="s">
        <v>3105</v>
      </c>
      <c r="E1" s="2242" t="s">
        <v>2359</v>
      </c>
      <c r="F1" s="2243">
        <f ca="1">J53</f>
        <v>13.93</v>
      </c>
      <c r="G1" s="3258">
        <f>MATCH(C1,'数据-取费表'!A6:A16,0)+5</f>
        <v>6</v>
      </c>
      <c r="H1" s="1934"/>
      <c r="I1" s="1935"/>
      <c r="J1" s="1935"/>
      <c r="K1" s="1936"/>
      <c r="L1" s="1935"/>
      <c r="M1" s="1935"/>
      <c r="N1" s="1937"/>
      <c r="O1" s="1937"/>
      <c r="P1" s="1937"/>
      <c r="Q1" s="2247"/>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24775</v>
      </c>
      <c r="C2" s="3263"/>
      <c r="D2" s="3264"/>
      <c r="E2" s="3265"/>
      <c r="F2" s="3265"/>
      <c r="G2" s="3259"/>
      <c r="H2" s="1941"/>
      <c r="I2" s="1941"/>
      <c r="J2" s="1941"/>
      <c r="K2" s="1942"/>
      <c r="L2" s="1941"/>
      <c r="M2" s="1941"/>
    </row>
    <row r="3" spans="1:33" ht="18" customHeight="1" thickBot="1">
      <c r="A3" s="822" t="s">
        <v>1718</v>
      </c>
      <c r="B3" s="823">
        <f ca="1">IF(ISERROR(B2*10000/F43),0,ROUND(B2*10000/F43,0))</f>
        <v>3716</v>
      </c>
      <c r="C3" s="3263"/>
      <c r="D3" s="3264"/>
      <c r="E3" s="3265"/>
      <c r="F3" s="3265"/>
      <c r="G3" s="3259"/>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3106</v>
      </c>
      <c r="D5" s="2349" t="s">
        <v>2443</v>
      </c>
      <c r="E5" s="2343"/>
      <c r="F5" s="2344"/>
      <c r="G5" s="1946"/>
      <c r="H5" s="771">
        <v>1</v>
      </c>
      <c r="I5" s="772" t="s">
        <v>2440</v>
      </c>
      <c r="J5" s="55">
        <f ca="1">J6+J10+J12</f>
        <v>0</v>
      </c>
      <c r="K5" s="2349" t="s">
        <v>2443</v>
      </c>
      <c r="L5" s="2343"/>
      <c r="M5" s="2344"/>
    </row>
    <row r="6" spans="1:33" ht="18" customHeight="1">
      <c r="A6" s="1746" t="s">
        <v>1815</v>
      </c>
      <c r="B6" s="3575" t="s">
        <v>2445</v>
      </c>
      <c r="C6" s="773">
        <f ca="1">ROUND(F6*F8*F7*(1-F9)/10000,0)</f>
        <v>3102</v>
      </c>
      <c r="D6" s="2350" t="s">
        <v>2444</v>
      </c>
      <c r="E6" s="774" t="s">
        <v>1729</v>
      </c>
      <c r="F6" s="775">
        <f ca="1">INDIRECT("'数据-取费表'!u"&amp;$G$1)</f>
        <v>1.5</v>
      </c>
      <c r="G6" s="1946"/>
      <c r="H6" s="2357" t="s">
        <v>2450</v>
      </c>
      <c r="I6" s="3575" t="s">
        <v>2445</v>
      </c>
      <c r="J6" s="773">
        <f ca="1">ROUND(M6*M8*M7*(1-M9)/10000,0)</f>
        <v>0</v>
      </c>
      <c r="K6" s="339" t="s">
        <v>1728</v>
      </c>
      <c r="L6" s="774" t="s">
        <v>1729</v>
      </c>
      <c r="M6" s="775">
        <f ca="1">INDIRECT("'数据-取费表'!z"&amp;$G$1)</f>
        <v>0</v>
      </c>
    </row>
    <row r="7" spans="1:33" ht="18" customHeight="1">
      <c r="A7" s="2353"/>
      <c r="B7" s="3576"/>
      <c r="C7" s="778"/>
      <c r="D7" s="779"/>
      <c r="E7" s="774" t="s">
        <v>1730</v>
      </c>
      <c r="F7" s="775">
        <f ca="1">IF(INDIRECT("'数据-取费表'!ah"&amp;$G$1)="",INDIRECT("'数据-取费表'!k"&amp;$G$1),INDIRECT("'数据-取费表'!ah"&amp;$G$1))</f>
        <v>66666.600000000006</v>
      </c>
      <c r="G7" s="1946"/>
      <c r="H7" s="2342"/>
      <c r="I7" s="3576"/>
      <c r="J7" s="778"/>
      <c r="K7" s="779"/>
      <c r="L7" s="774" t="s">
        <v>1730</v>
      </c>
      <c r="M7" s="775">
        <f ca="1">F7</f>
        <v>66666.600000000006</v>
      </c>
    </row>
    <row r="8" spans="1:33" ht="18" customHeight="1">
      <c r="A8" s="2346"/>
      <c r="B8" s="3577"/>
      <c r="C8" s="778"/>
      <c r="D8" s="779"/>
      <c r="E8" s="774" t="s">
        <v>1731</v>
      </c>
      <c r="F8" s="775">
        <f ca="1">INDIRECT("'数据-取费表'!ai"&amp;$G$1)</f>
        <v>365</v>
      </c>
      <c r="G8" s="1946"/>
      <c r="H8" s="2342"/>
      <c r="I8" s="3577"/>
      <c r="J8" s="778"/>
      <c r="K8" s="779"/>
      <c r="L8" s="774" t="s">
        <v>1731</v>
      </c>
      <c r="M8" s="775">
        <f ca="1">INDIRECT("'数据-取费表'!ai"&amp;$G$1)</f>
        <v>365</v>
      </c>
    </row>
    <row r="9" spans="1:33" ht="18" customHeight="1">
      <c r="A9" s="776"/>
      <c r="B9" s="3578"/>
      <c r="C9" s="778"/>
      <c r="D9" s="779"/>
      <c r="E9" s="774" t="s">
        <v>1732</v>
      </c>
      <c r="F9" s="784">
        <f ca="1">INDIRECT("'数据-取费表'!w"&amp;$G$1)</f>
        <v>0.15</v>
      </c>
      <c r="G9" s="1946"/>
      <c r="H9" s="2358"/>
      <c r="I9" s="3577"/>
      <c r="J9" s="778"/>
      <c r="K9" s="779"/>
      <c r="L9" s="785" t="s">
        <v>1732</v>
      </c>
      <c r="M9" s="786">
        <f ca="1">INDIRECT("'数据-取费表'!ab"&amp;$G$1)</f>
        <v>0</v>
      </c>
    </row>
    <row r="10" spans="1:33" ht="18" customHeight="1">
      <c r="A10" s="1746" t="s">
        <v>2448</v>
      </c>
      <c r="B10" s="2347" t="s">
        <v>2441</v>
      </c>
      <c r="C10" s="789">
        <f ca="1">ROUND(IF(F10="押一",C6/12*F11,IF(F10="押二",C6/12*2*F11,IF(F10="押三",C6/12*3*F11,C11*F11))),0)</f>
        <v>4</v>
      </c>
      <c r="D10" s="2354" t="s">
        <v>2927</v>
      </c>
      <c r="E10" s="2351" t="s">
        <v>2446</v>
      </c>
      <c r="F10" s="2465" t="s">
        <v>3108</v>
      </c>
      <c r="G10" s="1946"/>
      <c r="H10" s="2414" t="s">
        <v>2451</v>
      </c>
      <c r="I10" s="2419" t="s">
        <v>2441</v>
      </c>
      <c r="J10" s="773">
        <f ca="1">ROUND(IF(M10="押一",J6/12*M11,IF(M10="押二",J6/12*2*M11,IF(M10="押三",J6/12*3*M11,J11*M11))),0)</f>
        <v>0</v>
      </c>
      <c r="K10" s="2354" t="s">
        <v>2927</v>
      </c>
      <c r="L10" s="2351" t="s">
        <v>2446</v>
      </c>
      <c r="M10" s="2465"/>
    </row>
    <row r="11" spans="1:33" ht="18" customHeight="1">
      <c r="A11" s="780"/>
      <c r="B11" s="2348" t="s">
        <v>2555</v>
      </c>
      <c r="C11" s="2352"/>
      <c r="D11" s="779"/>
      <c r="E11" s="2351" t="s">
        <v>2447</v>
      </c>
      <c r="F11" s="786">
        <f ca="1">'数据-取费表'!B39</f>
        <v>1.4999999999999999E-2</v>
      </c>
      <c r="G11" s="1946"/>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6"/>
      <c r="H12" s="2404" t="s">
        <v>2452</v>
      </c>
      <c r="I12" s="2417" t="s">
        <v>2442</v>
      </c>
      <c r="J12" s="2418"/>
      <c r="K12" s="2393"/>
      <c r="L12" s="2394"/>
      <c r="M12" s="2407"/>
    </row>
    <row r="13" spans="1:33" ht="18" customHeight="1" thickTop="1">
      <c r="A13" s="1745">
        <v>2</v>
      </c>
      <c r="B13" s="1743" t="s">
        <v>1733</v>
      </c>
      <c r="C13" s="782">
        <f ca="1">ROUND(C29*F13,0)</f>
        <v>18467</v>
      </c>
      <c r="D13" s="1750" t="s">
        <v>2285</v>
      </c>
      <c r="E13" s="1750" t="s">
        <v>1735</v>
      </c>
      <c r="F13" s="2389">
        <f ca="1">INDIRECT("'数据-取费表'!y"&amp;$G$1)</f>
        <v>1</v>
      </c>
      <c r="G13" s="1946"/>
      <c r="H13" s="1745">
        <v>2</v>
      </c>
      <c r="I13" s="1743" t="s">
        <v>1733</v>
      </c>
      <c r="J13" s="1735">
        <f ca="1">ROUND(J14*J15,0)</f>
        <v>0</v>
      </c>
      <c r="K13" s="1737" t="s">
        <v>1734</v>
      </c>
      <c r="L13" s="2405"/>
      <c r="M13" s="2406"/>
    </row>
    <row r="14" spans="1:33" ht="18" customHeight="1">
      <c r="A14" s="1577" t="s">
        <v>1875</v>
      </c>
      <c r="B14" s="774" t="s">
        <v>639</v>
      </c>
      <c r="C14" s="794">
        <f ca="1">INDIRECT("'数据-取费表'!m"&amp;$G$1)+INDIRECT("'数据-取费表'!t"&amp;$G$1)</f>
        <v>13333</v>
      </c>
      <c r="D14" s="1894" t="s">
        <v>1736</v>
      </c>
      <c r="E14" s="1895"/>
      <c r="F14" s="795"/>
      <c r="G14" s="1946"/>
      <c r="H14" s="1578" t="s">
        <v>1821</v>
      </c>
      <c r="I14" s="2112" t="s">
        <v>2806</v>
      </c>
      <c r="J14" s="53">
        <f ca="1">C29</f>
        <v>18467</v>
      </c>
      <c r="K14" s="26"/>
      <c r="L14" s="791"/>
      <c r="M14" s="792"/>
    </row>
    <row r="15" spans="1:33" s="1948" customFormat="1" ht="18" customHeight="1" thickBot="1">
      <c r="A15" s="1577" t="s">
        <v>1876</v>
      </c>
      <c r="B15" s="774" t="s">
        <v>641</v>
      </c>
      <c r="C15" s="53">
        <f ca="1">ROUND(C14*F15,0)</f>
        <v>400</v>
      </c>
      <c r="D15" s="796" t="s">
        <v>1737</v>
      </c>
      <c r="E15" s="796" t="s">
        <v>1738</v>
      </c>
      <c r="F15" s="797">
        <f>'数据-取费表'!B33</f>
        <v>0.03</v>
      </c>
      <c r="G15" s="3260"/>
      <c r="H15" s="2404" t="s">
        <v>1880</v>
      </c>
      <c r="I15" s="2399" t="s">
        <v>1735</v>
      </c>
      <c r="J15" s="2408">
        <f ca="1">INDIRECT("'数据-取费表'!ad"&amp;$G$1)</f>
        <v>0</v>
      </c>
      <c r="K15" s="2409"/>
      <c r="L15" s="2410"/>
      <c r="M15" s="2411"/>
      <c r="N15" s="1947"/>
      <c r="O15" s="1947"/>
      <c r="P15" s="1947"/>
      <c r="Q15" s="2248"/>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1835</v>
      </c>
      <c r="K16" s="1737" t="s">
        <v>1741</v>
      </c>
      <c r="L16" s="2339"/>
      <c r="M16" s="2344"/>
    </row>
    <row r="17" spans="1:33" s="1948" customFormat="1" ht="18" customHeight="1">
      <c r="A17" s="1577" t="s">
        <v>1878</v>
      </c>
      <c r="B17" s="774" t="s">
        <v>647</v>
      </c>
      <c r="C17" s="53">
        <f ca="1">ROUND(F17*(F43+INDIRECT("'数据-取费表'!S"&amp;$G$1))/10000,0)</f>
        <v>1000</v>
      </c>
      <c r="D17" s="774" t="s">
        <v>1742</v>
      </c>
      <c r="E17" s="774" t="s">
        <v>1743</v>
      </c>
      <c r="F17" s="56">
        <f>'数据-取费表'!B35</f>
        <v>150</v>
      </c>
      <c r="G17" s="3260"/>
      <c r="H17" s="1578" t="s">
        <v>1821</v>
      </c>
      <c r="I17" s="774" t="s">
        <v>650</v>
      </c>
      <c r="J17" s="3019">
        <f ca="1">ROUND(IF(AND(项目基本情况!B11="自然人",项目基本情况!B10="北京市"),J6*M17/(1+'数据-取费表'!C42),J18+J19+J20),0)</f>
        <v>1558</v>
      </c>
      <c r="K17" s="2338" t="s">
        <v>1744</v>
      </c>
      <c r="L17" s="2337" t="s">
        <v>1745</v>
      </c>
      <c r="M17" s="3018" t="str">
        <f>IF(项目基本情况!B11="企业","——",IF('数据-取费表'!B10="住宅",IF(M6*M7*M8/12/(1+'数据-取费表'!F30)&gt;100000,4%,2.5%),IF(M6*M7*M8/12/(1+'数据-取费表'!F30)&gt;100000,12%,7%)))</f>
        <v>——</v>
      </c>
      <c r="N17" s="1947"/>
      <c r="O17" s="1947"/>
      <c r="P17" s="1947"/>
      <c r="Q17" s="2248"/>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200</v>
      </c>
      <c r="D18" s="774" t="s">
        <v>1737</v>
      </c>
      <c r="E18" s="774" t="s">
        <v>1738</v>
      </c>
      <c r="F18" s="799">
        <f>'数据-取费表'!B36</f>
        <v>1.4999999999999999E-2</v>
      </c>
      <c r="G18" s="3260"/>
      <c r="H18" s="1577" t="s">
        <v>1875</v>
      </c>
      <c r="I18" s="774" t="s">
        <v>1746</v>
      </c>
      <c r="J18" s="53">
        <f ca="1">ROUND(J6*M18/(1+'数据-取费表'!C42),1)</f>
        <v>0</v>
      </c>
      <c r="K18" s="2337" t="s">
        <v>1747</v>
      </c>
      <c r="L18" s="774" t="s">
        <v>1738</v>
      </c>
      <c r="M18" s="799">
        <f>'数据-取费表'!B41</f>
        <v>5.5000000000000007E-2</v>
      </c>
      <c r="N18" s="1947"/>
      <c r="O18" s="1947"/>
      <c r="P18" s="1947"/>
      <c r="Q18" s="2248"/>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14933</v>
      </c>
      <c r="D19" s="259" t="s">
        <v>1748</v>
      </c>
      <c r="E19" s="1897"/>
      <c r="F19" s="56"/>
      <c r="G19" s="1946"/>
      <c r="H19" s="1577" t="s">
        <v>1876</v>
      </c>
      <c r="I19" s="774" t="s">
        <v>1749</v>
      </c>
      <c r="J19" s="53">
        <f ca="1">IF(K19="按租金收入计税",ROUND(J6*M19/(1+'数据-取费表'!C42),1),ROUND(C29*F33*0.7,1))</f>
        <v>1551.2</v>
      </c>
      <c r="K19" s="800" t="s">
        <v>659</v>
      </c>
      <c r="L19" s="774" t="s">
        <v>1738</v>
      </c>
      <c r="M19" s="799">
        <f>IF(K19="按租金收入计税",'数据-取费表'!B51,'数据-取费表'!B50)</f>
        <v>1.2E-2</v>
      </c>
    </row>
    <row r="20" spans="1:33" s="1948" customFormat="1" ht="18" customHeight="1">
      <c r="A20" s="1578" t="s">
        <v>1880</v>
      </c>
      <c r="B20" s="774" t="s">
        <v>660</v>
      </c>
      <c r="C20" s="53">
        <f ca="1">ROUND(C19*F20,0)</f>
        <v>299</v>
      </c>
      <c r="D20" s="801" t="s">
        <v>1750</v>
      </c>
      <c r="E20" s="774" t="s">
        <v>1738</v>
      </c>
      <c r="F20" s="799">
        <f>'数据-取费表'!B37</f>
        <v>0.02</v>
      </c>
      <c r="G20" s="3260"/>
      <c r="H20" s="1580" t="s">
        <v>1871</v>
      </c>
      <c r="I20" s="339" t="s">
        <v>1751</v>
      </c>
      <c r="J20" s="54">
        <f ca="1">ROUND(M20*M21/10000,0)</f>
        <v>7</v>
      </c>
      <c r="K20" s="803" t="s">
        <v>1752</v>
      </c>
      <c r="L20" s="774" t="s">
        <v>1753</v>
      </c>
      <c r="M20" s="632">
        <f>'数据-取费表'!B52</f>
        <v>2</v>
      </c>
      <c r="N20" s="1947"/>
      <c r="O20" s="1947"/>
      <c r="P20" s="1947"/>
      <c r="Q20" s="2248"/>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33333.300000000003</v>
      </c>
      <c r="N21" s="1947"/>
      <c r="O21" s="1947"/>
      <c r="P21" s="1947"/>
      <c r="Q21" s="2248"/>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277</v>
      </c>
      <c r="K22" s="2337"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331</v>
      </c>
      <c r="D23" s="2423" t="str">
        <f>IF(F23&lt;=1,"(建造成本+管理费用)×利率×(建设周期÷2)","(建造成本+管理费用)×((1+利率)^(建设周期÷2)-1)")</f>
        <v>(建造成本+管理费用)×利率×(建设周期÷2)</v>
      </c>
      <c r="E23" s="774" t="s">
        <v>1761</v>
      </c>
      <c r="F23" s="632">
        <f>'数据-取费表'!B20</f>
        <v>1</v>
      </c>
      <c r="G23" s="3260"/>
      <c r="H23" s="1578" t="s">
        <v>1881</v>
      </c>
      <c r="I23" s="774" t="s">
        <v>673</v>
      </c>
      <c r="J23" s="53">
        <f ca="1">ROUND(J13*M23,0)</f>
        <v>0</v>
      </c>
      <c r="K23" s="2337" t="s">
        <v>1762</v>
      </c>
      <c r="L23" s="774" t="s">
        <v>1738</v>
      </c>
      <c r="M23" s="807">
        <f ca="1">INDIRECT("'数据-取费表'!Al"&amp;$G$1)</f>
        <v>1.5E-3</v>
      </c>
      <c r="N23" s="1947"/>
      <c r="O23" s="1947"/>
      <c r="P23" s="1947"/>
      <c r="Q23" s="2248"/>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4.0000000000000002E-4</v>
      </c>
      <c r="D24" s="2423" t="str">
        <f>IF(F23&lt;=1,"销售费用×利率×(建设周期÷2)","销售费用×((1+利率)^(建设周期÷2)-1)")</f>
        <v>销售费用×利率×(建设周期÷2)</v>
      </c>
      <c r="E24" s="774" t="s">
        <v>1764</v>
      </c>
      <c r="F24" s="808">
        <f ca="1">'数据-取费表'!B40</f>
        <v>4.3499999999999997E-2</v>
      </c>
      <c r="G24" s="3260"/>
      <c r="H24" s="2404" t="s">
        <v>1882</v>
      </c>
      <c r="I24" s="2399" t="s">
        <v>660</v>
      </c>
      <c r="J24" s="2397">
        <f ca="1">ROUND(J5*M24,0)</f>
        <v>0</v>
      </c>
      <c r="K24" s="2398" t="s">
        <v>1765</v>
      </c>
      <c r="L24" s="2399" t="s">
        <v>1738</v>
      </c>
      <c r="M24" s="2395">
        <f ca="1">INDIRECT("'数据-取费表'!Am"&amp;$G$1)</f>
        <v>0.01</v>
      </c>
      <c r="N24" s="1947"/>
      <c r="O24" s="1947"/>
      <c r="P24" s="1947"/>
      <c r="Q24" s="2248"/>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2802</v>
      </c>
      <c r="J25" s="782">
        <f ca="1">J5-J16</f>
        <v>-1835</v>
      </c>
      <c r="K25" s="2401" t="s">
        <v>1768</v>
      </c>
      <c r="L25" s="2402"/>
      <c r="M25" s="2403"/>
    </row>
    <row r="26" spans="1:33" ht="18" customHeight="1">
      <c r="A26" s="1577" t="s">
        <v>1822</v>
      </c>
      <c r="B26" s="774" t="s">
        <v>2422</v>
      </c>
      <c r="C26" s="53">
        <f ca="1">ROUND((C19+C20)*F26,0)</f>
        <v>1523</v>
      </c>
      <c r="D26" s="801" t="s">
        <v>1769</v>
      </c>
      <c r="E26" s="785" t="s">
        <v>1770</v>
      </c>
      <c r="F26" s="784">
        <f ca="1">INDIRECT("'数据-取费表'!q"&amp;$G$1)</f>
        <v>0.1</v>
      </c>
      <c r="G26" s="1946"/>
      <c r="H26" s="2355" t="s">
        <v>1771</v>
      </c>
      <c r="I26" s="2113" t="s">
        <v>2807</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2E-3</v>
      </c>
      <c r="D27" s="801" t="s">
        <v>1773</v>
      </c>
      <c r="E27" s="796"/>
      <c r="F27" s="797"/>
      <c r="G27" s="1946"/>
      <c r="H27" s="2356"/>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0"/>
      <c r="H28" s="1745"/>
      <c r="I28" s="781"/>
      <c r="J28" s="782"/>
      <c r="K28" s="805"/>
      <c r="L28" s="774" t="s">
        <v>1777</v>
      </c>
      <c r="M28" s="784">
        <f ca="1">INDIRECT("'数据-取费表'!aa"&amp;$G$1)</f>
        <v>0</v>
      </c>
      <c r="N28" s="1947"/>
      <c r="O28" s="1947"/>
      <c r="P28" s="1947"/>
      <c r="Q28" s="2248"/>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6" t="s">
        <v>1883</v>
      </c>
      <c r="B29" s="2394" t="s">
        <v>2288</v>
      </c>
      <c r="C29" s="2397">
        <f ca="1">ROUND((C19+C20+C23+C26)/(1-F21-C24-C27-C28),0)</f>
        <v>18467</v>
      </c>
      <c r="D29" s="2398"/>
      <c r="E29" s="2399"/>
      <c r="F29" s="2400"/>
      <c r="G29" s="3260"/>
      <c r="H29" s="812" t="s">
        <v>1778</v>
      </c>
      <c r="I29" s="813" t="s">
        <v>1779</v>
      </c>
      <c r="J29" s="814">
        <f ca="1">ROUND(J26/(1+F40)^F41,0)</f>
        <v>0</v>
      </c>
      <c r="K29" s="815" t="s">
        <v>1780</v>
      </c>
      <c r="L29" s="816"/>
      <c r="M29" s="817">
        <f ca="1">INDIRECT("'数据-取费表'!k"&amp;$G$1)</f>
        <v>66666.600000000006</v>
      </c>
      <c r="N29" s="1947"/>
      <c r="O29" s="1947"/>
      <c r="P29" s="1947"/>
      <c r="Q29" s="2248"/>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860</v>
      </c>
      <c r="D30" s="1737" t="s">
        <v>1782</v>
      </c>
      <c r="E30" s="2339"/>
      <c r="F30" s="2344"/>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524</v>
      </c>
      <c r="D31" s="1894" t="s">
        <v>1783</v>
      </c>
      <c r="E31" s="1892" t="s">
        <v>1784</v>
      </c>
      <c r="F31" s="3018" t="str">
        <f>IF(项目基本情况!B11="企业","——",IF('数据-取费表'!B10="住宅",IF(F6*F7*F8/12/(1+'数据-取费表'!F30)&gt;100000,4%,2.5%),IF(F6*F7*F8/12/(1+'数据-取费表'!F30)&gt;100000,12%,7%)))</f>
        <v>——</v>
      </c>
      <c r="G31" s="1946"/>
      <c r="H31" s="3257" t="s">
        <v>2987</v>
      </c>
      <c r="I31" s="1950"/>
      <c r="J31" s="1951"/>
      <c r="K31" s="1952"/>
      <c r="L31" s="1953"/>
      <c r="M31" s="1954"/>
    </row>
    <row r="32" spans="1:33" ht="18" customHeight="1">
      <c r="A32" s="1577" t="s">
        <v>1822</v>
      </c>
      <c r="B32" s="774" t="s">
        <v>1785</v>
      </c>
      <c r="C32" s="53">
        <f ca="1">ROUND(C6*F32/(1+'数据-取费表'!C42),1)</f>
        <v>162.5</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354.5</v>
      </c>
      <c r="D33" s="800" t="s">
        <v>3107</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6.7</v>
      </c>
      <c r="D34" s="803" t="s">
        <v>1790</v>
      </c>
      <c r="E34" s="774" t="s">
        <v>1791</v>
      </c>
      <c r="F34" s="632">
        <f>'数据-取费表'!B52</f>
        <v>2</v>
      </c>
      <c r="G34" s="1946"/>
      <c r="H34" s="1949"/>
      <c r="I34" s="824" t="s">
        <v>1804</v>
      </c>
      <c r="J34" s="825"/>
      <c r="K34" s="1964"/>
      <c r="L34" s="1963"/>
      <c r="M34" s="1963"/>
    </row>
    <row r="35" spans="1:18" ht="18" customHeight="1">
      <c r="A35" s="804"/>
      <c r="B35" s="783"/>
      <c r="C35" s="69"/>
      <c r="D35" s="805"/>
      <c r="E35" s="774" t="s">
        <v>1792</v>
      </c>
      <c r="F35" s="775">
        <f ca="1">INDIRECT("'数据-取费表'!r"&amp;$G$1)</f>
        <v>33333.300000000003</v>
      </c>
      <c r="G35" s="1946"/>
      <c r="H35" s="1949"/>
      <c r="I35" s="826" t="s">
        <v>1805</v>
      </c>
      <c r="J35" s="827">
        <f ca="1">ROUND(C13*J36,0)</f>
        <v>1570</v>
      </c>
      <c r="K35" s="1962"/>
      <c r="L35" s="1961"/>
      <c r="M35" s="1961"/>
    </row>
    <row r="36" spans="1:18" ht="18" customHeight="1">
      <c r="A36" s="1578" t="s">
        <v>1880</v>
      </c>
      <c r="B36" s="774" t="s">
        <v>1793</v>
      </c>
      <c r="C36" s="53">
        <f ca="1">ROUND(C29*F36,1)</f>
        <v>277</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27.7</v>
      </c>
      <c r="D37" s="1892" t="s">
        <v>1795</v>
      </c>
      <c r="E37" s="774" t="s">
        <v>1787</v>
      </c>
      <c r="F37" s="807">
        <f ca="1">INDIRECT("'数据-取费表'!Al"&amp;$G$1)</f>
        <v>1.5E-3</v>
      </c>
      <c r="G37" s="1946"/>
      <c r="H37" s="1961"/>
      <c r="I37" s="830" t="s">
        <v>1807</v>
      </c>
      <c r="J37" s="831"/>
      <c r="K37" s="1965"/>
      <c r="L37" s="1961"/>
      <c r="M37" s="1961"/>
    </row>
    <row r="38" spans="1:18" ht="18" customHeight="1" thickBot="1">
      <c r="A38" s="2404" t="s">
        <v>1882</v>
      </c>
      <c r="B38" s="2399" t="s">
        <v>660</v>
      </c>
      <c r="C38" s="2397">
        <f ca="1">ROUND(C5*F38,1)</f>
        <v>31.1</v>
      </c>
      <c r="D38" s="2398" t="s">
        <v>1796</v>
      </c>
      <c r="E38" s="2399" t="s">
        <v>1787</v>
      </c>
      <c r="F38" s="2395">
        <f ca="1">INDIRECT("'数据-取费表'!Am"&amp;$G$1)</f>
        <v>0.01</v>
      </c>
      <c r="G38" s="1946"/>
      <c r="H38" s="1961"/>
      <c r="I38" s="832" t="s">
        <v>1808</v>
      </c>
      <c r="J38" s="833"/>
      <c r="K38" s="1966"/>
      <c r="L38" s="1961"/>
      <c r="M38" s="1961"/>
    </row>
    <row r="39" spans="1:18" ht="24.6" customHeight="1" thickTop="1">
      <c r="A39" s="1745" t="s">
        <v>1885</v>
      </c>
      <c r="B39" s="2723" t="s">
        <v>2802</v>
      </c>
      <c r="C39" s="782">
        <f ca="1">C5-C30</f>
        <v>2246</v>
      </c>
      <c r="D39" s="2401" t="s">
        <v>1797</v>
      </c>
      <c r="E39" s="2402"/>
      <c r="F39" s="2403"/>
      <c r="G39" s="1946"/>
      <c r="H39" s="1961"/>
      <c r="I39" s="826" t="s">
        <v>1809</v>
      </c>
      <c r="J39" s="834">
        <f ca="1">ROUND(J35/C39,3)</f>
        <v>0.69899999999999995</v>
      </c>
      <c r="K39" s="1966"/>
      <c r="L39" s="1961"/>
      <c r="M39" s="1961"/>
    </row>
    <row r="40" spans="1:18" ht="18" customHeight="1">
      <c r="A40" s="771" t="s">
        <v>1886</v>
      </c>
      <c r="B40" s="2113" t="s">
        <v>2289</v>
      </c>
      <c r="C40" s="773">
        <f ca="1">ROUND(C39*(1-((1+F42)/(1+F40))^F41)/(F40-F42),0)</f>
        <v>24775</v>
      </c>
      <c r="D40" s="803" t="s">
        <v>1798</v>
      </c>
      <c r="E40" s="774" t="s">
        <v>2404</v>
      </c>
      <c r="F40" s="784">
        <f ca="1">INDIRECT("'数据-取费表'!I"&amp;$G$1)</f>
        <v>5.5E-2</v>
      </c>
      <c r="G40" s="1946"/>
      <c r="H40" s="1946"/>
      <c r="I40" s="826" t="s">
        <v>1810</v>
      </c>
      <c r="J40" s="834">
        <f ca="1">1-J39</f>
        <v>0.30100000000000005</v>
      </c>
      <c r="K40" s="1966"/>
      <c r="L40" s="1946"/>
      <c r="M40" s="1946"/>
    </row>
    <row r="41" spans="1:18" ht="18" customHeight="1">
      <c r="A41" s="776"/>
      <c r="B41" s="777"/>
      <c r="C41" s="778"/>
      <c r="D41" s="810" t="s">
        <v>1799</v>
      </c>
      <c r="E41" s="774" t="s">
        <v>2918</v>
      </c>
      <c r="F41" s="811">
        <f ca="1">IF(INDIRECT("'数据-取费表'!af"&amp;$G$1)=0,INDIRECT("'数据-取费表'!ae"&amp;$G$1),INDIRECT("'数据-取费表'!af"&amp;$G$1))</f>
        <v>13.93</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0.745</v>
      </c>
      <c r="K42" s="1965"/>
      <c r="L42" s="1901"/>
      <c r="M42" s="1901"/>
    </row>
    <row r="43" spans="1:18" ht="18" customHeight="1" thickBot="1">
      <c r="A43" s="812" t="s">
        <v>1778</v>
      </c>
      <c r="B43" s="813" t="s">
        <v>1801</v>
      </c>
      <c r="C43" s="814">
        <f ca="1">ROUND(C40*10000/F43,0)</f>
        <v>3716</v>
      </c>
      <c r="D43" s="815" t="s">
        <v>1802</v>
      </c>
      <c r="E43" s="816" t="s">
        <v>1803</v>
      </c>
      <c r="F43" s="817">
        <f ca="1">INDIRECT("'数据-取费表'!k"&amp;$G$1)</f>
        <v>66666.600000000006</v>
      </c>
      <c r="G43" s="1946"/>
      <c r="H43" s="1901"/>
      <c r="I43" s="836" t="s">
        <v>1813</v>
      </c>
      <c r="J43" s="837">
        <f ca="1">1-J42</f>
        <v>0.255</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6">
        <f ca="1">C67-C40</f>
        <v>-27757</v>
      </c>
      <c r="D46" s="3261"/>
      <c r="E46" s="3261"/>
      <c r="F46" s="3261"/>
      <c r="I46" s="2233" t="s">
        <v>2328</v>
      </c>
      <c r="J46" s="2234"/>
      <c r="K46" s="2235"/>
      <c r="L46" s="2811">
        <f>IF(OR(M47="住宅",D1="土地（套用方法）"),0,IF(L48&gt;J51,L60,J60))</f>
        <v>0</v>
      </c>
      <c r="M46" s="3262"/>
      <c r="O46" s="2249" t="s">
        <v>2395</v>
      </c>
      <c r="P46" s="1527"/>
      <c r="Q46" s="1535"/>
      <c r="R46" s="1527"/>
    </row>
    <row r="47" spans="1:18" s="1943" customFormat="1" ht="18" customHeight="1" thickBot="1">
      <c r="A47" s="2227">
        <v>1</v>
      </c>
      <c r="B47" s="2228" t="s">
        <v>629</v>
      </c>
      <c r="C47" s="2426">
        <f ca="1">C48+C52+C54</f>
        <v>0</v>
      </c>
      <c r="D47" s="3261"/>
      <c r="E47" s="3261"/>
      <c r="F47" s="3261"/>
      <c r="I47" s="2802" t="s">
        <v>2329</v>
      </c>
      <c r="J47" s="2236" t="s">
        <v>3106</v>
      </c>
      <c r="K47" s="2808" t="s">
        <v>2334</v>
      </c>
      <c r="L47" s="2812">
        <f ca="1">INDIRECT("'数据-取费表'!d"&amp;$G$1)</f>
        <v>40</v>
      </c>
      <c r="M47" s="1535" t="str">
        <f>IF(ISNUMBER(FIND("住宅",C1)),"住宅","非住宅")</f>
        <v>非住宅</v>
      </c>
      <c r="O47" s="2250" t="s">
        <v>2360</v>
      </c>
      <c r="P47" s="2251" t="s">
        <v>2361</v>
      </c>
      <c r="Q47" s="2252" t="s">
        <v>2362</v>
      </c>
      <c r="R47" s="2251" t="s">
        <v>2363</v>
      </c>
    </row>
    <row r="48" spans="1:18" s="1943" customFormat="1" ht="18" customHeight="1" thickBot="1">
      <c r="A48" s="2484" t="s">
        <v>2519</v>
      </c>
      <c r="B48" s="2485" t="s">
        <v>2520</v>
      </c>
      <c r="C48" s="2229">
        <f ca="1">ROUND(F48*F50*F49*(1-F51)/10000,0)</f>
        <v>0</v>
      </c>
      <c r="D48" s="2230" t="s">
        <v>630</v>
      </c>
      <c r="E48" s="2231" t="s">
        <v>2284</v>
      </c>
      <c r="F48" s="2232"/>
      <c r="G48" s="1973"/>
      <c r="I48" s="2799" t="s">
        <v>2330</v>
      </c>
      <c r="J48" s="2237" t="s">
        <v>2335</v>
      </c>
      <c r="K48" s="2809" t="s">
        <v>2336</v>
      </c>
      <c r="L48" s="1823">
        <f ca="1">INDIRECT("'数据-取费表'!f"&amp;$G$1)</f>
        <v>14.93</v>
      </c>
      <c r="M48" s="3262"/>
      <c r="O48" s="2253" t="s">
        <v>2364</v>
      </c>
      <c r="P48" s="2254" t="s">
        <v>2390</v>
      </c>
      <c r="Q48" s="2255">
        <f ca="1">C40+J29</f>
        <v>24775</v>
      </c>
      <c r="R48" s="2254" t="s">
        <v>2365</v>
      </c>
    </row>
    <row r="49" spans="1:18" s="1943" customFormat="1" ht="18" customHeight="1" thickBot="1">
      <c r="A49" s="776"/>
      <c r="B49" s="777"/>
      <c r="C49" s="778"/>
      <c r="D49" s="779"/>
      <c r="E49" s="774" t="s">
        <v>1730</v>
      </c>
      <c r="F49" s="775">
        <f ca="1">F7</f>
        <v>66666.600000000006</v>
      </c>
      <c r="G49" s="1973"/>
      <c r="H49" s="1976"/>
      <c r="I49" s="2799" t="s">
        <v>2331</v>
      </c>
      <c r="J49" s="2238">
        <v>2022</v>
      </c>
      <c r="K49" s="2810" t="s">
        <v>2337</v>
      </c>
      <c r="L49" s="2239"/>
      <c r="M49" s="3262"/>
      <c r="O49" s="2253" t="s">
        <v>2366</v>
      </c>
      <c r="P49" s="2254" t="s">
        <v>2391</v>
      </c>
      <c r="Q49" s="2255" t="str">
        <f ca="1">J60</f>
        <v>0</v>
      </c>
      <c r="R49" s="2254"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39"/>
      <c r="M50" s="3262"/>
      <c r="O50" s="2256" t="s">
        <v>2368</v>
      </c>
      <c r="P50" s="2254" t="s">
        <v>2392</v>
      </c>
      <c r="Q50" s="2255">
        <f ca="1">C29</f>
        <v>18467</v>
      </c>
      <c r="R50" s="2254" t="s">
        <v>2365</v>
      </c>
    </row>
    <row r="51" spans="1:18" s="1943" customFormat="1" ht="18" customHeight="1" thickBot="1">
      <c r="A51" s="776"/>
      <c r="B51" s="777"/>
      <c r="C51" s="778"/>
      <c r="D51" s="779"/>
      <c r="E51" s="774" t="s">
        <v>634</v>
      </c>
      <c r="F51" s="2226"/>
      <c r="H51" s="1976"/>
      <c r="I51" s="2803" t="s">
        <v>2333</v>
      </c>
      <c r="J51" s="2807">
        <f>IF(J49="",J50,J49+J50-YEAR('数据-取费表'!B2))</f>
        <v>62</v>
      </c>
      <c r="K51" s="2799" t="s">
        <v>2339</v>
      </c>
      <c r="L51" s="2813">
        <f ca="1">ROUND(-PV(INDIRECT("'数据-取费表'!h"&amp;$G$1),J51,(C39-C13*J36),0),0)</f>
        <v>12869</v>
      </c>
      <c r="M51" s="3262"/>
      <c r="O51" s="2256" t="s">
        <v>2369</v>
      </c>
      <c r="P51" s="2254" t="s">
        <v>2370</v>
      </c>
      <c r="Q51" s="2257" t="e">
        <f ca="1">J58</f>
        <v>#VALUE!</v>
      </c>
      <c r="R51" s="2258"/>
    </row>
    <row r="52" spans="1:18" s="1943" customFormat="1" ht="18" customHeight="1" thickBot="1">
      <c r="A52" s="771" t="s">
        <v>2518</v>
      </c>
      <c r="B52" s="2347" t="s">
        <v>2441</v>
      </c>
      <c r="C52" s="789">
        <f ca="1">ROUND(IF(F52="押一",C48/12*F11,IF(F52="押二",C48/12*2*F11,IF(F52="押三",C48/12*3*F11,C53*F11))),0)</f>
        <v>0</v>
      </c>
      <c r="D52" s="2354" t="s">
        <v>2928</v>
      </c>
      <c r="E52" s="2351" t="s">
        <v>2446</v>
      </c>
      <c r="F52" s="2465"/>
      <c r="I52" s="2804" t="s">
        <v>2406</v>
      </c>
      <c r="J52" s="2240"/>
      <c r="K52" s="2804" t="s">
        <v>2405</v>
      </c>
      <c r="L52" s="2240"/>
      <c r="M52" s="3262"/>
      <c r="O52" s="2256" t="s">
        <v>2371</v>
      </c>
      <c r="P52" s="2254" t="s">
        <v>2372</v>
      </c>
      <c r="Q52" s="2257">
        <f>J52</f>
        <v>0</v>
      </c>
      <c r="R52" s="2258"/>
    </row>
    <row r="53" spans="1:18" s="1943" customFormat="1" ht="39.75" customHeight="1" thickBot="1">
      <c r="A53" s="776"/>
      <c r="B53" s="2348" t="s">
        <v>2555</v>
      </c>
      <c r="C53" s="2352"/>
      <c r="D53" s="2354"/>
      <c r="E53" s="2351"/>
      <c r="F53" s="790"/>
      <c r="I53" s="2805" t="s">
        <v>2931</v>
      </c>
      <c r="J53" s="2858">
        <f ca="1">IF(M47="住宅",IF(D1="——",MAX(J51,L48),MAX(J51,L48-'数据-取费表'!B20)),IF(D1="——",MIN(J51,L48),MIN(J51,L48-'数据-取费表'!B20)))</f>
        <v>13.93</v>
      </c>
      <c r="K53" s="3581" t="s">
        <v>2920</v>
      </c>
      <c r="L53" s="3582"/>
      <c r="M53" s="3262"/>
      <c r="O53" s="2256" t="s">
        <v>2373</v>
      </c>
      <c r="P53" s="2254" t="s">
        <v>2374</v>
      </c>
      <c r="Q53" s="2255">
        <f ca="1">J53</f>
        <v>13.93</v>
      </c>
      <c r="R53" s="2254" t="s">
        <v>2375</v>
      </c>
    </row>
    <row r="54" spans="1:18" s="1943" customFormat="1" ht="18" customHeight="1" thickBot="1">
      <c r="A54" s="2390" t="s">
        <v>2449</v>
      </c>
      <c r="B54" s="2391" t="s">
        <v>2442</v>
      </c>
      <c r="C54" s="2392"/>
      <c r="D54" s="2354"/>
      <c r="E54" s="2351"/>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2"/>
      <c r="O54" s="2253" t="s">
        <v>2376</v>
      </c>
      <c r="P54" s="2254" t="s">
        <v>2393</v>
      </c>
      <c r="Q54" s="2255">
        <f ca="1">Q48+Q49</f>
        <v>24775</v>
      </c>
      <c r="R54" s="2258" t="s">
        <v>2377</v>
      </c>
    </row>
    <row r="55" spans="1:18" s="1943" customFormat="1" ht="18" customHeight="1" thickTop="1" thickBot="1">
      <c r="A55" s="787">
        <v>2</v>
      </c>
      <c r="B55" s="788" t="s">
        <v>638</v>
      </c>
      <c r="C55" s="789">
        <f ca="1">C13</f>
        <v>18467</v>
      </c>
      <c r="D55" s="785"/>
      <c r="E55" s="785"/>
      <c r="F55" s="790"/>
      <c r="I55" s="2816" t="s">
        <v>2340</v>
      </c>
      <c r="J55" s="2788" t="e">
        <f ca="1">ROUND(IF(J47="钢混",J57/J50,1-(1-2%)*(J50-J57)/J50),3)</f>
        <v>#VALUE!</v>
      </c>
      <c r="K55" s="2817" t="s">
        <v>2341</v>
      </c>
      <c r="L55" s="2241"/>
      <c r="M55" s="3262"/>
      <c r="O55" s="2259" t="s">
        <v>2396</v>
      </c>
      <c r="P55" s="1527"/>
      <c r="Q55" s="1535"/>
      <c r="R55" s="1527"/>
    </row>
    <row r="56" spans="1:18" s="1943" customFormat="1" ht="42.75" customHeight="1" thickBot="1">
      <c r="A56" s="1579"/>
      <c r="B56" s="2112" t="s">
        <v>2290</v>
      </c>
      <c r="C56" s="53">
        <f ca="1">C29</f>
        <v>18467</v>
      </c>
      <c r="D56" s="2481"/>
      <c r="E56" s="774"/>
      <c r="F56" s="799"/>
      <c r="I56" s="2818" t="s">
        <v>2342</v>
      </c>
      <c r="J56" s="2828" t="s">
        <v>1669</v>
      </c>
      <c r="K56" s="2799" t="s">
        <v>2347</v>
      </c>
      <c r="L56" s="1823" t="str">
        <f ca="1">IF(L48&lt;J51,"——",L48-J51)</f>
        <v>——</v>
      </c>
      <c r="M56" s="3262"/>
      <c r="O56" s="2250" t="s">
        <v>2360</v>
      </c>
      <c r="P56" s="2251" t="s">
        <v>2361</v>
      </c>
      <c r="Q56" s="2252" t="s">
        <v>2362</v>
      </c>
      <c r="R56" s="2251" t="s">
        <v>2363</v>
      </c>
    </row>
    <row r="57" spans="1:18" s="1943" customFormat="1" ht="28.5" customHeight="1" thickBot="1">
      <c r="A57" s="787" t="s">
        <v>1739</v>
      </c>
      <c r="B57" s="788" t="s">
        <v>645</v>
      </c>
      <c r="C57" s="789">
        <f ca="1">ROUND(C58+C63+C64+C65,0)</f>
        <v>312</v>
      </c>
      <c r="D57" s="26" t="s">
        <v>1741</v>
      </c>
      <c r="E57" s="2482"/>
      <c r="F57" s="56"/>
      <c r="I57" s="2819" t="s">
        <v>2343</v>
      </c>
      <c r="J57" s="2820" t="str">
        <f ca="1">IF(OR(M47="住宅",J51&lt;L48,J56="是"),"——",J51-L48)</f>
        <v>——</v>
      </c>
      <c r="K57" s="2799" t="s">
        <v>2348</v>
      </c>
      <c r="L57" s="1823" t="str">
        <f ca="1">IF(L48&lt;J51,"——",IF(L55="比较法",L49,IF(L55="基准地价",L50,L51)))</f>
        <v>——</v>
      </c>
      <c r="M57" s="3262"/>
      <c r="O57" s="2253" t="s">
        <v>2364</v>
      </c>
      <c r="P57" s="2254" t="s">
        <v>2394</v>
      </c>
      <c r="Q57" s="2255">
        <f ca="1">C40+J29</f>
        <v>24775</v>
      </c>
      <c r="R57" s="2254" t="s">
        <v>2365</v>
      </c>
    </row>
    <row r="58" spans="1:18" s="1943" customFormat="1" ht="28.5" customHeight="1" thickBot="1">
      <c r="A58" s="1578" t="s">
        <v>1815</v>
      </c>
      <c r="B58" s="774" t="s">
        <v>650</v>
      </c>
      <c r="C58" s="3019">
        <f ca="1">ROUND(IF(AND(项目基本情况!B11="自然人",项目基本情况!B10="北京市"),C48*F58/(1+'数据-取费表'!C42),C59+C60+C61),0)</f>
        <v>7</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2"/>
      <c r="O58" s="2253" t="s">
        <v>2366</v>
      </c>
      <c r="P58" s="2254" t="s">
        <v>2397</v>
      </c>
      <c r="Q58" s="2255">
        <f ca="1">L60</f>
        <v>0</v>
      </c>
      <c r="R58" s="2258" t="s">
        <v>2399</v>
      </c>
    </row>
    <row r="59" spans="1:18" s="1943"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3" customFormat="1" ht="18" customHeight="1" thickBot="1">
      <c r="A60" s="1577"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3" customFormat="1" ht="18" customHeight="1" thickBot="1">
      <c r="A61" s="1580" t="s">
        <v>1824</v>
      </c>
      <c r="B61" s="339" t="s">
        <v>662</v>
      </c>
      <c r="C61" s="54">
        <f ca="1">ROUND(F61*F62/10000,1)</f>
        <v>6.7</v>
      </c>
      <c r="D61" s="803" t="s">
        <v>663</v>
      </c>
      <c r="E61" s="774" t="s">
        <v>664</v>
      </c>
      <c r="F61" s="632">
        <f t="shared" si="0"/>
        <v>2</v>
      </c>
      <c r="K61" s="1969"/>
      <c r="O61" s="2256" t="s">
        <v>2371</v>
      </c>
      <c r="P61" s="2254" t="s">
        <v>2379</v>
      </c>
      <c r="Q61" s="2255" t="e">
        <f ca="1">L58</f>
        <v>#DIV/0!</v>
      </c>
      <c r="R61" s="2258" t="s">
        <v>2380</v>
      </c>
    </row>
    <row r="62" spans="1:18" s="1943" customFormat="1" ht="15.75" thickBot="1">
      <c r="A62" s="804"/>
      <c r="B62" s="783"/>
      <c r="C62" s="69"/>
      <c r="D62" s="805"/>
      <c r="E62" s="774" t="s">
        <v>668</v>
      </c>
      <c r="F62" s="775">
        <f t="shared" ca="1" si="0"/>
        <v>33333.300000000003</v>
      </c>
      <c r="I62" s="2824" t="s">
        <v>2352</v>
      </c>
      <c r="J62" s="2825" t="s">
        <v>2353</v>
      </c>
      <c r="K62" s="2825" t="s">
        <v>2354</v>
      </c>
      <c r="L62" s="2825" t="s">
        <v>2335</v>
      </c>
      <c r="M62" s="2826" t="s">
        <v>2899</v>
      </c>
      <c r="O62" s="2256" t="s">
        <v>2373</v>
      </c>
      <c r="P62" s="2254" t="str">
        <f>K59</f>
        <v>建设期及建筑物耐用年限下的土地年期修正系数Kn</v>
      </c>
      <c r="Q62" s="2255" t="e">
        <f ca="1">L59</f>
        <v>#DIV/0!</v>
      </c>
      <c r="R62" s="2258" t="s">
        <v>2382</v>
      </c>
    </row>
    <row r="63" spans="1:18" s="1943" customFormat="1" ht="15.75" thickBot="1">
      <c r="A63" s="1578" t="s">
        <v>1880</v>
      </c>
      <c r="B63" s="774" t="s">
        <v>670</v>
      </c>
      <c r="C63" s="53">
        <f ca="1">ROUND(C56*F63,1)</f>
        <v>277</v>
      </c>
      <c r="D63" s="2481" t="s">
        <v>1794</v>
      </c>
      <c r="E63" s="774" t="s">
        <v>1738</v>
      </c>
      <c r="F63" s="806">
        <f t="shared" ca="1" si="0"/>
        <v>1.4999999999999999E-2</v>
      </c>
      <c r="I63" s="2824" t="s">
        <v>2355</v>
      </c>
      <c r="J63" s="2825">
        <v>70</v>
      </c>
      <c r="K63" s="2825">
        <v>50</v>
      </c>
      <c r="L63" s="2825">
        <v>80</v>
      </c>
      <c r="M63" s="2827">
        <v>0.02</v>
      </c>
      <c r="O63" s="2253" t="s">
        <v>2376</v>
      </c>
      <c r="P63" s="2254" t="s">
        <v>2393</v>
      </c>
      <c r="Q63" s="2255">
        <f ca="1">Q57+Q58</f>
        <v>24775</v>
      </c>
      <c r="R63" s="2258" t="s">
        <v>2377</v>
      </c>
    </row>
    <row r="64" spans="1:18" s="1943" customFormat="1" ht="16.5" thickBot="1">
      <c r="A64" s="1578" t="s">
        <v>1881</v>
      </c>
      <c r="B64" s="774" t="s">
        <v>673</v>
      </c>
      <c r="C64" s="53">
        <f ca="1">ROUND(C55*F64,1)</f>
        <v>27.7</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3"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3" customFormat="1" ht="24.75" thickBot="1">
      <c r="A66" s="787" t="s">
        <v>1767</v>
      </c>
      <c r="B66" s="2724" t="s">
        <v>2802</v>
      </c>
      <c r="C66" s="789">
        <f ca="1">C47-C57</f>
        <v>-312</v>
      </c>
      <c r="D66" s="2480" t="s">
        <v>694</v>
      </c>
      <c r="E66" s="2479"/>
      <c r="F66" s="809"/>
      <c r="K66" s="1969"/>
      <c r="O66" s="2253" t="s">
        <v>2364</v>
      </c>
      <c r="P66" s="2254" t="s">
        <v>2394</v>
      </c>
      <c r="Q66" s="2255">
        <f ca="1">C40+J29</f>
        <v>24775</v>
      </c>
      <c r="R66" s="2254" t="s">
        <v>2365</v>
      </c>
    </row>
    <row r="67" spans="1:18" s="1943" customFormat="1" ht="20.25" thickBot="1">
      <c r="A67" s="771" t="s">
        <v>1771</v>
      </c>
      <c r="B67" s="2113" t="s">
        <v>2289</v>
      </c>
      <c r="C67" s="773">
        <f ca="1">ROUND(C66*(1-((1+F69)/(1+F67))^F68)/(F67-F69),0)</f>
        <v>-2982</v>
      </c>
      <c r="D67" s="803" t="s">
        <v>698</v>
      </c>
      <c r="E67" s="774" t="s">
        <v>699</v>
      </c>
      <c r="F67" s="784">
        <f ca="1">F40</f>
        <v>5.5E-2</v>
      </c>
      <c r="K67" s="1969"/>
      <c r="O67" s="2253" t="s">
        <v>2366</v>
      </c>
      <c r="P67" s="2254" t="s">
        <v>2397</v>
      </c>
      <c r="Q67" s="2255">
        <f ca="1">L60</f>
        <v>0</v>
      </c>
      <c r="R67" s="2258" t="s">
        <v>2399</v>
      </c>
    </row>
    <row r="68" spans="1:18" ht="21.75" thickBot="1">
      <c r="A68" s="776"/>
      <c r="B68" s="777"/>
      <c r="C68" s="778"/>
      <c r="D68" s="810" t="s">
        <v>1799</v>
      </c>
      <c r="E68" s="774" t="s">
        <v>1775</v>
      </c>
      <c r="F68" s="811">
        <f ca="1">F41</f>
        <v>13.93</v>
      </c>
      <c r="O68" s="2256" t="s">
        <v>2368</v>
      </c>
      <c r="P68" s="2254" t="s">
        <v>2398</v>
      </c>
      <c r="Q68" s="2260">
        <f ca="1">L51</f>
        <v>12869</v>
      </c>
      <c r="R68" s="2261" t="s">
        <v>2401</v>
      </c>
    </row>
    <row r="69" spans="1:18" ht="20.25" thickBot="1">
      <c r="A69" s="780"/>
      <c r="B69" s="781"/>
      <c r="C69" s="782"/>
      <c r="D69" s="805"/>
      <c r="E69" s="774" t="s">
        <v>704</v>
      </c>
      <c r="F69" s="2226"/>
      <c r="O69" s="2256" t="s">
        <v>2369</v>
      </c>
      <c r="P69" s="2262" t="s">
        <v>2383</v>
      </c>
      <c r="Q69" s="2255">
        <f ca="1">ROUND(Q70-Q71*Q72,0)</f>
        <v>676</v>
      </c>
      <c r="R69" s="2258"/>
    </row>
    <row r="70" spans="1:18" ht="15.75" thickBot="1">
      <c r="A70" s="812" t="s">
        <v>1778</v>
      </c>
      <c r="B70" s="813" t="s">
        <v>1801</v>
      </c>
      <c r="C70" s="814">
        <f ca="1">ROUND(C67*10000/F70,0)</f>
        <v>-447</v>
      </c>
      <c r="D70" s="815" t="s">
        <v>1802</v>
      </c>
      <c r="E70" s="816" t="s">
        <v>1803</v>
      </c>
      <c r="F70" s="817">
        <f ca="1">F43</f>
        <v>66666.600000000006</v>
      </c>
      <c r="O70" s="2256" t="s">
        <v>2384</v>
      </c>
      <c r="P70" s="2262" t="s">
        <v>2385</v>
      </c>
      <c r="Q70" s="2255">
        <f ca="1">C39</f>
        <v>2246</v>
      </c>
      <c r="R70" s="2254" t="s">
        <v>2365</v>
      </c>
    </row>
    <row r="71" spans="1:18" ht="15.75" thickBot="1">
      <c r="O71" s="2256" t="s">
        <v>2386</v>
      </c>
      <c r="P71" s="2262" t="s">
        <v>2387</v>
      </c>
      <c r="Q71" s="2255">
        <f ca="1">C13</f>
        <v>18467</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24775</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ED2D-49F4-4507-997B-F0DFDD4BE800}">
  <dimension ref="A2:I11"/>
  <sheetViews>
    <sheetView workbookViewId="0">
      <selection activeCell="B12" sqref="B12"/>
    </sheetView>
  </sheetViews>
  <sheetFormatPr defaultRowHeight="13.5"/>
  <cols>
    <col min="2" max="2" width="23.5" bestFit="1" customWidth="1"/>
    <col min="3" max="3" width="29.625" bestFit="1" customWidth="1"/>
    <col min="4" max="4" width="21.625" bestFit="1" customWidth="1"/>
    <col min="8" max="8" width="13.625" customWidth="1"/>
    <col min="9" max="9" width="11.5" customWidth="1"/>
  </cols>
  <sheetData>
    <row r="2" spans="1:9">
      <c r="A2" s="3277" t="s">
        <v>3000</v>
      </c>
      <c r="B2" s="3277" t="s">
        <v>3001</v>
      </c>
      <c r="C2" s="3277" t="s">
        <v>3004</v>
      </c>
      <c r="D2" s="3277" t="s">
        <v>3009</v>
      </c>
      <c r="E2" s="3277" t="s">
        <v>3010</v>
      </c>
      <c r="F2" s="3277" t="s">
        <v>3012</v>
      </c>
      <c r="G2" s="3277" t="s">
        <v>3015</v>
      </c>
      <c r="H2" s="3277" t="s">
        <v>2907</v>
      </c>
      <c r="I2" s="3277" t="s">
        <v>3016</v>
      </c>
    </row>
    <row r="3" spans="1:9">
      <c r="A3" s="3278">
        <v>1</v>
      </c>
      <c r="B3" s="3277" t="s">
        <v>3002</v>
      </c>
      <c r="C3" s="3277" t="s">
        <v>3005</v>
      </c>
      <c r="D3" s="3277" t="s">
        <v>3006</v>
      </c>
      <c r="E3" s="3277" t="s">
        <v>3011</v>
      </c>
      <c r="F3" s="3277" t="s">
        <v>3014</v>
      </c>
      <c r="G3" s="3278">
        <v>2</v>
      </c>
      <c r="H3" s="3278">
        <v>33333.300000000003</v>
      </c>
      <c r="I3" s="3278">
        <f>ROUND(G3*H3,2)</f>
        <v>66666.600000000006</v>
      </c>
    </row>
    <row r="4" spans="1:9">
      <c r="A4" s="3278">
        <v>2</v>
      </c>
      <c r="B4" s="3277" t="s">
        <v>3002</v>
      </c>
      <c r="C4" s="3277" t="s">
        <v>3005</v>
      </c>
      <c r="D4" s="3277" t="s">
        <v>3007</v>
      </c>
      <c r="E4" s="3277" t="s">
        <v>3011</v>
      </c>
      <c r="F4" s="3277" t="s">
        <v>3013</v>
      </c>
      <c r="G4" s="3278">
        <v>3.4000000000000002E-2</v>
      </c>
      <c r="H4" s="3278">
        <v>93271</v>
      </c>
      <c r="I4" s="3278">
        <f t="shared" ref="I4:I6" si="0">ROUND(G4*H4,2)</f>
        <v>3171.21</v>
      </c>
    </row>
    <row r="5" spans="1:9">
      <c r="A5" s="3278">
        <v>3</v>
      </c>
      <c r="B5" s="3277" t="s">
        <v>3003</v>
      </c>
      <c r="C5" s="3277" t="s">
        <v>3005</v>
      </c>
      <c r="D5" s="3278">
        <v>65201056</v>
      </c>
      <c r="E5" s="3277" t="s">
        <v>3011</v>
      </c>
      <c r="F5" s="3277" t="s">
        <v>3013</v>
      </c>
      <c r="G5" s="3278">
        <f>G4</f>
        <v>3.4000000000000002E-2</v>
      </c>
      <c r="H5" s="3278">
        <v>445160.6</v>
      </c>
      <c r="I5" s="3278">
        <f t="shared" si="0"/>
        <v>15135.46</v>
      </c>
    </row>
    <row r="6" spans="1:9">
      <c r="A6" s="3278">
        <v>4</v>
      </c>
      <c r="B6" s="3277" t="s">
        <v>3003</v>
      </c>
      <c r="C6" s="3277" t="s">
        <v>3005</v>
      </c>
      <c r="D6" s="3278">
        <v>65201174</v>
      </c>
      <c r="E6" s="3277" t="s">
        <v>3011</v>
      </c>
      <c r="F6" s="3277" t="s">
        <v>3013</v>
      </c>
      <c r="G6" s="3278">
        <f t="shared" ref="G6:G7" si="1">G5</f>
        <v>3.4000000000000002E-2</v>
      </c>
      <c r="H6" s="3278">
        <v>377647.4</v>
      </c>
      <c r="I6" s="3278">
        <f t="shared" si="0"/>
        <v>12840.01</v>
      </c>
    </row>
    <row r="7" spans="1:9">
      <c r="A7" s="3278">
        <v>5</v>
      </c>
      <c r="B7" s="3277" t="s">
        <v>3003</v>
      </c>
      <c r="C7" s="3277" t="s">
        <v>3005</v>
      </c>
      <c r="D7" s="3277" t="s">
        <v>3008</v>
      </c>
      <c r="E7" s="3277" t="s">
        <v>3011</v>
      </c>
      <c r="F7" s="3277" t="s">
        <v>3013</v>
      </c>
      <c r="G7" s="3278">
        <f t="shared" si="1"/>
        <v>3.4000000000000002E-2</v>
      </c>
      <c r="H7" s="3277">
        <v>525652.1</v>
      </c>
      <c r="I7" s="3278">
        <f>ROUND(G7*H7,2)</f>
        <v>17872.169999999998</v>
      </c>
    </row>
    <row r="8" spans="1:9">
      <c r="A8" s="3583" t="s">
        <v>3017</v>
      </c>
      <c r="B8" s="3584"/>
      <c r="C8" s="3584"/>
      <c r="D8" s="3584"/>
      <c r="E8" s="3584"/>
      <c r="F8" s="3584"/>
      <c r="G8" s="3584"/>
      <c r="H8" s="3279">
        <f>SUM(H3:H7)</f>
        <v>1475064.4</v>
      </c>
      <c r="I8" s="3279">
        <f>SUM(I3:I7)</f>
        <v>115685.45000000001</v>
      </c>
    </row>
    <row r="11" spans="1:9">
      <c r="A11" s="3247" t="s">
        <v>3092</v>
      </c>
      <c r="B11" s="3247" t="s">
        <v>3126</v>
      </c>
      <c r="C11" s="3247" t="s">
        <v>3127</v>
      </c>
    </row>
  </sheetData>
  <mergeCells count="1">
    <mergeCell ref="A8:G8"/>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424F6-E3E8-4373-A2D0-AD1606E6081B}">
  <dimension ref="A1:S28"/>
  <sheetViews>
    <sheetView workbookViewId="0">
      <selection activeCell="P26" sqref="P26"/>
    </sheetView>
  </sheetViews>
  <sheetFormatPr defaultRowHeight="13.5"/>
  <cols>
    <col min="1" max="1" width="19.25" bestFit="1" customWidth="1"/>
    <col min="2" max="2" width="7.125" bestFit="1" customWidth="1"/>
    <col min="3" max="3" width="14.125" bestFit="1" customWidth="1"/>
    <col min="4" max="5" width="17.375" bestFit="1" customWidth="1"/>
    <col min="6" max="6" width="14.25" bestFit="1" customWidth="1"/>
    <col min="7" max="7" width="7.375" customWidth="1"/>
    <col min="9" max="9" width="13" bestFit="1" customWidth="1"/>
    <col min="10" max="11" width="11.625" bestFit="1" customWidth="1"/>
    <col min="12" max="13" width="13.125" bestFit="1" customWidth="1"/>
    <col min="14" max="14" width="13.25" customWidth="1"/>
    <col min="15" max="15" width="10.75" hidden="1" customWidth="1"/>
    <col min="16" max="16" width="7.125" bestFit="1" customWidth="1"/>
    <col min="17" max="17" width="29.625" bestFit="1" customWidth="1"/>
  </cols>
  <sheetData>
    <row r="1" spans="1:19">
      <c r="A1" s="3585" t="s">
        <v>3018</v>
      </c>
      <c r="B1" s="3585"/>
      <c r="C1" s="3585"/>
      <c r="D1" s="3585"/>
      <c r="E1" s="3585"/>
      <c r="F1" s="3585"/>
      <c r="G1" s="3585"/>
      <c r="H1" s="3585"/>
      <c r="I1" s="3585"/>
      <c r="J1" s="3585"/>
      <c r="K1" s="3585"/>
      <c r="L1" s="3585"/>
      <c r="M1" s="3585"/>
      <c r="N1" s="3585"/>
      <c r="O1" s="3585"/>
      <c r="P1" s="3585"/>
      <c r="Q1" s="3585"/>
      <c r="R1" s="3585"/>
    </row>
    <row r="2" spans="1:19" s="3281" customFormat="1" ht="27">
      <c r="A2" s="3281" t="s">
        <v>3019</v>
      </c>
      <c r="B2" s="3281" t="s">
        <v>3020</v>
      </c>
      <c r="C2" s="3281" t="s">
        <v>3021</v>
      </c>
      <c r="D2" s="3281" t="s">
        <v>3022</v>
      </c>
      <c r="E2" s="3281" t="s">
        <v>3023</v>
      </c>
      <c r="F2" s="3281" t="s">
        <v>2021</v>
      </c>
      <c r="G2" s="3283" t="s">
        <v>3052</v>
      </c>
      <c r="H2" s="3281" t="s">
        <v>3024</v>
      </c>
      <c r="I2" s="3281" t="s">
        <v>3025</v>
      </c>
      <c r="J2" s="3281" t="s">
        <v>3026</v>
      </c>
      <c r="K2" s="3281" t="s">
        <v>3027</v>
      </c>
      <c r="L2" s="3281" t="s">
        <v>3028</v>
      </c>
      <c r="M2" s="3281" t="s">
        <v>3029</v>
      </c>
      <c r="N2" s="3283" t="s">
        <v>3095</v>
      </c>
      <c r="O2" s="3283" t="s">
        <v>3096</v>
      </c>
      <c r="P2" s="3281" t="s">
        <v>3031</v>
      </c>
      <c r="Q2" s="3281" t="s">
        <v>3032</v>
      </c>
      <c r="R2" s="3281" t="s">
        <v>3033</v>
      </c>
    </row>
    <row r="3" spans="1:19" s="3285" customFormat="1">
      <c r="A3" s="3286" t="s">
        <v>3098</v>
      </c>
      <c r="B3" s="3284" t="s">
        <v>3034</v>
      </c>
      <c r="C3" s="3284" t="s">
        <v>3035</v>
      </c>
      <c r="D3" s="3284">
        <v>6624.5</v>
      </c>
      <c r="E3" s="3284">
        <v>26498</v>
      </c>
      <c r="F3" s="3284" t="s">
        <v>3036</v>
      </c>
      <c r="G3" s="3284">
        <f>ROUND(E3/D3,2)</f>
        <v>4</v>
      </c>
      <c r="H3" s="3284" t="s">
        <v>3037</v>
      </c>
      <c r="I3" s="3284" t="s">
        <v>3038</v>
      </c>
      <c r="J3" s="3284" t="s">
        <v>3039</v>
      </c>
      <c r="K3" s="3284" t="s">
        <v>3039</v>
      </c>
      <c r="L3" s="3284">
        <v>3578</v>
      </c>
      <c r="M3" s="3284">
        <v>3578</v>
      </c>
      <c r="N3" s="3284">
        <v>1350</v>
      </c>
      <c r="O3" s="3284">
        <f>ROUND(M3/D3*10000,0)</f>
        <v>5401</v>
      </c>
      <c r="P3" s="3284">
        <v>0</v>
      </c>
      <c r="Q3" s="3284" t="s">
        <v>3040</v>
      </c>
      <c r="R3" s="3284" t="s">
        <v>3041</v>
      </c>
    </row>
    <row r="4" spans="1:19">
      <c r="A4" s="2656" t="s">
        <v>3042</v>
      </c>
      <c r="B4" s="2656" t="s">
        <v>3034</v>
      </c>
      <c r="C4" s="2656" t="s">
        <v>3035</v>
      </c>
      <c r="D4" s="2656">
        <v>147.30000000000001</v>
      </c>
      <c r="E4" s="2656">
        <v>176.76</v>
      </c>
      <c r="F4" s="2656" t="s">
        <v>3043</v>
      </c>
      <c r="G4" s="2656">
        <f t="shared" ref="G4:G10" si="0">ROUND(E4/D4,2)</f>
        <v>1.2</v>
      </c>
      <c r="H4" s="2656" t="s">
        <v>3037</v>
      </c>
      <c r="I4" s="2656" t="s">
        <v>3044</v>
      </c>
      <c r="J4" s="2656" t="s">
        <v>3045</v>
      </c>
      <c r="K4" s="2656" t="s">
        <v>3045</v>
      </c>
      <c r="L4" s="2656">
        <v>16</v>
      </c>
      <c r="M4" s="2656">
        <v>16</v>
      </c>
      <c r="N4" s="2656">
        <v>905.17</v>
      </c>
      <c r="O4" s="2656">
        <f t="shared" ref="O4:O10" si="1">ROUND(M4/D4*10000,0)</f>
        <v>1086</v>
      </c>
      <c r="P4" s="2656">
        <v>0</v>
      </c>
      <c r="Q4" s="2656" t="s">
        <v>3046</v>
      </c>
      <c r="R4" s="2656" t="s">
        <v>3041</v>
      </c>
      <c r="S4">
        <f>ROUND((M4+M5+M6+M7+M8)/(E4+E5+E6+E7+E8)*10000,0)</f>
        <v>632</v>
      </c>
    </row>
    <row r="5" spans="1:19">
      <c r="A5" s="2656" t="s">
        <v>3042</v>
      </c>
      <c r="B5" s="2656" t="s">
        <v>3034</v>
      </c>
      <c r="C5" s="2656" t="s">
        <v>3035</v>
      </c>
      <c r="D5" s="2656">
        <v>5181.8999999999996</v>
      </c>
      <c r="E5" s="2656">
        <v>6218.28</v>
      </c>
      <c r="F5" s="2656" t="s">
        <v>3043</v>
      </c>
      <c r="G5" s="2656">
        <f t="shared" si="0"/>
        <v>1.2</v>
      </c>
      <c r="H5" s="2656" t="s">
        <v>3037</v>
      </c>
      <c r="I5" s="2656" t="s">
        <v>3044</v>
      </c>
      <c r="J5" s="2656" t="s">
        <v>3045</v>
      </c>
      <c r="K5" s="2656" t="s">
        <v>3045</v>
      </c>
      <c r="L5" s="2656">
        <v>500</v>
      </c>
      <c r="M5" s="2656">
        <v>500</v>
      </c>
      <c r="N5" s="2656">
        <v>804.08</v>
      </c>
      <c r="O5" s="2656">
        <f>ROUND(M5/D5*10000,0)</f>
        <v>965</v>
      </c>
      <c r="P5" s="2656">
        <v>0</v>
      </c>
      <c r="Q5" s="2656" t="s">
        <v>3046</v>
      </c>
      <c r="R5" s="2656" t="s">
        <v>3047</v>
      </c>
    </row>
    <row r="6" spans="1:19">
      <c r="A6" s="2656" t="s">
        <v>3042</v>
      </c>
      <c r="B6" s="2656" t="s">
        <v>3034</v>
      </c>
      <c r="C6" s="2656" t="s">
        <v>3035</v>
      </c>
      <c r="D6" s="2656">
        <v>11717.3</v>
      </c>
      <c r="E6" s="2656">
        <v>23434.6</v>
      </c>
      <c r="F6" s="2656" t="s">
        <v>3048</v>
      </c>
      <c r="G6" s="2656">
        <f t="shared" si="0"/>
        <v>2</v>
      </c>
      <c r="H6" s="2656" t="s">
        <v>3037</v>
      </c>
      <c r="I6" s="2656" t="s">
        <v>3044</v>
      </c>
      <c r="J6" s="2656" t="s">
        <v>3045</v>
      </c>
      <c r="K6" s="2656" t="s">
        <v>3045</v>
      </c>
      <c r="L6" s="2656">
        <v>1580</v>
      </c>
      <c r="M6" s="2656">
        <v>1580</v>
      </c>
      <c r="N6" s="2656">
        <v>674.22</v>
      </c>
      <c r="O6" s="2656">
        <f t="shared" si="1"/>
        <v>1348</v>
      </c>
      <c r="P6" s="2656">
        <v>0</v>
      </c>
      <c r="Q6" s="2656" t="s">
        <v>3046</v>
      </c>
      <c r="R6" s="2656" t="s">
        <v>3047</v>
      </c>
    </row>
    <row r="7" spans="1:19">
      <c r="A7" s="2656" t="s">
        <v>3042</v>
      </c>
      <c r="B7" s="2656" t="s">
        <v>3034</v>
      </c>
      <c r="C7" s="2656" t="s">
        <v>3035</v>
      </c>
      <c r="D7" s="2656">
        <v>14730</v>
      </c>
      <c r="E7" s="2656">
        <v>29460</v>
      </c>
      <c r="F7" s="2656" t="s">
        <v>3048</v>
      </c>
      <c r="G7" s="2656">
        <f t="shared" si="0"/>
        <v>2</v>
      </c>
      <c r="H7" s="2656" t="s">
        <v>3037</v>
      </c>
      <c r="I7" s="2656" t="s">
        <v>3044</v>
      </c>
      <c r="J7" s="2656" t="s">
        <v>3045</v>
      </c>
      <c r="K7" s="2656" t="s">
        <v>3045</v>
      </c>
      <c r="L7" s="2656">
        <v>1960</v>
      </c>
      <c r="M7" s="2656">
        <v>1960</v>
      </c>
      <c r="N7" s="2656">
        <v>665.3</v>
      </c>
      <c r="O7" s="2656">
        <f t="shared" si="1"/>
        <v>1331</v>
      </c>
      <c r="P7" s="2656">
        <v>0</v>
      </c>
      <c r="Q7" s="2656" t="s">
        <v>3046</v>
      </c>
      <c r="R7" s="2656" t="s">
        <v>3041</v>
      </c>
    </row>
    <row r="8" spans="1:19">
      <c r="A8" s="2656" t="s">
        <v>3042</v>
      </c>
      <c r="B8" s="2656" t="s">
        <v>3034</v>
      </c>
      <c r="C8" s="2656" t="s">
        <v>3035</v>
      </c>
      <c r="D8" s="2656">
        <v>10820.5</v>
      </c>
      <c r="E8" s="2656">
        <v>21641</v>
      </c>
      <c r="F8" s="2656" t="s">
        <v>3048</v>
      </c>
      <c r="G8" s="2656">
        <f t="shared" si="0"/>
        <v>2</v>
      </c>
      <c r="H8" s="2656" t="s">
        <v>3037</v>
      </c>
      <c r="I8" s="2656" t="s">
        <v>3044</v>
      </c>
      <c r="J8" s="2656" t="s">
        <v>3045</v>
      </c>
      <c r="K8" s="2656" t="s">
        <v>3045</v>
      </c>
      <c r="L8" s="2656">
        <v>1060</v>
      </c>
      <c r="M8" s="2656">
        <v>1060</v>
      </c>
      <c r="N8" s="2656">
        <v>489.81</v>
      </c>
      <c r="O8" s="2656">
        <f t="shared" si="1"/>
        <v>980</v>
      </c>
      <c r="P8" s="2656">
        <v>0</v>
      </c>
      <c r="Q8" s="2656" t="s">
        <v>3046</v>
      </c>
      <c r="R8" s="2656" t="s">
        <v>3047</v>
      </c>
    </row>
    <row r="9" spans="1:19">
      <c r="A9" s="3280" t="s">
        <v>3097</v>
      </c>
      <c r="B9" s="2656" t="s">
        <v>3034</v>
      </c>
      <c r="C9" s="2656" t="s">
        <v>3035</v>
      </c>
      <c r="D9" s="2656">
        <v>19753.8</v>
      </c>
      <c r="E9" s="2656">
        <v>79015.199999999997</v>
      </c>
      <c r="F9" s="2656" t="s">
        <v>3036</v>
      </c>
      <c r="G9" s="2656">
        <f t="shared" si="0"/>
        <v>4</v>
      </c>
      <c r="H9" s="2656" t="s">
        <v>3037</v>
      </c>
      <c r="I9" s="2656" t="s">
        <v>3038</v>
      </c>
      <c r="J9" s="2656" t="s">
        <v>3050</v>
      </c>
      <c r="K9" s="2656" t="s">
        <v>3050</v>
      </c>
      <c r="L9" s="2656">
        <v>10668</v>
      </c>
      <c r="M9" s="2656">
        <v>10668</v>
      </c>
      <c r="N9" s="2656">
        <v>1350.11</v>
      </c>
      <c r="O9" s="2656">
        <f t="shared" si="1"/>
        <v>5400</v>
      </c>
      <c r="P9" s="2656">
        <v>0</v>
      </c>
      <c r="Q9" s="2656" t="s">
        <v>3051</v>
      </c>
      <c r="R9" s="2656" t="s">
        <v>3047</v>
      </c>
    </row>
    <row r="10" spans="1:19">
      <c r="A10" s="2656" t="s">
        <v>3049</v>
      </c>
      <c r="B10" s="2656" t="s">
        <v>3034</v>
      </c>
      <c r="C10" s="2656" t="s">
        <v>3035</v>
      </c>
      <c r="D10" s="2656">
        <v>15239.3</v>
      </c>
      <c r="E10" s="2656">
        <v>60957.2</v>
      </c>
      <c r="F10" s="2656" t="s">
        <v>3036</v>
      </c>
      <c r="G10" s="2656">
        <f t="shared" si="0"/>
        <v>4</v>
      </c>
      <c r="H10" s="2656" t="s">
        <v>3037</v>
      </c>
      <c r="I10" s="2656" t="s">
        <v>3038</v>
      </c>
      <c r="J10" s="2656" t="s">
        <v>3050</v>
      </c>
      <c r="K10" s="2656" t="s">
        <v>3050</v>
      </c>
      <c r="L10" s="2656">
        <v>8230</v>
      </c>
      <c r="M10" s="2656">
        <v>8230</v>
      </c>
      <c r="N10" s="2656">
        <v>1350.13</v>
      </c>
      <c r="O10" s="2656">
        <f t="shared" si="1"/>
        <v>5401</v>
      </c>
      <c r="P10" s="2656">
        <v>0</v>
      </c>
      <c r="Q10" s="2656" t="s">
        <v>3051</v>
      </c>
      <c r="R10" s="2656" t="s">
        <v>3047</v>
      </c>
    </row>
    <row r="13" spans="1:19">
      <c r="A13" s="3585" t="s">
        <v>3093</v>
      </c>
      <c r="B13" s="3586"/>
      <c r="C13" s="3586"/>
      <c r="D13" s="3586"/>
      <c r="E13" s="3586"/>
      <c r="F13" s="3586"/>
      <c r="G13" s="3586"/>
      <c r="H13" s="3586"/>
      <c r="I13" s="3586"/>
      <c r="J13" s="3586"/>
      <c r="K13" s="3586"/>
      <c r="L13" s="3586"/>
      <c r="M13" s="3586"/>
      <c r="N13" s="3586"/>
      <c r="O13" s="3586"/>
      <c r="P13" s="3586"/>
      <c r="Q13" s="3586"/>
      <c r="R13" s="3586"/>
    </row>
    <row r="14" spans="1:19" s="3281" customFormat="1" ht="27">
      <c r="A14" s="3281" t="s">
        <v>3019</v>
      </c>
      <c r="B14" s="3281" t="s">
        <v>3020</v>
      </c>
      <c r="C14" s="3281" t="s">
        <v>3021</v>
      </c>
      <c r="D14" s="3281" t="s">
        <v>3022</v>
      </c>
      <c r="E14" s="3281" t="s">
        <v>3023</v>
      </c>
      <c r="F14" s="3281" t="s">
        <v>2021</v>
      </c>
      <c r="G14" s="3282" t="s">
        <v>3052</v>
      </c>
      <c r="H14" s="3281" t="s">
        <v>3024</v>
      </c>
      <c r="I14" s="3281" t="s">
        <v>3025</v>
      </c>
      <c r="J14" s="3281" t="s">
        <v>3026</v>
      </c>
      <c r="K14" s="3281" t="s">
        <v>3027</v>
      </c>
      <c r="L14" s="3281" t="s">
        <v>3028</v>
      </c>
      <c r="M14" s="3281" t="s">
        <v>3029</v>
      </c>
      <c r="N14" s="3281" t="s">
        <v>3030</v>
      </c>
      <c r="O14" s="3282" t="s">
        <v>3096</v>
      </c>
      <c r="P14" s="3281" t="s">
        <v>3031</v>
      </c>
      <c r="Q14" s="3281" t="s">
        <v>3032</v>
      </c>
      <c r="R14" s="3281" t="s">
        <v>3033</v>
      </c>
    </row>
    <row r="15" spans="1:19">
      <c r="A15" s="2656" t="s">
        <v>3053</v>
      </c>
      <c r="B15" s="2656" t="s">
        <v>3034</v>
      </c>
      <c r="C15" s="2656" t="s">
        <v>3035</v>
      </c>
      <c r="D15" s="2656">
        <v>3867.44</v>
      </c>
      <c r="E15" s="2656">
        <v>5801.16</v>
      </c>
      <c r="F15" s="2656" t="s">
        <v>3054</v>
      </c>
      <c r="G15" s="2656">
        <f>ROUND(E15/D15,2)</f>
        <v>1.5</v>
      </c>
      <c r="H15" s="2656" t="s">
        <v>3037</v>
      </c>
      <c r="I15" s="2656" t="s">
        <v>3038</v>
      </c>
      <c r="J15" s="2656" t="s">
        <v>3055</v>
      </c>
      <c r="K15" s="2656" t="s">
        <v>3055</v>
      </c>
      <c r="L15" s="2656">
        <v>1368</v>
      </c>
      <c r="M15" s="2656">
        <v>1368</v>
      </c>
      <c r="N15" s="2656">
        <v>2358.15</v>
      </c>
      <c r="O15" s="2656">
        <f>ROUND(M15/D15*10000,0)</f>
        <v>3537</v>
      </c>
      <c r="P15" s="2656">
        <v>0</v>
      </c>
      <c r="Q15" s="2656" t="s">
        <v>3056</v>
      </c>
      <c r="R15" s="2656" t="s">
        <v>3041</v>
      </c>
    </row>
    <row r="16" spans="1:19">
      <c r="A16" s="2656" t="s">
        <v>3057</v>
      </c>
      <c r="B16" s="2656" t="s">
        <v>3034</v>
      </c>
      <c r="C16" s="2656" t="s">
        <v>3035</v>
      </c>
      <c r="D16" s="2656">
        <v>42658.02</v>
      </c>
      <c r="E16" s="2656">
        <v>255948.12</v>
      </c>
      <c r="F16" s="2656" t="s">
        <v>3058</v>
      </c>
      <c r="G16" s="2656">
        <f t="shared" ref="G16:G20" si="2">ROUND(E16/D16,2)</f>
        <v>6</v>
      </c>
      <c r="H16" s="2656" t="s">
        <v>3037</v>
      </c>
      <c r="I16" s="2656" t="s">
        <v>3044</v>
      </c>
      <c r="J16" s="2656" t="s">
        <v>3059</v>
      </c>
      <c r="K16" s="2656" t="s">
        <v>3059</v>
      </c>
      <c r="L16" s="2656">
        <v>25660</v>
      </c>
      <c r="M16" s="2656">
        <v>25660</v>
      </c>
      <c r="N16" s="2656">
        <v>1002.54</v>
      </c>
      <c r="O16" s="2656">
        <f t="shared" ref="O16:O20" si="3">ROUND(M16/D16*10000,0)</f>
        <v>6015</v>
      </c>
      <c r="P16" s="2656">
        <v>0</v>
      </c>
      <c r="Q16" s="2656" t="s">
        <v>3060</v>
      </c>
      <c r="R16" s="2656" t="s">
        <v>3047</v>
      </c>
    </row>
    <row r="17" spans="1:18">
      <c r="A17" s="2656" t="s">
        <v>3061</v>
      </c>
      <c r="B17" s="2656" t="s">
        <v>3034</v>
      </c>
      <c r="C17" s="2656" t="s">
        <v>3035</v>
      </c>
      <c r="D17" s="2656">
        <v>148535.1</v>
      </c>
      <c r="E17" s="2656">
        <v>44560.53</v>
      </c>
      <c r="F17" s="2656" t="s">
        <v>3062</v>
      </c>
      <c r="G17" s="2656">
        <f t="shared" si="2"/>
        <v>0.3</v>
      </c>
      <c r="H17" s="2656" t="s">
        <v>3037</v>
      </c>
      <c r="I17" s="2656" t="s">
        <v>3063</v>
      </c>
      <c r="J17" s="2656" t="s">
        <v>3059</v>
      </c>
      <c r="K17" s="2656" t="s">
        <v>3059</v>
      </c>
      <c r="L17" s="2656">
        <v>9600</v>
      </c>
      <c r="M17" s="2656">
        <v>9600</v>
      </c>
      <c r="N17" s="2656">
        <v>2154.36</v>
      </c>
      <c r="O17" s="2656">
        <f t="shared" si="3"/>
        <v>646</v>
      </c>
      <c r="P17" s="2656">
        <v>0</v>
      </c>
      <c r="Q17" s="2656" t="s">
        <v>3064</v>
      </c>
      <c r="R17" s="2656" t="s">
        <v>3041</v>
      </c>
    </row>
    <row r="18" spans="1:18">
      <c r="A18" s="2656" t="s">
        <v>3065</v>
      </c>
      <c r="B18" s="2656" t="s">
        <v>3034</v>
      </c>
      <c r="C18" s="2656" t="s">
        <v>3035</v>
      </c>
      <c r="D18" s="2656">
        <v>3754.78</v>
      </c>
      <c r="E18" s="2656">
        <v>1126.43</v>
      </c>
      <c r="F18" s="2656" t="s">
        <v>3062</v>
      </c>
      <c r="G18" s="2656">
        <f t="shared" si="2"/>
        <v>0.3</v>
      </c>
      <c r="H18" s="2656" t="s">
        <v>3037</v>
      </c>
      <c r="I18" s="2656" t="s">
        <v>3038</v>
      </c>
      <c r="J18" s="2656" t="s">
        <v>3066</v>
      </c>
      <c r="K18" s="2656" t="s">
        <v>3066</v>
      </c>
      <c r="L18" s="2656">
        <v>560</v>
      </c>
      <c r="M18" s="2656">
        <v>560</v>
      </c>
      <c r="N18" s="2656">
        <v>4971.46</v>
      </c>
      <c r="O18" s="2656">
        <f t="shared" si="3"/>
        <v>1491</v>
      </c>
      <c r="P18" s="2656">
        <v>0</v>
      </c>
      <c r="Q18" s="2656" t="s">
        <v>3067</v>
      </c>
      <c r="R18" s="2656" t="s">
        <v>3047</v>
      </c>
    </row>
    <row r="19" spans="1:18">
      <c r="A19" s="2656" t="s">
        <v>3068</v>
      </c>
      <c r="B19" s="2656" t="s">
        <v>3034</v>
      </c>
      <c r="C19" s="2656" t="s">
        <v>3035</v>
      </c>
      <c r="D19" s="2656">
        <v>94534.3</v>
      </c>
      <c r="E19" s="2656">
        <v>245789.18</v>
      </c>
      <c r="F19" s="2656" t="s">
        <v>3069</v>
      </c>
      <c r="G19" s="2656">
        <f t="shared" si="2"/>
        <v>2.6</v>
      </c>
      <c r="H19" s="2656" t="s">
        <v>3037</v>
      </c>
      <c r="I19" s="2656" t="s">
        <v>3038</v>
      </c>
      <c r="J19" s="2656" t="s">
        <v>3066</v>
      </c>
      <c r="K19" s="2656" t="s">
        <v>3066</v>
      </c>
      <c r="L19" s="2656">
        <v>42637</v>
      </c>
      <c r="M19" s="2656">
        <v>42637</v>
      </c>
      <c r="N19" s="2656">
        <v>1734.7</v>
      </c>
      <c r="O19" s="2656">
        <f t="shared" si="3"/>
        <v>4510</v>
      </c>
      <c r="P19" s="2656">
        <v>0</v>
      </c>
      <c r="Q19" s="2656" t="s">
        <v>3070</v>
      </c>
      <c r="R19" s="2656" t="s">
        <v>3047</v>
      </c>
    </row>
    <row r="20" spans="1:18">
      <c r="A20" s="2656" t="s">
        <v>3071</v>
      </c>
      <c r="B20" s="2656" t="s">
        <v>3034</v>
      </c>
      <c r="C20" s="2656" t="s">
        <v>3035</v>
      </c>
      <c r="D20" s="2656">
        <v>47411.57</v>
      </c>
      <c r="E20" s="2656">
        <v>184905.1</v>
      </c>
      <c r="F20" s="2656" t="s">
        <v>3072</v>
      </c>
      <c r="G20" s="2656">
        <f t="shared" si="2"/>
        <v>3.9</v>
      </c>
      <c r="H20" s="2656" t="s">
        <v>3037</v>
      </c>
      <c r="I20" s="2656" t="s">
        <v>3044</v>
      </c>
      <c r="J20" s="2656" t="s">
        <v>3073</v>
      </c>
      <c r="K20" s="2656" t="s">
        <v>3073</v>
      </c>
      <c r="L20" s="2656">
        <v>19500</v>
      </c>
      <c r="M20" s="2656">
        <v>19500</v>
      </c>
      <c r="N20" s="2656">
        <v>1054.5899999999999</v>
      </c>
      <c r="O20" s="2656">
        <f t="shared" si="3"/>
        <v>4113</v>
      </c>
      <c r="P20" s="2656">
        <v>0</v>
      </c>
      <c r="Q20" s="2656" t="s">
        <v>3074</v>
      </c>
      <c r="R20" s="2656" t="s">
        <v>3047</v>
      </c>
    </row>
    <row r="23" spans="1:18">
      <c r="A23" s="3585" t="s">
        <v>3094</v>
      </c>
      <c r="B23" s="3586"/>
      <c r="C23" s="3586"/>
      <c r="D23" s="3586"/>
      <c r="E23" s="3586"/>
      <c r="F23" s="3586"/>
      <c r="G23" s="3586"/>
      <c r="H23" s="3586"/>
      <c r="I23" s="3586"/>
      <c r="J23" s="3586"/>
      <c r="K23" s="3586"/>
      <c r="L23" s="3586"/>
      <c r="M23" s="3586"/>
      <c r="N23" s="3586"/>
      <c r="O23" s="3586"/>
      <c r="P23" s="3586"/>
      <c r="Q23" s="3586"/>
      <c r="R23" s="3586"/>
    </row>
    <row r="24" spans="1:18" s="3281" customFormat="1" ht="27">
      <c r="A24" s="3281" t="s">
        <v>3019</v>
      </c>
      <c r="B24" s="3281" t="s">
        <v>3020</v>
      </c>
      <c r="C24" s="3281" t="s">
        <v>3021</v>
      </c>
      <c r="D24" s="3281" t="s">
        <v>3022</v>
      </c>
      <c r="E24" s="3281" t="s">
        <v>3023</v>
      </c>
      <c r="F24" s="3281" t="s">
        <v>2021</v>
      </c>
      <c r="G24" s="3282" t="s">
        <v>3052</v>
      </c>
      <c r="H24" s="3281" t="s">
        <v>3024</v>
      </c>
      <c r="I24" s="3281" t="s">
        <v>3025</v>
      </c>
      <c r="J24" s="3281" t="s">
        <v>3026</v>
      </c>
      <c r="K24" s="3281" t="s">
        <v>3027</v>
      </c>
      <c r="L24" s="3281" t="s">
        <v>3028</v>
      </c>
      <c r="M24" s="3281" t="s">
        <v>3029</v>
      </c>
      <c r="N24" s="3281" t="s">
        <v>3030</v>
      </c>
      <c r="O24" s="3283" t="s">
        <v>3096</v>
      </c>
      <c r="P24" s="3281" t="s">
        <v>3031</v>
      </c>
      <c r="Q24" s="3281" t="s">
        <v>3032</v>
      </c>
      <c r="R24" s="3281" t="s">
        <v>3033</v>
      </c>
    </row>
    <row r="25" spans="1:18" s="3285" customFormat="1">
      <c r="A25" s="3284" t="s">
        <v>3075</v>
      </c>
      <c r="B25" s="3284" t="s">
        <v>3034</v>
      </c>
      <c r="C25" s="3284" t="s">
        <v>3035</v>
      </c>
      <c r="D25" s="3284">
        <v>13334</v>
      </c>
      <c r="E25" s="3284">
        <v>40002</v>
      </c>
      <c r="F25" s="3284" t="s">
        <v>3076</v>
      </c>
      <c r="G25" s="3284">
        <f>ROUND(E25/D25,2)</f>
        <v>3</v>
      </c>
      <c r="H25" s="3284" t="s">
        <v>3037</v>
      </c>
      <c r="I25" s="3284" t="s">
        <v>3044</v>
      </c>
      <c r="J25" s="3284" t="s">
        <v>3077</v>
      </c>
      <c r="K25" s="3284" t="s">
        <v>3077</v>
      </c>
      <c r="L25" s="3284">
        <v>5990</v>
      </c>
      <c r="M25" s="3284">
        <v>5990</v>
      </c>
      <c r="N25" s="3284">
        <v>1497</v>
      </c>
      <c r="O25" s="3284">
        <f>ROUND(M25/D25*10000,0)</f>
        <v>4492</v>
      </c>
      <c r="P25" s="3284">
        <v>0</v>
      </c>
      <c r="Q25" s="3284" t="s">
        <v>3078</v>
      </c>
      <c r="R25" s="3284" t="s">
        <v>3079</v>
      </c>
    </row>
    <row r="26" spans="1:18" s="3285" customFormat="1">
      <c r="A26" s="3284" t="s">
        <v>3080</v>
      </c>
      <c r="B26" s="3284" t="s">
        <v>3034</v>
      </c>
      <c r="C26" s="3284" t="s">
        <v>3035</v>
      </c>
      <c r="D26" s="3284">
        <v>36541</v>
      </c>
      <c r="E26" s="3284">
        <v>109623</v>
      </c>
      <c r="F26" s="3284" t="s">
        <v>3076</v>
      </c>
      <c r="G26" s="3284">
        <f t="shared" ref="G26:G28" si="4">ROUND(E26/D26,2)</f>
        <v>3</v>
      </c>
      <c r="H26" s="3284" t="s">
        <v>3081</v>
      </c>
      <c r="I26" s="3284" t="s">
        <v>3044</v>
      </c>
      <c r="J26" s="3284" t="s">
        <v>3082</v>
      </c>
      <c r="K26" s="3284" t="s">
        <v>3082</v>
      </c>
      <c r="L26" s="3284">
        <v>17600</v>
      </c>
      <c r="M26" s="3284">
        <v>17600</v>
      </c>
      <c r="N26" s="3284">
        <v>1606</v>
      </c>
      <c r="O26" s="3284">
        <f t="shared" ref="O26:O28" si="5">ROUND(M26/D26*10000,0)</f>
        <v>4817</v>
      </c>
      <c r="P26" s="3284">
        <v>0</v>
      </c>
      <c r="Q26" s="3284" t="s">
        <v>3083</v>
      </c>
      <c r="R26" s="3284" t="s">
        <v>3079</v>
      </c>
    </row>
    <row r="27" spans="1:18">
      <c r="A27" s="2656" t="s">
        <v>3084</v>
      </c>
      <c r="B27" s="2656" t="s">
        <v>3034</v>
      </c>
      <c r="C27" s="2656" t="s">
        <v>3035</v>
      </c>
      <c r="D27" s="2656">
        <v>4042</v>
      </c>
      <c r="E27" s="2656">
        <v>25060.400000000001</v>
      </c>
      <c r="F27" s="2656" t="s">
        <v>3085</v>
      </c>
      <c r="G27" s="2656">
        <f t="shared" si="4"/>
        <v>6.2</v>
      </c>
      <c r="H27" s="2656" t="s">
        <v>3037</v>
      </c>
      <c r="I27" s="2656" t="s">
        <v>3086</v>
      </c>
      <c r="J27" s="2656" t="s">
        <v>3087</v>
      </c>
      <c r="K27" s="2656" t="s">
        <v>3087</v>
      </c>
      <c r="L27" s="2656">
        <v>6300</v>
      </c>
      <c r="M27" s="2656">
        <v>6300</v>
      </c>
      <c r="N27" s="2656">
        <v>2513.92</v>
      </c>
      <c r="O27" s="2656">
        <f t="shared" si="5"/>
        <v>15586</v>
      </c>
      <c r="P27" s="2656">
        <v>0</v>
      </c>
      <c r="Q27" s="2656" t="s">
        <v>3088</v>
      </c>
      <c r="R27" s="2656" t="s">
        <v>3079</v>
      </c>
    </row>
    <row r="28" spans="1:18">
      <c r="A28" s="2656" t="s">
        <v>3089</v>
      </c>
      <c r="B28" s="2656" t="s">
        <v>3034</v>
      </c>
      <c r="C28" s="2656" t="s">
        <v>3035</v>
      </c>
      <c r="D28" s="2656">
        <v>137383</v>
      </c>
      <c r="E28" s="2656">
        <v>412149</v>
      </c>
      <c r="F28" s="2656" t="s">
        <v>3076</v>
      </c>
      <c r="G28" s="2656">
        <f t="shared" si="4"/>
        <v>3</v>
      </c>
      <c r="H28" s="2656" t="s">
        <v>3037</v>
      </c>
      <c r="I28" s="2656" t="s">
        <v>3044</v>
      </c>
      <c r="J28" s="2656" t="s">
        <v>3090</v>
      </c>
      <c r="K28" s="2656" t="s">
        <v>3090</v>
      </c>
      <c r="L28" s="2656">
        <v>22100</v>
      </c>
      <c r="M28" s="2656">
        <v>22100</v>
      </c>
      <c r="N28" s="2656">
        <v>536.21</v>
      </c>
      <c r="O28" s="2656">
        <f t="shared" si="5"/>
        <v>1609</v>
      </c>
      <c r="P28" s="2656">
        <v>0</v>
      </c>
      <c r="Q28" s="2656" t="s">
        <v>3091</v>
      </c>
      <c r="R28" s="2656" t="s">
        <v>3041</v>
      </c>
    </row>
  </sheetData>
  <mergeCells count="3">
    <mergeCell ref="A1:R1"/>
    <mergeCell ref="A23:R23"/>
    <mergeCell ref="A13:R13"/>
  </mergeCells>
  <phoneticPr fontId="229"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603" t="s">
        <v>2453</v>
      </c>
      <c r="B1" s="3604"/>
      <c r="C1" s="3605"/>
      <c r="D1" s="3606">
        <f>SUM(I10,I15,I20,I21,I23)</f>
        <v>0</v>
      </c>
      <c r="E1" s="3606"/>
      <c r="F1" s="3606"/>
      <c r="G1" s="3606"/>
      <c r="H1" s="3606"/>
      <c r="I1" s="3607"/>
    </row>
    <row r="2" spans="1:9">
      <c r="A2" s="3593" t="s">
        <v>2454</v>
      </c>
      <c r="B2" s="3594" t="s">
        <v>2455</v>
      </c>
      <c r="C2" s="3594"/>
      <c r="D2" s="2360" t="s">
        <v>2456</v>
      </c>
      <c r="E2" s="2360" t="s">
        <v>2457</v>
      </c>
      <c r="F2" s="2360" t="s">
        <v>2458</v>
      </c>
      <c r="G2" s="2360" t="s">
        <v>2459</v>
      </c>
      <c r="H2" s="2360" t="s">
        <v>2460</v>
      </c>
      <c r="I2" s="2361" t="s">
        <v>2461</v>
      </c>
    </row>
    <row r="3" spans="1:9">
      <c r="A3" s="3593"/>
      <c r="B3" s="3594" t="s">
        <v>2462</v>
      </c>
      <c r="C3" s="3594"/>
      <c r="D3" s="2362"/>
      <c r="E3" s="2360"/>
      <c r="F3" s="2363"/>
      <c r="G3" s="2363"/>
      <c r="H3" s="2364"/>
      <c r="I3" s="2365">
        <f>ROUND(D3*E3*F3*G3*H3/10000,0)</f>
        <v>0</v>
      </c>
    </row>
    <row r="4" spans="1:9">
      <c r="A4" s="3593"/>
      <c r="B4" s="3594" t="s">
        <v>2463</v>
      </c>
      <c r="C4" s="3594"/>
      <c r="D4" s="2362"/>
      <c r="E4" s="2360"/>
      <c r="F4" s="2363"/>
      <c r="G4" s="2363"/>
      <c r="H4" s="2364"/>
      <c r="I4" s="2365">
        <f t="shared" ref="I4:I9" si="0">ROUND(D4*E4*F4*G4*H4/10000,0)</f>
        <v>0</v>
      </c>
    </row>
    <row r="5" spans="1:9">
      <c r="A5" s="3593"/>
      <c r="B5" s="3594" t="s">
        <v>2464</v>
      </c>
      <c r="C5" s="3594"/>
      <c r="D5" s="2362"/>
      <c r="E5" s="2360"/>
      <c r="F5" s="2363"/>
      <c r="G5" s="2363"/>
      <c r="H5" s="2364"/>
      <c r="I5" s="2365">
        <f t="shared" si="0"/>
        <v>0</v>
      </c>
    </row>
    <row r="6" spans="1:9">
      <c r="A6" s="3593"/>
      <c r="B6" s="3594" t="s">
        <v>2465</v>
      </c>
      <c r="C6" s="3594"/>
      <c r="D6" s="2362"/>
      <c r="E6" s="2360"/>
      <c r="F6" s="2363"/>
      <c r="G6" s="2363"/>
      <c r="H6" s="2364"/>
      <c r="I6" s="2365">
        <f t="shared" si="0"/>
        <v>0</v>
      </c>
    </row>
    <row r="7" spans="1:9">
      <c r="A7" s="3593"/>
      <c r="B7" s="3594" t="s">
        <v>2466</v>
      </c>
      <c r="C7" s="3594"/>
      <c r="D7" s="2362"/>
      <c r="E7" s="2360"/>
      <c r="F7" s="2363"/>
      <c r="G7" s="2363"/>
      <c r="H7" s="2364"/>
      <c r="I7" s="2365">
        <f t="shared" si="0"/>
        <v>0</v>
      </c>
    </row>
    <row r="8" spans="1:9">
      <c r="A8" s="3593"/>
      <c r="B8" s="3594" t="s">
        <v>2467</v>
      </c>
      <c r="C8" s="3594"/>
      <c r="D8" s="2362"/>
      <c r="E8" s="2360"/>
      <c r="F8" s="2363"/>
      <c r="G8" s="2363"/>
      <c r="H8" s="2364"/>
      <c r="I8" s="2365">
        <f t="shared" si="0"/>
        <v>0</v>
      </c>
    </row>
    <row r="9" spans="1:9">
      <c r="A9" s="3593"/>
      <c r="B9" s="3594" t="s">
        <v>2468</v>
      </c>
      <c r="C9" s="3594"/>
      <c r="D9" s="2362"/>
      <c r="E9" s="2360"/>
      <c r="F9" s="2363"/>
      <c r="G9" s="2363"/>
      <c r="H9" s="2364"/>
      <c r="I9" s="2365">
        <f t="shared" si="0"/>
        <v>0</v>
      </c>
    </row>
    <row r="10" spans="1:9">
      <c r="A10" s="3593"/>
      <c r="B10" s="3595" t="s">
        <v>2469</v>
      </c>
      <c r="C10" s="3595"/>
      <c r="D10" s="2366">
        <v>527</v>
      </c>
      <c r="E10" s="2366" t="e">
        <f>ROUND(D1*10000/D10/H9,0)</f>
        <v>#DIV/0!</v>
      </c>
      <c r="F10" s="2367"/>
      <c r="G10" s="2367"/>
      <c r="H10" s="2368"/>
      <c r="I10" s="2369">
        <f>SUM(I3:I9)</f>
        <v>0</v>
      </c>
    </row>
    <row r="11" spans="1:9" ht="14.25">
      <c r="A11" s="3593" t="s">
        <v>2470</v>
      </c>
      <c r="B11" s="3594" t="s">
        <v>2471</v>
      </c>
      <c r="C11" s="3594"/>
      <c r="D11" s="2362" t="s">
        <v>2472</v>
      </c>
      <c r="E11" s="2362" t="s">
        <v>2473</v>
      </c>
      <c r="F11" s="2363" t="s">
        <v>2474</v>
      </c>
      <c r="G11" s="2363" t="s">
        <v>2475</v>
      </c>
      <c r="H11" s="2370" t="s">
        <v>2476</v>
      </c>
      <c r="I11" s="2361" t="s">
        <v>2477</v>
      </c>
    </row>
    <row r="12" spans="1:9">
      <c r="A12" s="3593"/>
      <c r="B12" s="3594" t="s">
        <v>2478</v>
      </c>
      <c r="C12" s="3594"/>
      <c r="D12" s="2362"/>
      <c r="E12" s="2362"/>
      <c r="F12" s="2363"/>
      <c r="G12" s="2364"/>
      <c r="H12" s="2371"/>
      <c r="I12" s="2361">
        <f>ROUND(D12*E12*F12*G12/10000,0)</f>
        <v>0</v>
      </c>
    </row>
    <row r="13" spans="1:9">
      <c r="A13" s="3593"/>
      <c r="B13" s="3594" t="s">
        <v>2479</v>
      </c>
      <c r="C13" s="3594"/>
      <c r="D13" s="2362"/>
      <c r="E13" s="2362"/>
      <c r="F13" s="2363"/>
      <c r="G13" s="2364"/>
      <c r="H13" s="2371"/>
      <c r="I13" s="2361">
        <f>ROUND(D13*E13*F13*G13/10000,0)</f>
        <v>0</v>
      </c>
    </row>
    <row r="14" spans="1:9">
      <c r="A14" s="3593"/>
      <c r="B14" s="3594" t="s">
        <v>2480</v>
      </c>
      <c r="C14" s="3594"/>
      <c r="D14" s="2362"/>
      <c r="E14" s="2362"/>
      <c r="F14" s="2363"/>
      <c r="G14" s="2364"/>
      <c r="H14" s="2371"/>
      <c r="I14" s="2361">
        <f>ROUND(D14*E14*F14*G14/10000,0)</f>
        <v>0</v>
      </c>
    </row>
    <row r="15" spans="1:9">
      <c r="A15" s="3593"/>
      <c r="B15" s="3595" t="s">
        <v>2469</v>
      </c>
      <c r="C15" s="3595"/>
      <c r="D15" s="2366"/>
      <c r="E15" s="2366">
        <f>SUM(E12:E14)</f>
        <v>0</v>
      </c>
      <c r="F15" s="2367"/>
      <c r="G15" s="2364"/>
      <c r="H15" s="2371"/>
      <c r="I15" s="2372">
        <f>SUM(I12:I14)</f>
        <v>0</v>
      </c>
    </row>
    <row r="16" spans="1:9" ht="24">
      <c r="A16" s="3593" t="s">
        <v>2481</v>
      </c>
      <c r="B16" s="3594" t="s">
        <v>2482</v>
      </c>
      <c r="C16" s="3594"/>
      <c r="D16" s="2362" t="s">
        <v>2483</v>
      </c>
      <c r="E16" s="2373" t="s">
        <v>2484</v>
      </c>
      <c r="F16" s="2363" t="s">
        <v>2485</v>
      </c>
      <c r="G16" s="2364" t="s">
        <v>2475</v>
      </c>
      <c r="H16" s="2370" t="s">
        <v>2476</v>
      </c>
      <c r="I16" s="2361" t="s">
        <v>2477</v>
      </c>
    </row>
    <row r="17" spans="1:9" ht="14.25">
      <c r="A17" s="3593"/>
      <c r="B17" s="3594" t="s">
        <v>2486</v>
      </c>
      <c r="C17" s="3594"/>
      <c r="D17" s="2362"/>
      <c r="E17" s="2362"/>
      <c r="F17" s="2363"/>
      <c r="G17" s="2364"/>
      <c r="H17" s="2374"/>
      <c r="I17" s="2375">
        <f>ROUND(D17*E17*F17*G17/10000,0)</f>
        <v>0</v>
      </c>
    </row>
    <row r="18" spans="1:9" ht="14.25">
      <c r="A18" s="3593"/>
      <c r="B18" s="3594" t="s">
        <v>2487</v>
      </c>
      <c r="C18" s="3594"/>
      <c r="D18" s="2362"/>
      <c r="E18" s="2362"/>
      <c r="F18" s="2363"/>
      <c r="G18" s="2364"/>
      <c r="H18" s="2374"/>
      <c r="I18" s="2375">
        <f>ROUND(D18*E18*F18*G18/10000,0)</f>
        <v>0</v>
      </c>
    </row>
    <row r="19" spans="1:9" ht="14.25">
      <c r="A19" s="3593"/>
      <c r="B19" s="3594" t="s">
        <v>2488</v>
      </c>
      <c r="C19" s="3594"/>
      <c r="D19" s="2362"/>
      <c r="E19" s="2362"/>
      <c r="F19" s="2363"/>
      <c r="G19" s="2364"/>
      <c r="H19" s="2374"/>
      <c r="I19" s="2375">
        <f>ROUND(D19*E19*F19*G19/10000,0)</f>
        <v>0</v>
      </c>
    </row>
    <row r="20" spans="1:9">
      <c r="A20" s="3593"/>
      <c r="B20" s="3595" t="s">
        <v>2469</v>
      </c>
      <c r="C20" s="3595"/>
      <c r="D20" s="2366">
        <f>SUM(D17:D19)</f>
        <v>0</v>
      </c>
      <c r="E20" s="2366"/>
      <c r="F20" s="2367"/>
      <c r="G20" s="2364"/>
      <c r="H20" s="2371"/>
      <c r="I20" s="2372">
        <f>SUM(I17:I19)</f>
        <v>0</v>
      </c>
    </row>
    <row r="21" spans="1:9">
      <c r="A21" s="3593" t="s">
        <v>2489</v>
      </c>
      <c r="B21" s="3596"/>
      <c r="C21" s="3596"/>
      <c r="D21" s="3596"/>
      <c r="E21" s="3596"/>
      <c r="F21" s="3596"/>
      <c r="G21" s="3596"/>
      <c r="H21" s="2376">
        <v>0.1</v>
      </c>
      <c r="I21" s="2369">
        <f>ROUND(I10*H21,0)</f>
        <v>0</v>
      </c>
    </row>
    <row r="22" spans="1:9" ht="14.25">
      <c r="A22" s="3597" t="s">
        <v>2490</v>
      </c>
      <c r="B22" s="3598"/>
      <c r="C22" s="3599"/>
      <c r="D22" s="2377" t="s">
        <v>2491</v>
      </c>
      <c r="E22" s="2377" t="s">
        <v>2492</v>
      </c>
      <c r="F22" s="2378" t="s">
        <v>2493</v>
      </c>
      <c r="G22" s="2378" t="s">
        <v>2494</v>
      </c>
      <c r="H22" s="2370" t="s">
        <v>2495</v>
      </c>
      <c r="I22" s="2361" t="s">
        <v>2496</v>
      </c>
    </row>
    <row r="23" spans="1:9" ht="14.25" thickBot="1">
      <c r="A23" s="3600"/>
      <c r="B23" s="3601"/>
      <c r="C23" s="3602"/>
      <c r="D23" s="2379"/>
      <c r="E23" s="2379"/>
      <c r="F23" s="2379"/>
      <c r="G23" s="2380"/>
      <c r="H23" s="2381"/>
      <c r="I23" s="2382">
        <f>ROUND(E23*D23*F23*(1-G23)/10000,0)</f>
        <v>0</v>
      </c>
    </row>
    <row r="26" spans="1:9">
      <c r="A26" s="2383" t="s">
        <v>2497</v>
      </c>
      <c r="B26" s="2383"/>
      <c r="C26" s="2383"/>
      <c r="D26" s="2383"/>
      <c r="E26" s="3590">
        <f>C27-C30-C31-C32</f>
        <v>0</v>
      </c>
      <c r="F26" s="3590"/>
      <c r="G26" s="3590"/>
      <c r="H26" s="2756" t="s">
        <v>2823</v>
      </c>
    </row>
    <row r="27" spans="1:9">
      <c r="A27" s="2384">
        <v>1</v>
      </c>
      <c r="B27" s="2385" t="s">
        <v>2498</v>
      </c>
      <c r="C27" s="2385"/>
      <c r="D27" s="2385"/>
      <c r="E27" s="3591"/>
      <c r="F27" s="3591"/>
      <c r="G27" s="3591"/>
    </row>
    <row r="28" spans="1:9">
      <c r="A28" s="2386" t="s">
        <v>2499</v>
      </c>
      <c r="B28" s="2385" t="s">
        <v>2500</v>
      </c>
      <c r="C28" s="2385"/>
      <c r="D28" s="2385"/>
      <c r="E28" s="3591"/>
      <c r="F28" s="3591"/>
      <c r="G28" s="359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92"/>
      <c r="F32" s="3592"/>
      <c r="G32" s="3592"/>
    </row>
    <row r="33" spans="1:7" hidden="1">
      <c r="A33" s="3587" t="s">
        <v>2508</v>
      </c>
      <c r="B33" s="3588"/>
      <c r="C33" s="3588"/>
      <c r="D33" s="3589"/>
      <c r="E33" s="3590"/>
      <c r="F33" s="3590"/>
      <c r="G33" s="3590"/>
    </row>
    <row r="34" spans="1:7" hidden="1">
      <c r="A34" s="2388">
        <v>1</v>
      </c>
      <c r="B34" s="2385" t="s">
        <v>2509</v>
      </c>
      <c r="C34" s="2385"/>
      <c r="D34" s="2385"/>
      <c r="E34" s="3591"/>
      <c r="F34" s="3591"/>
      <c r="G34" s="3591"/>
    </row>
    <row r="35" spans="1:7" hidden="1">
      <c r="A35" s="2388">
        <v>2</v>
      </c>
      <c r="B35" s="2385" t="s">
        <v>2510</v>
      </c>
      <c r="C35" s="2385"/>
      <c r="D35" s="2385"/>
      <c r="E35" s="3591"/>
      <c r="F35" s="3591"/>
      <c r="G35" s="3591"/>
    </row>
    <row r="36" spans="1:7" hidden="1">
      <c r="A36" s="2388">
        <v>3</v>
      </c>
      <c r="B36" s="2385" t="s">
        <v>2511</v>
      </c>
      <c r="C36" s="2385"/>
      <c r="D36" s="2385"/>
      <c r="E36" s="3591"/>
      <c r="F36" s="3591"/>
      <c r="G36" s="3591"/>
    </row>
    <row r="37" spans="1:7" hidden="1">
      <c r="A37" s="2388">
        <v>4</v>
      </c>
      <c r="B37" s="2385" t="s">
        <v>2512</v>
      </c>
      <c r="C37" s="2385"/>
      <c r="D37" s="2385"/>
      <c r="E37" s="3591"/>
      <c r="F37" s="3591"/>
      <c r="G37" s="3591"/>
    </row>
    <row r="38" spans="1:7" hidden="1">
      <c r="A38" s="3587" t="s">
        <v>2513</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7"/>
      <c r="D2" s="3267"/>
      <c r="E2" s="3267"/>
      <c r="F2" s="3267"/>
      <c r="G2" s="3267"/>
    </row>
    <row r="3" spans="1:25" s="1943" customFormat="1" ht="18" customHeight="1">
      <c r="A3" s="1331" t="s">
        <v>1676</v>
      </c>
      <c r="B3" s="419">
        <f ca="1">ROUND(B2*10000/'数据-汇总表'!E3,0)</f>
        <v>0</v>
      </c>
      <c r="C3" s="3267"/>
      <c r="D3" s="3267"/>
      <c r="E3" s="3267"/>
      <c r="F3" s="3267"/>
      <c r="G3" s="3267"/>
    </row>
    <row r="4" spans="1:25" s="1943" customFormat="1" ht="18" customHeight="1">
      <c r="A4" s="420" t="s">
        <v>462</v>
      </c>
      <c r="B4" s="421">
        <f ca="1">ROUND(B2*10000/'数据-汇总表'!D3,0)</f>
        <v>0</v>
      </c>
      <c r="C4" s="3220"/>
      <c r="D4" s="3267"/>
      <c r="E4" s="3267"/>
      <c r="F4" s="3267"/>
      <c r="G4" s="3267"/>
    </row>
    <row r="5" spans="1:25" s="1943" customFormat="1" ht="18" customHeight="1" thickBot="1">
      <c r="A5" s="423"/>
      <c r="B5" s="424">
        <f ca="1">ROUND(B2/('数据-汇总表'!D3/666.67),0)</f>
        <v>0</v>
      </c>
      <c r="C5" s="425" t="s">
        <v>463</v>
      </c>
      <c r="D5" s="3267"/>
      <c r="E5" s="3267"/>
      <c r="F5" s="3267"/>
      <c r="G5" s="3267"/>
    </row>
    <row r="6" spans="1:25" s="2065" customFormat="1" ht="13.5" customHeight="1">
      <c r="A6" s="735"/>
      <c r="B6" s="736" t="s">
        <v>598</v>
      </c>
      <c r="C6" s="737" t="s">
        <v>599</v>
      </c>
      <c r="D6" s="737" t="s">
        <v>600</v>
      </c>
      <c r="E6" s="738" t="s">
        <v>601</v>
      </c>
      <c r="F6" s="738" t="s">
        <v>602</v>
      </c>
      <c r="G6" s="3266" t="s">
        <v>2988</v>
      </c>
    </row>
    <row r="7" spans="1:25" s="2065" customFormat="1" ht="13.5" customHeight="1">
      <c r="A7" s="2323">
        <v>1</v>
      </c>
      <c r="B7" s="739" t="s">
        <v>603</v>
      </c>
      <c r="C7" s="740">
        <f>C8+C9</f>
        <v>0</v>
      </c>
      <c r="D7" s="740"/>
      <c r="E7" s="741"/>
      <c r="F7" s="741"/>
      <c r="G7" s="2332"/>
    </row>
    <row r="8" spans="1:25" s="2065" customFormat="1" ht="13.5" customHeight="1">
      <c r="A8" s="2323" t="s">
        <v>2423</v>
      </c>
      <c r="B8" s="2326" t="s">
        <v>2425</v>
      </c>
      <c r="C8" s="3270">
        <f t="shared" ref="C8:C9" si="0">ROUND(D8*E8/10000,0)</f>
        <v>0</v>
      </c>
      <c r="D8" s="3270">
        <v>0</v>
      </c>
      <c r="E8" s="3271">
        <v>0</v>
      </c>
      <c r="F8" s="741"/>
      <c r="G8" s="742"/>
    </row>
    <row r="9" spans="1:25" s="2065" customFormat="1" ht="13.5" customHeight="1">
      <c r="A9" s="2323" t="s">
        <v>2424</v>
      </c>
      <c r="B9" s="2326" t="s">
        <v>2426</v>
      </c>
      <c r="C9" s="3270">
        <f t="shared" si="0"/>
        <v>0</v>
      </c>
      <c r="D9" s="3270">
        <v>0</v>
      </c>
      <c r="E9" s="3271">
        <v>0</v>
      </c>
      <c r="F9" s="741"/>
      <c r="G9" s="742"/>
    </row>
    <row r="10" spans="1:25" s="2065" customFormat="1" ht="36">
      <c r="A10" s="2323">
        <v>2</v>
      </c>
      <c r="B10" s="739" t="s">
        <v>607</v>
      </c>
      <c r="C10" s="740">
        <f>C11+C14+C15</f>
        <v>0</v>
      </c>
      <c r="D10" s="750"/>
      <c r="E10" s="740"/>
      <c r="F10" s="751"/>
      <c r="G10" s="749" t="s">
        <v>608</v>
      </c>
    </row>
    <row r="11" spans="1:25" s="2065" customFormat="1" ht="13.5" customHeight="1">
      <c r="A11" s="2323" t="s">
        <v>2423</v>
      </c>
      <c r="B11" s="743" t="s">
        <v>604</v>
      </c>
      <c r="C11" s="744">
        <f>'数据-取费表'!B29</f>
        <v>0</v>
      </c>
      <c r="D11" s="745"/>
      <c r="E11" s="744"/>
      <c r="F11" s="746"/>
      <c r="G11" s="2331" t="s">
        <v>2434</v>
      </c>
    </row>
    <row r="12" spans="1:25" s="2065" customFormat="1" ht="13.5" customHeight="1">
      <c r="A12" s="2329" t="s">
        <v>2431</v>
      </c>
      <c r="B12" s="747" t="s">
        <v>605</v>
      </c>
      <c r="C12" s="748">
        <f>ROUND(D12*E12/10000,0)</f>
        <v>0</v>
      </c>
      <c r="D12" s="3270">
        <f>'数据-汇总表'!E5</f>
        <v>0</v>
      </c>
      <c r="E12" s="3270">
        <f>'数据-取费表'!B27</f>
        <v>0</v>
      </c>
      <c r="F12" s="746"/>
      <c r="G12" s="749"/>
    </row>
    <row r="13" spans="1:25" s="2065" customFormat="1" ht="13.5" customHeight="1">
      <c r="A13" s="2329" t="s">
        <v>2430</v>
      </c>
      <c r="B13" s="747" t="s">
        <v>606</v>
      </c>
      <c r="C13" s="748">
        <f>ROUND(D13*E13/10000,0)</f>
        <v>320</v>
      </c>
      <c r="D13" s="3270">
        <f>'数据-汇总表'!E6</f>
        <v>66666.600000000006</v>
      </c>
      <c r="E13" s="3270">
        <f>'数据-取费表'!B28</f>
        <v>48</v>
      </c>
      <c r="F13" s="746"/>
      <c r="G13" s="749"/>
    </row>
    <row r="14" spans="1:25" s="2065" customFormat="1" ht="13.5" customHeight="1">
      <c r="A14" s="2323" t="s">
        <v>2424</v>
      </c>
      <c r="B14" s="2328" t="s">
        <v>2427</v>
      </c>
      <c r="C14" s="3272">
        <f t="shared" ref="C14:C15" si="1">ROUND(D14*E14/10000,0)</f>
        <v>0</v>
      </c>
      <c r="D14" s="3270">
        <v>0</v>
      </c>
      <c r="E14" s="3271">
        <v>0</v>
      </c>
      <c r="F14" s="2327"/>
      <c r="G14" s="2330" t="s">
        <v>2432</v>
      </c>
    </row>
    <row r="15" spans="1:25" s="2065" customFormat="1" ht="13.5" customHeight="1">
      <c r="A15" s="2323" t="s">
        <v>2429</v>
      </c>
      <c r="B15" s="2328" t="s">
        <v>2428</v>
      </c>
      <c r="C15" s="3272">
        <f t="shared" si="1"/>
        <v>0</v>
      </c>
      <c r="D15" s="3270">
        <v>0</v>
      </c>
      <c r="E15" s="3271">
        <v>0</v>
      </c>
      <c r="F15" s="2327"/>
      <c r="G15" s="2330" t="s">
        <v>2433</v>
      </c>
    </row>
    <row r="16" spans="1:25" s="2066" customFormat="1" ht="48">
      <c r="A16" s="2323">
        <v>3</v>
      </c>
      <c r="B16" s="739" t="s">
        <v>609</v>
      </c>
      <c r="C16" s="3272">
        <f t="shared" ref="C16" si="2">ROUND(D16*E16/10000,0)</f>
        <v>0</v>
      </c>
      <c r="D16" s="3270">
        <v>0</v>
      </c>
      <c r="E16" s="3271">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4">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3">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3">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3">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3">
        <v>9</v>
      </c>
      <c r="B22" s="739" t="s">
        <v>619</v>
      </c>
      <c r="C22" s="740">
        <f ca="1">ROUND(C21*F22,0)</f>
        <v>0</v>
      </c>
      <c r="D22" s="750"/>
      <c r="E22" s="740"/>
      <c r="F22" s="756">
        <f>'数据-取费表'!AP16</f>
        <v>0.51700000000000002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5">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9" customFormat="1">
      <c r="A24" s="3268"/>
      <c r="D24" s="1885"/>
      <c r="E24" s="1885"/>
    </row>
    <row r="25" spans="1:25" s="3269" customFormat="1">
      <c r="A25" s="3268"/>
      <c r="D25" s="1885"/>
      <c r="E25" s="1885"/>
    </row>
    <row r="26" spans="1:25" s="3269" customFormat="1">
      <c r="A26" s="3268"/>
      <c r="D26" s="1885"/>
      <c r="E26" s="1885"/>
    </row>
    <row r="27" spans="1:25" s="3269" customFormat="1">
      <c r="A27" s="3268"/>
      <c r="D27" s="1885"/>
      <c r="E27" s="1885"/>
    </row>
    <row r="28" spans="1:25" s="3269" customFormat="1">
      <c r="A28" s="3268"/>
      <c r="D28" s="1885"/>
      <c r="E28" s="1885"/>
    </row>
    <row r="29" spans="1:25" s="3269" customFormat="1">
      <c r="A29" s="3268"/>
      <c r="D29" s="1885"/>
      <c r="E29" s="1885"/>
    </row>
    <row r="30" spans="1:25" s="3269" customFormat="1">
      <c r="A30" s="3268"/>
      <c r="D30" s="1885"/>
      <c r="E30" s="1885"/>
    </row>
    <row r="31" spans="1:25" s="3269" customFormat="1">
      <c r="A31" s="3268"/>
      <c r="D31" s="1885"/>
      <c r="E31" s="1885"/>
    </row>
    <row r="32" spans="1:25" s="3269" customFormat="1">
      <c r="A32" s="3268"/>
      <c r="D32" s="1885"/>
      <c r="E32" s="1885"/>
    </row>
    <row r="33" spans="1:5" s="3269" customFormat="1">
      <c r="A33" s="3268"/>
      <c r="D33" s="1885"/>
      <c r="E33" s="1885"/>
    </row>
    <row r="34" spans="1:5" s="3269" customFormat="1">
      <c r="A34" s="3268"/>
      <c r="D34" s="1885"/>
      <c r="E34" s="1885"/>
    </row>
    <row r="35" spans="1:5" s="3269" customFormat="1">
      <c r="A35" s="3268"/>
      <c r="D35" s="1885"/>
      <c r="E35" s="1885"/>
    </row>
    <row r="36" spans="1:5" s="3269" customFormat="1">
      <c r="A36" s="3268"/>
      <c r="D36" s="1885"/>
      <c r="E36" s="1885"/>
    </row>
    <row r="37" spans="1:5" s="3269" customFormat="1">
      <c r="A37" s="3268"/>
      <c r="D37" s="1885"/>
      <c r="E37" s="1885"/>
    </row>
    <row r="38" spans="1:5" s="3269" customFormat="1">
      <c r="A38" s="3268"/>
      <c r="D38" s="1885"/>
      <c r="E38" s="1885"/>
    </row>
    <row r="39" spans="1:5" s="3269" customFormat="1">
      <c r="A39" s="3268"/>
      <c r="D39" s="1885"/>
      <c r="E39" s="1885"/>
    </row>
    <row r="40" spans="1:5" s="3269" customFormat="1">
      <c r="A40" s="3268"/>
      <c r="D40" s="1885"/>
      <c r="E40" s="1885"/>
    </row>
    <row r="41" spans="1:5" s="3269" customFormat="1">
      <c r="A41" s="3268"/>
      <c r="D41" s="1885"/>
      <c r="E41" s="1885"/>
    </row>
    <row r="42" spans="1:5" s="3269" customFormat="1">
      <c r="A42" s="3268"/>
      <c r="D42" s="1885"/>
      <c r="E42" s="1885"/>
    </row>
    <row r="43" spans="1:5" s="3269" customFormat="1">
      <c r="A43" s="3268"/>
      <c r="D43" s="1885"/>
      <c r="E43" s="1885"/>
    </row>
    <row r="44" spans="1:5" s="3269" customFormat="1">
      <c r="A44" s="3268"/>
      <c r="D44" s="1885"/>
      <c r="E44" s="1885"/>
    </row>
    <row r="45" spans="1:5" s="3269" customFormat="1">
      <c r="A45" s="3268"/>
      <c r="D45" s="1885"/>
      <c r="E45" s="1885"/>
    </row>
    <row r="46" spans="1:5" s="3269" customFormat="1">
      <c r="A46" s="3268"/>
      <c r="D46" s="1885"/>
      <c r="E46" s="1885"/>
    </row>
    <row r="47" spans="1:5" s="3269" customFormat="1">
      <c r="A47" s="3268"/>
      <c r="D47" s="1885"/>
      <c r="E47" s="1885"/>
    </row>
    <row r="48" spans="1:5" s="3269" customFormat="1">
      <c r="A48" s="3268"/>
      <c r="D48" s="1885"/>
      <c r="E48" s="1885"/>
    </row>
    <row r="49" spans="1:5" s="3269" customFormat="1">
      <c r="A49" s="3268"/>
      <c r="D49" s="1885"/>
      <c r="E49" s="1885"/>
    </row>
    <row r="50" spans="1:5" s="3269" customFormat="1">
      <c r="A50" s="3268"/>
      <c r="D50" s="1885"/>
      <c r="E50" s="1885"/>
    </row>
    <row r="51" spans="1:5" s="3269" customFormat="1">
      <c r="A51" s="3268"/>
      <c r="D51" s="1885"/>
      <c r="E51" s="1885"/>
    </row>
    <row r="52" spans="1:5" s="3269" customFormat="1">
      <c r="A52" s="3268"/>
      <c r="D52" s="1885"/>
      <c r="E52" s="1885"/>
    </row>
    <row r="53" spans="1:5" s="3269" customFormat="1">
      <c r="A53" s="3268"/>
      <c r="D53" s="1885"/>
      <c r="E53" s="1885"/>
    </row>
    <row r="54" spans="1:5" s="3269" customFormat="1">
      <c r="A54" s="3268"/>
      <c r="D54" s="1885"/>
      <c r="E54" s="1885"/>
    </row>
    <row r="55" spans="1:5" s="3269" customFormat="1">
      <c r="A55" s="3268"/>
      <c r="D55" s="1885"/>
      <c r="E55" s="1885"/>
    </row>
    <row r="56" spans="1:5" s="3269" customFormat="1">
      <c r="A56" s="3268"/>
      <c r="D56" s="1885"/>
      <c r="E56" s="1885"/>
    </row>
    <row r="57" spans="1:5" s="3269" customFormat="1">
      <c r="A57" s="3268"/>
      <c r="D57" s="1885"/>
      <c r="E57" s="1885"/>
    </row>
    <row r="58" spans="1:5" s="3269" customFormat="1">
      <c r="A58" s="3268"/>
      <c r="D58" s="1885"/>
      <c r="E58" s="1885"/>
    </row>
    <row r="59" spans="1:5" s="3269" customFormat="1">
      <c r="A59" s="3268"/>
      <c r="D59" s="1885"/>
      <c r="E59" s="1885"/>
    </row>
    <row r="60" spans="1:5" s="3269" customFormat="1">
      <c r="A60" s="3268"/>
      <c r="D60" s="1885"/>
      <c r="E60" s="1885"/>
    </row>
    <row r="61" spans="1:5" s="3269" customFormat="1">
      <c r="A61" s="3268"/>
      <c r="D61" s="1885"/>
      <c r="E61" s="1885"/>
    </row>
    <row r="62" spans="1:5" s="3269" customFormat="1">
      <c r="A62" s="3268"/>
      <c r="D62" s="1885"/>
      <c r="E62" s="1885"/>
    </row>
    <row r="63" spans="1:5" s="3269" customFormat="1">
      <c r="A63" s="3268"/>
      <c r="D63" s="1885"/>
      <c r="E63" s="1885"/>
    </row>
  </sheetData>
  <sheetProtection password="CEE9" sheet="1" objects="1" scenarios="1" formatCells="0" formatColumns="0" formatRows="0"/>
  <phoneticPr fontId="16"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10"/>
      <c r="F1" s="2524"/>
      <c r="G1" s="1532" t="s">
        <v>715</v>
      </c>
      <c r="H1" s="500"/>
      <c r="I1" s="500"/>
      <c r="J1" s="500"/>
      <c r="K1" s="501"/>
      <c r="L1" s="3209"/>
      <c r="M1" s="3210"/>
      <c r="N1" s="3210"/>
      <c r="O1" s="3210"/>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6" t="s">
        <v>516</v>
      </c>
      <c r="D4" s="3507"/>
      <c r="E4" s="3531" t="s">
        <v>517</v>
      </c>
      <c r="F4" s="3532"/>
      <c r="G4" s="3506" t="s">
        <v>518</v>
      </c>
      <c r="H4" s="3507"/>
      <c r="I4" s="3506" t="s">
        <v>519</v>
      </c>
      <c r="J4" s="3507"/>
      <c r="K4" s="842" t="s">
        <v>520</v>
      </c>
      <c r="L4" s="2016"/>
      <c r="M4" s="2017"/>
      <c r="N4" s="2017"/>
      <c r="O4" s="2017"/>
      <c r="P4" s="3508" t="s">
        <v>521</v>
      </c>
      <c r="Q4" s="3509"/>
      <c r="R4" s="3494" t="s">
        <v>517</v>
      </c>
      <c r="S4" s="3495"/>
      <c r="T4" s="3494" t="s">
        <v>518</v>
      </c>
      <c r="U4" s="3495"/>
      <c r="V4" s="3514" t="s">
        <v>519</v>
      </c>
      <c r="W4" s="3514"/>
      <c r="X4" s="1502"/>
      <c r="Y4" s="3494" t="s">
        <v>521</v>
      </c>
      <c r="Z4" s="3495"/>
      <c r="AA4" s="3489" t="s">
        <v>517</v>
      </c>
      <c r="AB4" s="3489" t="s">
        <v>518</v>
      </c>
      <c r="AC4" s="3489" t="s">
        <v>519</v>
      </c>
    </row>
    <row r="5" spans="1:29" ht="15">
      <c r="A5" s="509"/>
      <c r="B5" s="510"/>
      <c r="C5" s="3517" t="s">
        <v>2886</v>
      </c>
      <c r="D5" s="3518"/>
      <c r="E5" s="3533" t="s">
        <v>2887</v>
      </c>
      <c r="F5" s="3534"/>
      <c r="G5" s="3517" t="s">
        <v>2888</v>
      </c>
      <c r="H5" s="3518"/>
      <c r="I5" s="3517" t="s">
        <v>2889</v>
      </c>
      <c r="J5" s="3518"/>
      <c r="K5" s="843"/>
      <c r="L5" s="2016"/>
      <c r="M5" s="2017"/>
      <c r="N5" s="2017"/>
      <c r="O5" s="2017"/>
      <c r="P5" s="3510"/>
      <c r="Q5" s="3511"/>
      <c r="R5" s="3496"/>
      <c r="S5" s="3497"/>
      <c r="T5" s="3496"/>
      <c r="U5" s="3497"/>
      <c r="V5" s="3514"/>
      <c r="W5" s="3514"/>
      <c r="X5" s="1502"/>
      <c r="Y5" s="3496"/>
      <c r="Z5" s="3497"/>
      <c r="AA5" s="3490"/>
      <c r="AB5" s="3490"/>
      <c r="AC5" s="3490"/>
    </row>
    <row r="6" spans="1:29" ht="15.75" thickBot="1">
      <c r="A6" s="511"/>
      <c r="B6" s="512"/>
      <c r="C6" s="3515" t="s">
        <v>2890</v>
      </c>
      <c r="D6" s="3516"/>
      <c r="E6" s="3535" t="s">
        <v>2890</v>
      </c>
      <c r="F6" s="3536"/>
      <c r="G6" s="3515" t="s">
        <v>2890</v>
      </c>
      <c r="H6" s="3516"/>
      <c r="I6" s="3515" t="s">
        <v>2890</v>
      </c>
      <c r="J6" s="3516"/>
      <c r="K6" s="843" t="s">
        <v>522</v>
      </c>
      <c r="L6" s="2016"/>
      <c r="M6" s="2017"/>
      <c r="N6" s="2017"/>
      <c r="O6" s="2017"/>
      <c r="P6" s="3512"/>
      <c r="Q6" s="3513"/>
      <c r="R6" s="3496"/>
      <c r="S6" s="3497"/>
      <c r="T6" s="3498"/>
      <c r="U6" s="3499"/>
      <c r="V6" s="3514"/>
      <c r="W6" s="3514"/>
      <c r="X6" s="1502"/>
      <c r="Y6" s="3498"/>
      <c r="Z6" s="3499"/>
      <c r="AA6" s="3491"/>
      <c r="AB6" s="3491"/>
      <c r="AC6" s="3491"/>
    </row>
    <row r="7" spans="1:29" s="1203" customFormat="1" ht="15.75" thickBot="1">
      <c r="A7" s="2629"/>
      <c r="B7" s="2636" t="s">
        <v>523</v>
      </c>
      <c r="C7" s="513">
        <f>'数据-取费表'!B2</f>
        <v>44101</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2" t="s">
        <v>524</v>
      </c>
      <c r="Q7" s="3501"/>
      <c r="R7" s="1503" t="s">
        <v>13</v>
      </c>
      <c r="S7" s="1504">
        <f t="shared" ref="S7:S15" si="0">F7</f>
        <v>0</v>
      </c>
      <c r="T7" s="1503" t="s">
        <v>13</v>
      </c>
      <c r="U7" s="1504">
        <f t="shared" ref="U7:U15" si="1">H7</f>
        <v>0</v>
      </c>
      <c r="V7" s="1503" t="s">
        <v>13</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2" t="s">
        <v>527</v>
      </c>
      <c r="Q8" s="3493"/>
      <c r="R8" s="1503" t="s">
        <v>13</v>
      </c>
      <c r="S8" s="1504">
        <f t="shared" si="0"/>
        <v>0</v>
      </c>
      <c r="T8" s="1503" t="s">
        <v>13</v>
      </c>
      <c r="U8" s="1504">
        <f t="shared" si="1"/>
        <v>0</v>
      </c>
      <c r="V8" s="1503" t="s">
        <v>13</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00" t="s">
        <v>529</v>
      </c>
      <c r="Q9" s="1134" t="str">
        <f t="shared" ref="Q9:Q15" si="6">B9</f>
        <v>用途</v>
      </c>
      <c r="R9" s="1503" t="s">
        <v>8</v>
      </c>
      <c r="S9" s="1504">
        <f t="shared" si="0"/>
        <v>100</v>
      </c>
      <c r="T9" s="1503" t="s">
        <v>8</v>
      </c>
      <c r="U9" s="1504">
        <f t="shared" si="1"/>
        <v>100</v>
      </c>
      <c r="V9" s="1503" t="s">
        <v>8</v>
      </c>
      <c r="W9" s="1504">
        <f t="shared" si="2"/>
        <v>100</v>
      </c>
      <c r="X9" s="1505"/>
      <c r="Y9" s="3451"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00"/>
      <c r="Q11" s="1134" t="str">
        <f t="shared" si="6"/>
        <v>容积率</v>
      </c>
      <c r="R11" s="1503" t="s">
        <v>11</v>
      </c>
      <c r="S11" s="1504" t="e">
        <f t="shared" si="0"/>
        <v>#N/A</v>
      </c>
      <c r="T11" s="1503" t="s">
        <v>11</v>
      </c>
      <c r="U11" s="1504" t="e">
        <f t="shared" si="1"/>
        <v>#N/A</v>
      </c>
      <c r="V11" s="1503" t="s">
        <v>11</v>
      </c>
      <c r="W11" s="1504" t="e">
        <f t="shared" si="2"/>
        <v>#N/A</v>
      </c>
      <c r="X11" s="1505"/>
      <c r="Y11" s="3451"/>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00"/>
      <c r="Q12" s="1134">
        <f t="shared" si="6"/>
        <v>111</v>
      </c>
      <c r="R12" s="1503" t="s">
        <v>11</v>
      </c>
      <c r="S12" s="1504">
        <f t="shared" si="0"/>
        <v>100</v>
      </c>
      <c r="T12" s="1503" t="s">
        <v>11</v>
      </c>
      <c r="U12" s="1504">
        <f t="shared" si="1"/>
        <v>100</v>
      </c>
      <c r="V12" s="1503" t="s">
        <v>11</v>
      </c>
      <c r="W12" s="1504">
        <f t="shared" si="2"/>
        <v>100</v>
      </c>
      <c r="X12" s="1505"/>
      <c r="Y12" s="3451"/>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00"/>
      <c r="Q13" s="1134">
        <f t="shared" si="6"/>
        <v>111</v>
      </c>
      <c r="R13" s="1503" t="s">
        <v>11</v>
      </c>
      <c r="S13" s="1504">
        <f t="shared" si="0"/>
        <v>100</v>
      </c>
      <c r="T13" s="1503" t="s">
        <v>11</v>
      </c>
      <c r="U13" s="1504">
        <f t="shared" si="1"/>
        <v>100</v>
      </c>
      <c r="V13" s="1503" t="s">
        <v>11</v>
      </c>
      <c r="W13" s="1504">
        <f t="shared" si="2"/>
        <v>100</v>
      </c>
      <c r="X13" s="1505"/>
      <c r="Y13" s="3451"/>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00"/>
      <c r="Q14" s="1134">
        <f t="shared" si="6"/>
        <v>111</v>
      </c>
      <c r="R14" s="1503" t="s">
        <v>11</v>
      </c>
      <c r="S14" s="1504">
        <f t="shared" si="0"/>
        <v>100</v>
      </c>
      <c r="T14" s="1503" t="s">
        <v>11</v>
      </c>
      <c r="U14" s="1504">
        <f t="shared" si="1"/>
        <v>100</v>
      </c>
      <c r="V14" s="1503" t="s">
        <v>11</v>
      </c>
      <c r="W14" s="1504">
        <f t="shared" si="2"/>
        <v>100</v>
      </c>
      <c r="X14" s="1505"/>
      <c r="Y14" s="3451"/>
      <c r="Z14" s="1133">
        <f t="shared" si="7"/>
        <v>111</v>
      </c>
      <c r="AA14" s="1506">
        <f t="shared" si="3"/>
        <v>1</v>
      </c>
      <c r="AB14" s="1506">
        <f t="shared" si="4"/>
        <v>1</v>
      </c>
      <c r="AC14" s="1506">
        <f t="shared" si="5"/>
        <v>1</v>
      </c>
    </row>
    <row r="15" spans="1:29" ht="15">
      <c r="A15" s="2627" t="s">
        <v>2735</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02" t="s">
        <v>534</v>
      </c>
      <c r="Q15" s="1507" t="str">
        <f t="shared" si="6"/>
        <v>居住社区成熟度</v>
      </c>
      <c r="R15" s="1508" t="s">
        <v>11</v>
      </c>
      <c r="S15" s="1509">
        <f t="shared" si="0"/>
        <v>100</v>
      </c>
      <c r="T15" s="1508" t="s">
        <v>11</v>
      </c>
      <c r="U15" s="1509">
        <f t="shared" si="1"/>
        <v>100</v>
      </c>
      <c r="V15" s="1508" t="s">
        <v>11</v>
      </c>
      <c r="W15" s="1509">
        <f t="shared" si="2"/>
        <v>100</v>
      </c>
      <c r="X15" s="1502"/>
      <c r="Y15" s="3502"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03"/>
      <c r="Q16" s="1507"/>
      <c r="R16" s="1508"/>
      <c r="S16" s="1509"/>
      <c r="T16" s="1508"/>
      <c r="U16" s="1509"/>
      <c r="V16" s="1508"/>
      <c r="W16" s="1509"/>
      <c r="X16" s="1502"/>
      <c r="Y16" s="3503"/>
      <c r="Z16" s="1510"/>
      <c r="AA16" s="1511">
        <v>1</v>
      </c>
      <c r="AB16" s="1511">
        <v>1</v>
      </c>
      <c r="AC16" s="1511">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3"/>
      <c r="Q17" s="1507" t="str">
        <f>B17</f>
        <v>交通便捷度</v>
      </c>
      <c r="R17" s="1508" t="s">
        <v>11</v>
      </c>
      <c r="S17" s="1509">
        <f>F17</f>
        <v>100</v>
      </c>
      <c r="T17" s="1508" t="s">
        <v>11</v>
      </c>
      <c r="U17" s="1509">
        <f>H17</f>
        <v>100</v>
      </c>
      <c r="V17" s="1508" t="s">
        <v>11</v>
      </c>
      <c r="W17" s="1509">
        <f>J17</f>
        <v>100</v>
      </c>
      <c r="X17" s="1502"/>
      <c r="Y17" s="350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03"/>
      <c r="Q18" s="1507"/>
      <c r="R18" s="1508"/>
      <c r="S18" s="1509"/>
      <c r="T18" s="1508"/>
      <c r="U18" s="1509"/>
      <c r="V18" s="1508"/>
      <c r="W18" s="1509"/>
      <c r="X18" s="1502"/>
      <c r="Y18" s="3503"/>
      <c r="Z18" s="1510"/>
      <c r="AA18" s="1511">
        <v>1</v>
      </c>
      <c r="AB18" s="1511">
        <v>1</v>
      </c>
      <c r="AC18" s="1511">
        <v>1</v>
      </c>
    </row>
    <row r="19" spans="1:29" ht="15">
      <c r="A19" s="526"/>
      <c r="B19" s="2444" t="s">
        <v>2528</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3"/>
      <c r="Q19" s="1507" t="str">
        <f>B19</f>
        <v>公共配套设施</v>
      </c>
      <c r="R19" s="1508" t="s">
        <v>11</v>
      </c>
      <c r="S19" s="1509">
        <f>F19</f>
        <v>100</v>
      </c>
      <c r="T19" s="1508" t="s">
        <v>11</v>
      </c>
      <c r="U19" s="1509">
        <f>H19</f>
        <v>100</v>
      </c>
      <c r="V19" s="1508" t="s">
        <v>11</v>
      </c>
      <c r="W19" s="1509">
        <f>J19</f>
        <v>100</v>
      </c>
      <c r="X19" s="1502"/>
      <c r="Y19" s="350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03"/>
      <c r="Q20" s="1507"/>
      <c r="R20" s="1508"/>
      <c r="S20" s="1509"/>
      <c r="T20" s="1508"/>
      <c r="U20" s="1509"/>
      <c r="V20" s="1508"/>
      <c r="W20" s="1509"/>
      <c r="X20" s="1502"/>
      <c r="Y20" s="3503"/>
      <c r="Z20" s="1510"/>
      <c r="AA20" s="1511">
        <v>1</v>
      </c>
      <c r="AB20" s="1511">
        <v>1</v>
      </c>
      <c r="AC20" s="1511">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3"/>
      <c r="Q21" s="2429" t="str">
        <f>B21</f>
        <v>基础设施水平</v>
      </c>
      <c r="R21" s="1508" t="s">
        <v>11</v>
      </c>
      <c r="S21" s="1509">
        <f>F21</f>
        <v>100</v>
      </c>
      <c r="T21" s="1508" t="s">
        <v>11</v>
      </c>
      <c r="U21" s="1509">
        <f>H21</f>
        <v>100</v>
      </c>
      <c r="V21" s="1508" t="s">
        <v>11</v>
      </c>
      <c r="W21" s="1509">
        <f>J21</f>
        <v>100</v>
      </c>
      <c r="X21" s="2431"/>
      <c r="Y21" s="350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5"/>
      <c r="M22" s="2017"/>
      <c r="N22" s="2017"/>
      <c r="O22" s="2024"/>
      <c r="P22" s="3503"/>
      <c r="Q22" s="2429"/>
      <c r="R22" s="1508"/>
      <c r="S22" s="1509"/>
      <c r="T22" s="1508"/>
      <c r="U22" s="1509"/>
      <c r="V22" s="1508"/>
      <c r="W22" s="1509"/>
      <c r="X22" s="2431"/>
      <c r="Y22" s="3503"/>
      <c r="Z22" s="2430"/>
      <c r="AA22" s="1511">
        <v>1</v>
      </c>
      <c r="AB22" s="1511">
        <v>1</v>
      </c>
      <c r="AC22" s="1511">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3"/>
      <c r="Q23" s="1507" t="str">
        <f>B23</f>
        <v>自然及人文环境</v>
      </c>
      <c r="R23" s="1508" t="s">
        <v>11</v>
      </c>
      <c r="S23" s="1509">
        <f>F23</f>
        <v>100</v>
      </c>
      <c r="T23" s="1508" t="s">
        <v>11</v>
      </c>
      <c r="U23" s="1509">
        <f>H23</f>
        <v>100</v>
      </c>
      <c r="V23" s="1508" t="s">
        <v>11</v>
      </c>
      <c r="W23" s="1509">
        <f>J23</f>
        <v>100</v>
      </c>
      <c r="X23" s="1502"/>
      <c r="Y23" s="350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03"/>
      <c r="Q24" s="1507"/>
      <c r="R24" s="1508"/>
      <c r="S24" s="1509"/>
      <c r="T24" s="1508"/>
      <c r="U24" s="1509"/>
      <c r="V24" s="1508"/>
      <c r="W24" s="1509"/>
      <c r="X24" s="1502"/>
      <c r="Y24" s="3503"/>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3"/>
      <c r="Q25" s="1507" t="str">
        <f t="shared" ref="Q25:Q46" si="11">B25</f>
        <v>楼层-1</v>
      </c>
      <c r="R25" s="1508" t="s">
        <v>11</v>
      </c>
      <c r="S25" s="1509">
        <f>F25</f>
        <v>100</v>
      </c>
      <c r="T25" s="1508" t="s">
        <v>11</v>
      </c>
      <c r="U25" s="1509">
        <f>H25</f>
        <v>100</v>
      </c>
      <c r="V25" s="1508" t="s">
        <v>11</v>
      </c>
      <c r="W25" s="1509">
        <f>J25</f>
        <v>100</v>
      </c>
      <c r="X25" s="1502"/>
      <c r="Y25" s="3503"/>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3"/>
      <c r="Q26" s="1507" t="str">
        <f t="shared" si="11"/>
        <v>朝向</v>
      </c>
      <c r="R26" s="1508" t="s">
        <v>11</v>
      </c>
      <c r="S26" s="1509">
        <f>F26</f>
        <v>100</v>
      </c>
      <c r="T26" s="1508" t="s">
        <v>11</v>
      </c>
      <c r="U26" s="1509">
        <f>H26</f>
        <v>100</v>
      </c>
      <c r="V26" s="1508" t="s">
        <v>11</v>
      </c>
      <c r="W26" s="1509">
        <f>J26</f>
        <v>100</v>
      </c>
      <c r="X26" s="1502"/>
      <c r="Y26" s="3503"/>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3"/>
      <c r="Q27" s="1134" t="str">
        <f t="shared" si="11"/>
        <v>道路级别</v>
      </c>
      <c r="R27" s="1503" t="s">
        <v>11</v>
      </c>
      <c r="S27" s="1504">
        <f>F27</f>
        <v>100</v>
      </c>
      <c r="T27" s="1503" t="s">
        <v>11</v>
      </c>
      <c r="U27" s="1504">
        <f>H27</f>
        <v>100</v>
      </c>
      <c r="V27" s="1503" t="s">
        <v>11</v>
      </c>
      <c r="W27" s="1504">
        <f>J27</f>
        <v>100</v>
      </c>
      <c r="X27" s="1505"/>
      <c r="Y27" s="3503"/>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3"/>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3"/>
      <c r="Q29" s="1507">
        <f t="shared" si="11"/>
        <v>111</v>
      </c>
      <c r="R29" s="1508" t="s">
        <v>11</v>
      </c>
      <c r="S29" s="1509">
        <f t="shared" si="12"/>
        <v>100</v>
      </c>
      <c r="T29" s="1508" t="s">
        <v>11</v>
      </c>
      <c r="U29" s="1509">
        <f t="shared" si="13"/>
        <v>100</v>
      </c>
      <c r="V29" s="1508" t="s">
        <v>11</v>
      </c>
      <c r="W29" s="1509">
        <f t="shared" si="14"/>
        <v>100</v>
      </c>
      <c r="X29" s="1502"/>
      <c r="Y29" s="350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3"/>
      <c r="Q30" s="1507">
        <f t="shared" si="11"/>
        <v>111</v>
      </c>
      <c r="R30" s="1508" t="s">
        <v>11</v>
      </c>
      <c r="S30" s="1509">
        <f t="shared" si="12"/>
        <v>100</v>
      </c>
      <c r="T30" s="1508" t="s">
        <v>11</v>
      </c>
      <c r="U30" s="1509">
        <f t="shared" si="13"/>
        <v>100</v>
      </c>
      <c r="V30" s="1508" t="s">
        <v>11</v>
      </c>
      <c r="W30" s="1509">
        <f t="shared" si="14"/>
        <v>100</v>
      </c>
      <c r="X30" s="1502"/>
      <c r="Y30" s="3503"/>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3"/>
      <c r="Q31" s="1507">
        <f t="shared" si="11"/>
        <v>111</v>
      </c>
      <c r="R31" s="1508" t="s">
        <v>11</v>
      </c>
      <c r="S31" s="1509">
        <f t="shared" si="12"/>
        <v>100</v>
      </c>
      <c r="T31" s="1508" t="s">
        <v>11</v>
      </c>
      <c r="U31" s="1509">
        <f t="shared" si="13"/>
        <v>100</v>
      </c>
      <c r="V31" s="1508" t="s">
        <v>11</v>
      </c>
      <c r="W31" s="1509">
        <f t="shared" si="14"/>
        <v>100</v>
      </c>
      <c r="X31" s="1502"/>
      <c r="Y31" s="3503"/>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04" t="s">
        <v>544</v>
      </c>
      <c r="Q32" s="1507" t="str">
        <f t="shared" si="11"/>
        <v>建筑类型</v>
      </c>
      <c r="R32" s="1508" t="s">
        <v>11</v>
      </c>
      <c r="S32" s="1509">
        <f t="shared" si="12"/>
        <v>100</v>
      </c>
      <c r="T32" s="1508" t="s">
        <v>11</v>
      </c>
      <c r="U32" s="1509">
        <f t="shared" si="13"/>
        <v>100</v>
      </c>
      <c r="V32" s="1508" t="s">
        <v>11</v>
      </c>
      <c r="W32" s="1509">
        <f t="shared" si="14"/>
        <v>100</v>
      </c>
      <c r="X32" s="1502"/>
      <c r="Y32" s="3505"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5"/>
      <c r="Q33" s="1536" t="str">
        <f t="shared" si="11"/>
        <v>项目建筑规模</v>
      </c>
      <c r="R33" s="1512" t="s">
        <v>11</v>
      </c>
      <c r="S33" s="1513" t="e">
        <f t="shared" si="12"/>
        <v>#N/A</v>
      </c>
      <c r="T33" s="1512" t="s">
        <v>11</v>
      </c>
      <c r="U33" s="1513" t="e">
        <f t="shared" si="13"/>
        <v>#N/A</v>
      </c>
      <c r="V33" s="1512" t="s">
        <v>11</v>
      </c>
      <c r="W33" s="1513" t="e">
        <f t="shared" si="14"/>
        <v>#N/A</v>
      </c>
      <c r="X33" s="1514"/>
      <c r="Y33" s="350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5"/>
      <c r="Q34" s="1507" t="str">
        <f t="shared" si="11"/>
        <v>建筑结构</v>
      </c>
      <c r="R34" s="1508" t="s">
        <v>11</v>
      </c>
      <c r="S34" s="1509">
        <f t="shared" si="12"/>
        <v>100</v>
      </c>
      <c r="T34" s="1508" t="s">
        <v>11</v>
      </c>
      <c r="U34" s="1509">
        <f t="shared" si="13"/>
        <v>100</v>
      </c>
      <c r="V34" s="1508" t="s">
        <v>11</v>
      </c>
      <c r="W34" s="1509">
        <f t="shared" si="14"/>
        <v>100</v>
      </c>
      <c r="X34" s="1502"/>
      <c r="Y34" s="3505"/>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5"/>
      <c r="Q35" s="1507" t="str">
        <f t="shared" si="11"/>
        <v>建筑品质</v>
      </c>
      <c r="R35" s="1508" t="s">
        <v>11</v>
      </c>
      <c r="S35" s="1509">
        <f t="shared" si="12"/>
        <v>100</v>
      </c>
      <c r="T35" s="1508" t="s">
        <v>11</v>
      </c>
      <c r="U35" s="1509">
        <f t="shared" si="13"/>
        <v>100</v>
      </c>
      <c r="V35" s="1508" t="s">
        <v>11</v>
      </c>
      <c r="W35" s="1509">
        <f t="shared" si="14"/>
        <v>100</v>
      </c>
      <c r="X35" s="1502"/>
      <c r="Y35" s="3505"/>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5"/>
      <c r="Q36" s="1507" t="str">
        <f t="shared" si="11"/>
        <v>公共部分装修</v>
      </c>
      <c r="R36" s="1508" t="s">
        <v>11</v>
      </c>
      <c r="S36" s="1509">
        <f t="shared" si="12"/>
        <v>100</v>
      </c>
      <c r="T36" s="1508" t="s">
        <v>11</v>
      </c>
      <c r="U36" s="1509">
        <f t="shared" si="13"/>
        <v>100</v>
      </c>
      <c r="V36" s="1508" t="s">
        <v>11</v>
      </c>
      <c r="W36" s="1509">
        <f t="shared" si="14"/>
        <v>100</v>
      </c>
      <c r="X36" s="1502"/>
      <c r="Y36" s="3505"/>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5"/>
      <c r="Q37" s="1134" t="str">
        <f t="shared" si="11"/>
        <v>成新度</v>
      </c>
      <c r="R37" s="1503" t="s">
        <v>11</v>
      </c>
      <c r="S37" s="1504" t="e">
        <f t="shared" si="12"/>
        <v>#N/A</v>
      </c>
      <c r="T37" s="1503" t="s">
        <v>11</v>
      </c>
      <c r="U37" s="1504" t="e">
        <f t="shared" si="13"/>
        <v>#N/A</v>
      </c>
      <c r="V37" s="1503" t="s">
        <v>11</v>
      </c>
      <c r="W37" s="1504" t="e">
        <f t="shared" si="14"/>
        <v>#N/A</v>
      </c>
      <c r="X37" s="1505"/>
      <c r="Y37" s="3505"/>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5" t="s">
        <v>544</v>
      </c>
      <c r="Q38" s="1507" t="str">
        <f t="shared" si="11"/>
        <v>物业管理</v>
      </c>
      <c r="R38" s="1508" t="s">
        <v>11</v>
      </c>
      <c r="S38" s="1509">
        <f t="shared" si="12"/>
        <v>100</v>
      </c>
      <c r="T38" s="1508" t="s">
        <v>11</v>
      </c>
      <c r="U38" s="1509">
        <f t="shared" si="13"/>
        <v>100</v>
      </c>
      <c r="V38" s="1508" t="s">
        <v>11</v>
      </c>
      <c r="W38" s="1509">
        <f t="shared" si="14"/>
        <v>100</v>
      </c>
      <c r="X38" s="1502"/>
      <c r="Y38" s="3505"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5"/>
      <c r="Q39" s="1507" t="str">
        <f t="shared" si="11"/>
        <v>市政基础设施</v>
      </c>
      <c r="R39" s="1508" t="s">
        <v>11</v>
      </c>
      <c r="S39" s="1509">
        <f t="shared" si="12"/>
        <v>100</v>
      </c>
      <c r="T39" s="1508" t="s">
        <v>11</v>
      </c>
      <c r="U39" s="1509">
        <f t="shared" si="13"/>
        <v>100</v>
      </c>
      <c r="V39" s="1508" t="s">
        <v>11</v>
      </c>
      <c r="W39" s="1509">
        <f t="shared" si="14"/>
        <v>100</v>
      </c>
      <c r="X39" s="1502"/>
      <c r="Y39" s="3505"/>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5"/>
      <c r="Q40" s="1507" t="str">
        <f t="shared" si="11"/>
        <v>房型</v>
      </c>
      <c r="R40" s="1508" t="s">
        <v>11</v>
      </c>
      <c r="S40" s="1509">
        <f t="shared" si="12"/>
        <v>100</v>
      </c>
      <c r="T40" s="1508" t="s">
        <v>11</v>
      </c>
      <c r="U40" s="1509">
        <f t="shared" si="13"/>
        <v>100</v>
      </c>
      <c r="V40" s="1508" t="s">
        <v>11</v>
      </c>
      <c r="W40" s="1509">
        <f t="shared" si="14"/>
        <v>100</v>
      </c>
      <c r="X40" s="1502"/>
      <c r="Y40" s="3505"/>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5"/>
      <c r="Q41" s="1536" t="str">
        <f t="shared" si="11"/>
        <v>单套/主力户型建筑面积</v>
      </c>
      <c r="R41" s="1512" t="s">
        <v>11</v>
      </c>
      <c r="S41" s="1513">
        <f t="shared" si="12"/>
        <v>100</v>
      </c>
      <c r="T41" s="1512" t="s">
        <v>11</v>
      </c>
      <c r="U41" s="1513">
        <f t="shared" si="13"/>
        <v>100</v>
      </c>
      <c r="V41" s="1512" t="s">
        <v>11</v>
      </c>
      <c r="W41" s="1513">
        <f t="shared" si="14"/>
        <v>100</v>
      </c>
      <c r="X41" s="1514"/>
      <c r="Y41" s="3505"/>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5"/>
      <c r="Q42" s="1507" t="str">
        <f t="shared" si="11"/>
        <v>内部装修</v>
      </c>
      <c r="R42" s="1508" t="s">
        <v>11</v>
      </c>
      <c r="S42" s="1509">
        <f t="shared" si="12"/>
        <v>100</v>
      </c>
      <c r="T42" s="1508" t="s">
        <v>11</v>
      </c>
      <c r="U42" s="1509">
        <f t="shared" si="13"/>
        <v>100</v>
      </c>
      <c r="V42" s="1508" t="s">
        <v>11</v>
      </c>
      <c r="W42" s="1509">
        <f t="shared" si="14"/>
        <v>100</v>
      </c>
      <c r="X42" s="1502"/>
      <c r="Y42" s="3505"/>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5"/>
      <c r="Q43" s="1507" t="str">
        <f t="shared" si="11"/>
        <v>内部装修维护情况</v>
      </c>
      <c r="R43" s="1508" t="s">
        <v>11</v>
      </c>
      <c r="S43" s="1509">
        <f t="shared" si="12"/>
        <v>100</v>
      </c>
      <c r="T43" s="1508" t="s">
        <v>11</v>
      </c>
      <c r="U43" s="1509">
        <f t="shared" si="13"/>
        <v>100</v>
      </c>
      <c r="V43" s="1508" t="s">
        <v>11</v>
      </c>
      <c r="W43" s="1509">
        <f t="shared" si="14"/>
        <v>100</v>
      </c>
      <c r="X43" s="1502"/>
      <c r="Y43" s="350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5"/>
      <c r="Q44" s="1134">
        <f t="shared" si="11"/>
        <v>111</v>
      </c>
      <c r="R44" s="1503" t="s">
        <v>11</v>
      </c>
      <c r="S44" s="1504">
        <f t="shared" si="12"/>
        <v>100</v>
      </c>
      <c r="T44" s="1503" t="s">
        <v>11</v>
      </c>
      <c r="U44" s="1504">
        <f t="shared" si="13"/>
        <v>100</v>
      </c>
      <c r="V44" s="1503" t="s">
        <v>11</v>
      </c>
      <c r="W44" s="1504">
        <f t="shared" si="14"/>
        <v>100</v>
      </c>
      <c r="X44" s="1505"/>
      <c r="Y44" s="350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5"/>
      <c r="Q45" s="1507">
        <f t="shared" si="11"/>
        <v>111</v>
      </c>
      <c r="R45" s="1508" t="s">
        <v>11</v>
      </c>
      <c r="S45" s="1509">
        <f t="shared" si="12"/>
        <v>100</v>
      </c>
      <c r="T45" s="1508" t="s">
        <v>11</v>
      </c>
      <c r="U45" s="1509">
        <f t="shared" si="13"/>
        <v>100</v>
      </c>
      <c r="V45" s="1508" t="s">
        <v>11</v>
      </c>
      <c r="W45" s="1509">
        <f t="shared" si="14"/>
        <v>100</v>
      </c>
      <c r="X45" s="1502"/>
      <c r="Y45" s="3505"/>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0"/>
      <c r="Q46" s="1507">
        <f t="shared" si="11"/>
        <v>111</v>
      </c>
      <c r="R46" s="1508" t="s">
        <v>10</v>
      </c>
      <c r="S46" s="1509">
        <f t="shared" si="12"/>
        <v>100</v>
      </c>
      <c r="T46" s="1508" t="s">
        <v>10</v>
      </c>
      <c r="U46" s="1509">
        <f t="shared" si="13"/>
        <v>100</v>
      </c>
      <c r="V46" s="1508" t="s">
        <v>10</v>
      </c>
      <c r="W46" s="1509">
        <f t="shared" si="14"/>
        <v>100</v>
      </c>
      <c r="X46" s="1502"/>
      <c r="Y46" s="361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7"/>
      <c r="M47" s="2028"/>
      <c r="N47" s="2017"/>
      <c r="O47" s="2028"/>
      <c r="P47" s="3500" t="str">
        <f>A47</f>
        <v>成交单价（元/平方米）</v>
      </c>
      <c r="Q47" s="3500"/>
      <c r="R47" s="3609">
        <f>E47</f>
        <v>0</v>
      </c>
      <c r="S47" s="3609"/>
      <c r="T47" s="3609">
        <f>G47</f>
        <v>0</v>
      </c>
      <c r="U47" s="3609"/>
      <c r="V47" s="3609">
        <f>I47</f>
        <v>0</v>
      </c>
      <c r="W47" s="3609"/>
      <c r="X47" s="1497"/>
      <c r="Y47" s="1516"/>
      <c r="Z47" s="1497"/>
      <c r="AA47" s="1497"/>
      <c r="AB47" s="1497"/>
      <c r="AC47" s="1497"/>
    </row>
    <row r="48" spans="1:29" ht="15.75" thickBot="1">
      <c r="A48" s="609" t="s">
        <v>2741</v>
      </c>
      <c r="B48" s="877"/>
      <c r="C48" s="2476" t="e">
        <f>R49</f>
        <v>#DIV/0!</v>
      </c>
      <c r="D48" s="3014" t="s">
        <v>2961</v>
      </c>
      <c r="E48" s="2477" t="e">
        <f>R48</f>
        <v>#DIV/0!</v>
      </c>
      <c r="F48" s="3015"/>
      <c r="G48" s="2476" t="e">
        <f>T48</f>
        <v>#DIV/0!</v>
      </c>
      <c r="H48" s="3015"/>
      <c r="I48" s="2477" t="e">
        <f>V48</f>
        <v>#DIV/0!</v>
      </c>
      <c r="J48" s="3015"/>
      <c r="K48" s="3023">
        <f>F48+H48+J48</f>
        <v>0</v>
      </c>
      <c r="L48" s="2027"/>
      <c r="M48" s="2028"/>
      <c r="N48" s="2028"/>
      <c r="O48" s="2028"/>
      <c r="P48" s="3500" t="str">
        <f>A48</f>
        <v>比较价格（元/平方米）</v>
      </c>
      <c r="Q48" s="3500"/>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497"/>
      <c r="Y48" s="1497"/>
      <c r="Z48" s="1497"/>
      <c r="AA48" s="1497"/>
      <c r="AB48" s="1497"/>
      <c r="AC48" s="1497"/>
    </row>
    <row r="49" spans="1:29" ht="15.75" thickBot="1">
      <c r="A49" s="613" t="s">
        <v>2892</v>
      </c>
      <c r="B49" s="614"/>
      <c r="C49" s="2478" t="e">
        <f>R49</f>
        <v>#DIV/0!</v>
      </c>
      <c r="D49" s="2478"/>
      <c r="E49" s="2478"/>
      <c r="F49" s="2478"/>
      <c r="G49" s="2478"/>
      <c r="H49" s="2478"/>
      <c r="I49" s="2478"/>
      <c r="J49" s="2478"/>
      <c r="K49" s="1538"/>
      <c r="L49" s="2027"/>
      <c r="M49" s="2028"/>
      <c r="N49" s="2028"/>
      <c r="O49" s="2028"/>
      <c r="P49" s="3521" t="str">
        <f>A49</f>
        <v>估价对象XX用房的比较价格（楼面单价，元/平方米）</v>
      </c>
      <c r="Q49" s="3522"/>
      <c r="R49" s="3608" t="e">
        <f>IF(F1="售价",ROUND(IF(D48="简单平均",AVERAGE(R48:V48),R48*F48+T48*H48+V48*J48),0),ROUND(IF(D48="简单平均",AVERAGE(R48:V48),R48*F48+T48*H48+V48*J48),1))</f>
        <v>#DIV/0!</v>
      </c>
      <c r="S49" s="3608"/>
      <c r="T49" s="3608"/>
      <c r="U49" s="3608"/>
      <c r="V49" s="3608"/>
      <c r="W49" s="3608"/>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06" t="s">
        <v>516</v>
      </c>
      <c r="D4" s="3507"/>
      <c r="E4" s="3531" t="s">
        <v>517</v>
      </c>
      <c r="F4" s="3532"/>
      <c r="G4" s="3506" t="s">
        <v>518</v>
      </c>
      <c r="H4" s="3507"/>
      <c r="I4" s="3506" t="s">
        <v>519</v>
      </c>
      <c r="J4" s="3507"/>
      <c r="K4" s="508" t="s">
        <v>520</v>
      </c>
      <c r="L4" s="2016"/>
      <c r="M4" s="2017"/>
      <c r="N4" s="2017"/>
      <c r="O4" s="2017"/>
      <c r="P4" s="3508" t="s">
        <v>521</v>
      </c>
      <c r="Q4" s="3509"/>
      <c r="R4" s="3494" t="s">
        <v>517</v>
      </c>
      <c r="S4" s="3495"/>
      <c r="T4" s="3494" t="s">
        <v>518</v>
      </c>
      <c r="U4" s="3495"/>
      <c r="V4" s="3514" t="s">
        <v>519</v>
      </c>
      <c r="W4" s="3514"/>
      <c r="X4" s="1502"/>
      <c r="Y4" s="3494" t="s">
        <v>521</v>
      </c>
      <c r="Z4" s="3495"/>
      <c r="AA4" s="3489" t="s">
        <v>517</v>
      </c>
      <c r="AB4" s="3514" t="s">
        <v>518</v>
      </c>
      <c r="AC4" s="3489" t="s">
        <v>519</v>
      </c>
    </row>
    <row r="5" spans="1:29" ht="15">
      <c r="A5" s="509"/>
      <c r="B5" s="510"/>
      <c r="C5" s="3517" t="s">
        <v>2886</v>
      </c>
      <c r="D5" s="3518"/>
      <c r="E5" s="3533" t="s">
        <v>2887</v>
      </c>
      <c r="F5" s="3534"/>
      <c r="G5" s="3517" t="s">
        <v>2888</v>
      </c>
      <c r="H5" s="3518"/>
      <c r="I5" s="3517" t="s">
        <v>2889</v>
      </c>
      <c r="J5" s="3518"/>
      <c r="K5" s="508"/>
      <c r="L5" s="2016"/>
      <c r="M5" s="2017"/>
      <c r="N5" s="2017"/>
      <c r="O5" s="2017"/>
      <c r="P5" s="3510"/>
      <c r="Q5" s="3511"/>
      <c r="R5" s="3496"/>
      <c r="S5" s="3497"/>
      <c r="T5" s="3496"/>
      <c r="U5" s="3497"/>
      <c r="V5" s="3514"/>
      <c r="W5" s="3514"/>
      <c r="X5" s="1502"/>
      <c r="Y5" s="3496"/>
      <c r="Z5" s="3497"/>
      <c r="AA5" s="3490"/>
      <c r="AB5" s="3514"/>
      <c r="AC5" s="3490"/>
    </row>
    <row r="6" spans="1:29" ht="15.75" thickBot="1">
      <c r="A6" s="511"/>
      <c r="B6" s="512"/>
      <c r="C6" s="3515" t="s">
        <v>2890</v>
      </c>
      <c r="D6" s="3516"/>
      <c r="E6" s="3535" t="s">
        <v>2890</v>
      </c>
      <c r="F6" s="3536"/>
      <c r="G6" s="3515" t="s">
        <v>2890</v>
      </c>
      <c r="H6" s="3516"/>
      <c r="I6" s="3515" t="s">
        <v>2890</v>
      </c>
      <c r="J6" s="3516"/>
      <c r="K6" s="508" t="s">
        <v>522</v>
      </c>
      <c r="L6" s="2016"/>
      <c r="M6" s="2017"/>
      <c r="N6" s="2017"/>
      <c r="O6" s="2017"/>
      <c r="P6" s="3512"/>
      <c r="Q6" s="3513"/>
      <c r="R6" s="3496"/>
      <c r="S6" s="3497"/>
      <c r="T6" s="3498"/>
      <c r="U6" s="3499"/>
      <c r="V6" s="3514"/>
      <c r="W6" s="3514"/>
      <c r="X6" s="1502"/>
      <c r="Y6" s="3498"/>
      <c r="Z6" s="3499"/>
      <c r="AA6" s="3491"/>
      <c r="AB6" s="3514"/>
      <c r="AC6" s="3491"/>
    </row>
    <row r="7" spans="1:29" s="1203" customFormat="1" ht="15.75" thickBot="1">
      <c r="A7" s="2629"/>
      <c r="B7" s="2636" t="s">
        <v>523</v>
      </c>
      <c r="C7" s="513">
        <f>'数据-取费表'!B2</f>
        <v>44101</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2" t="s">
        <v>524</v>
      </c>
      <c r="Q7" s="3501"/>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00" t="s">
        <v>529</v>
      </c>
      <c r="Q9" s="1134" t="str">
        <f t="shared" ref="Q9:Q15" si="6">B9</f>
        <v>用途</v>
      </c>
      <c r="R9" s="1503" t="s">
        <v>8</v>
      </c>
      <c r="S9" s="1504">
        <f t="shared" si="0"/>
        <v>100</v>
      </c>
      <c r="T9" s="1503" t="s">
        <v>8</v>
      </c>
      <c r="U9" s="1504">
        <f t="shared" si="1"/>
        <v>100</v>
      </c>
      <c r="V9" s="1503" t="s">
        <v>8</v>
      </c>
      <c r="W9" s="1504">
        <f t="shared" si="2"/>
        <v>100</v>
      </c>
      <c r="X9" s="1505"/>
      <c r="Y9" s="3451"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00"/>
      <c r="Q11" s="1134" t="str">
        <f t="shared" si="6"/>
        <v>容积率</v>
      </c>
      <c r="R11" s="1503" t="s">
        <v>8</v>
      </c>
      <c r="S11" s="1504" t="e">
        <f t="shared" si="0"/>
        <v>#N/A</v>
      </c>
      <c r="T11" s="1503" t="s">
        <v>8</v>
      </c>
      <c r="U11" s="1504" t="e">
        <f t="shared" si="1"/>
        <v>#N/A</v>
      </c>
      <c r="V11" s="1503" t="s">
        <v>8</v>
      </c>
      <c r="W11" s="1504" t="e">
        <f t="shared" si="2"/>
        <v>#N/A</v>
      </c>
      <c r="X11" s="1505"/>
      <c r="Y11" s="3451"/>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00"/>
      <c r="Q12" s="1134">
        <f t="shared" si="6"/>
        <v>111</v>
      </c>
      <c r="R12" s="1503" t="s">
        <v>8</v>
      </c>
      <c r="S12" s="1504">
        <f t="shared" si="0"/>
        <v>100</v>
      </c>
      <c r="T12" s="1503" t="s">
        <v>8</v>
      </c>
      <c r="U12" s="1504">
        <f t="shared" si="1"/>
        <v>100</v>
      </c>
      <c r="V12" s="1503" t="s">
        <v>8</v>
      </c>
      <c r="W12" s="1504">
        <f t="shared" si="2"/>
        <v>100</v>
      </c>
      <c r="X12" s="1505"/>
      <c r="Y12" s="3451"/>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00"/>
      <c r="Q13" s="1134">
        <f t="shared" si="6"/>
        <v>111</v>
      </c>
      <c r="R13" s="1503" t="s">
        <v>8</v>
      </c>
      <c r="S13" s="1504">
        <f t="shared" si="0"/>
        <v>100</v>
      </c>
      <c r="T13" s="1503" t="s">
        <v>8</v>
      </c>
      <c r="U13" s="1504">
        <f t="shared" si="1"/>
        <v>100</v>
      </c>
      <c r="V13" s="1503" t="s">
        <v>8</v>
      </c>
      <c r="W13" s="1504">
        <f t="shared" si="2"/>
        <v>100</v>
      </c>
      <c r="X13" s="1505"/>
      <c r="Y13" s="3451"/>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00"/>
      <c r="Q14" s="1134">
        <f t="shared" si="6"/>
        <v>111</v>
      </c>
      <c r="R14" s="1503" t="s">
        <v>8</v>
      </c>
      <c r="S14" s="1504">
        <f t="shared" si="0"/>
        <v>100</v>
      </c>
      <c r="T14" s="1503" t="s">
        <v>8</v>
      </c>
      <c r="U14" s="1504">
        <f t="shared" si="1"/>
        <v>100</v>
      </c>
      <c r="V14" s="1503" t="s">
        <v>8</v>
      </c>
      <c r="W14" s="1504">
        <f t="shared" si="2"/>
        <v>100</v>
      </c>
      <c r="X14" s="1505"/>
      <c r="Y14" s="3451"/>
      <c r="Z14" s="1133">
        <f t="shared" si="7"/>
        <v>111</v>
      </c>
      <c r="AA14" s="1506">
        <f t="shared" si="3"/>
        <v>1</v>
      </c>
      <c r="AB14" s="1506">
        <f t="shared" si="4"/>
        <v>1</v>
      </c>
      <c r="AC14" s="1506">
        <f t="shared" si="5"/>
        <v>1</v>
      </c>
    </row>
    <row r="15" spans="1:29" ht="15">
      <c r="A15" s="2627" t="s">
        <v>2735</v>
      </c>
      <c r="B15" s="164" t="s">
        <v>535</v>
      </c>
      <c r="C15" s="856" t="str">
        <f>估价对象房地状况!C4</f>
        <v>较差</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2" t="s">
        <v>534</v>
      </c>
      <c r="Q15" s="1507" t="str">
        <f t="shared" si="6"/>
        <v>商业繁华度</v>
      </c>
      <c r="R15" s="1508" t="s">
        <v>8</v>
      </c>
      <c r="S15" s="1509">
        <f t="shared" si="0"/>
        <v>100</v>
      </c>
      <c r="T15" s="1508" t="s">
        <v>8</v>
      </c>
      <c r="U15" s="1509">
        <f t="shared" si="1"/>
        <v>100</v>
      </c>
      <c r="V15" s="1508" t="s">
        <v>8</v>
      </c>
      <c r="W15" s="1509">
        <f t="shared" si="2"/>
        <v>100</v>
      </c>
      <c r="X15" s="1502"/>
      <c r="Y15" s="350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3"/>
      <c r="Q16" s="1507"/>
      <c r="R16" s="1508"/>
      <c r="S16" s="1509"/>
      <c r="T16" s="1508"/>
      <c r="U16" s="1509"/>
      <c r="V16" s="1508"/>
      <c r="W16" s="1509"/>
      <c r="X16" s="1502"/>
      <c r="Y16" s="3503"/>
      <c r="Z16" s="1510"/>
      <c r="AA16" s="1511">
        <v>1</v>
      </c>
      <c r="AB16" s="1511">
        <v>1</v>
      </c>
      <c r="AC16" s="1511">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3"/>
      <c r="Q17" s="1507" t="str">
        <f>B17</f>
        <v>交通便捷度</v>
      </c>
      <c r="R17" s="1508" t="s">
        <v>8</v>
      </c>
      <c r="S17" s="1509">
        <f>F17</f>
        <v>100</v>
      </c>
      <c r="T17" s="1508" t="s">
        <v>8</v>
      </c>
      <c r="U17" s="1509">
        <f>H17</f>
        <v>100</v>
      </c>
      <c r="V17" s="1508" t="s">
        <v>8</v>
      </c>
      <c r="W17" s="1509">
        <f>J17</f>
        <v>100</v>
      </c>
      <c r="X17" s="1502"/>
      <c r="Y17" s="350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3"/>
      <c r="Q18" s="1507"/>
      <c r="R18" s="1508"/>
      <c r="S18" s="1509"/>
      <c r="T18" s="1508"/>
      <c r="U18" s="1509"/>
      <c r="V18" s="1508"/>
      <c r="W18" s="1509"/>
      <c r="X18" s="1502"/>
      <c r="Y18" s="3503"/>
      <c r="Z18" s="1510"/>
      <c r="AA18" s="1511">
        <v>1</v>
      </c>
      <c r="AB18" s="1511">
        <v>1</v>
      </c>
      <c r="AC18" s="1511">
        <v>1</v>
      </c>
    </row>
    <row r="19" spans="1:29" ht="15">
      <c r="A19" s="526"/>
      <c r="B19" s="2444" t="s">
        <v>2528</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3"/>
      <c r="Q19" s="1507" t="str">
        <f>B19</f>
        <v>公共配套设施</v>
      </c>
      <c r="R19" s="1508" t="s">
        <v>8</v>
      </c>
      <c r="S19" s="1509">
        <f>F19</f>
        <v>100</v>
      </c>
      <c r="T19" s="1508" t="s">
        <v>8</v>
      </c>
      <c r="U19" s="1509">
        <f>H19</f>
        <v>100</v>
      </c>
      <c r="V19" s="1508" t="s">
        <v>8</v>
      </c>
      <c r="W19" s="1509">
        <f>J19</f>
        <v>100</v>
      </c>
      <c r="X19" s="1502"/>
      <c r="Y19" s="350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3"/>
      <c r="Q20" s="1507"/>
      <c r="R20" s="1508"/>
      <c r="S20" s="1509"/>
      <c r="T20" s="1508"/>
      <c r="U20" s="1509"/>
      <c r="V20" s="1508"/>
      <c r="W20" s="1509"/>
      <c r="X20" s="1502"/>
      <c r="Y20" s="3503"/>
      <c r="Z20" s="1510"/>
      <c r="AA20" s="1511">
        <v>1</v>
      </c>
      <c r="AB20" s="1511">
        <v>1</v>
      </c>
      <c r="AC20" s="1511">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3"/>
      <c r="Q21" s="2429" t="str">
        <f>B21</f>
        <v>基础设施水平</v>
      </c>
      <c r="R21" s="1508" t="s">
        <v>8</v>
      </c>
      <c r="S21" s="1509">
        <f>F21</f>
        <v>100</v>
      </c>
      <c r="T21" s="1508" t="s">
        <v>8</v>
      </c>
      <c r="U21" s="1509">
        <f>H21</f>
        <v>100</v>
      </c>
      <c r="V21" s="1508" t="s">
        <v>8</v>
      </c>
      <c r="W21" s="1509">
        <f>J21</f>
        <v>100</v>
      </c>
      <c r="X21" s="2431"/>
      <c r="Y21" s="350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5"/>
      <c r="M22" s="2017"/>
      <c r="N22" s="2017"/>
      <c r="O22" s="2024"/>
      <c r="P22" s="3503"/>
      <c r="Q22" s="2429"/>
      <c r="R22" s="1508"/>
      <c r="S22" s="1509"/>
      <c r="T22" s="1508"/>
      <c r="U22" s="1509"/>
      <c r="V22" s="1508"/>
      <c r="W22" s="1509"/>
      <c r="X22" s="2431"/>
      <c r="Y22" s="3503"/>
      <c r="Z22" s="2430"/>
      <c r="AA22" s="1511">
        <v>1</v>
      </c>
      <c r="AB22" s="1511">
        <v>1</v>
      </c>
      <c r="AC22" s="1511">
        <v>1</v>
      </c>
    </row>
    <row r="23" spans="1:29" ht="15">
      <c r="A23" s="526"/>
      <c r="B23" s="860" t="s">
        <v>297</v>
      </c>
      <c r="C23" s="889"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3"/>
      <c r="Q23" s="1507" t="str">
        <f>B23</f>
        <v>自然及人文环境</v>
      </c>
      <c r="R23" s="1508" t="s">
        <v>8</v>
      </c>
      <c r="S23" s="1509">
        <f>F23</f>
        <v>100</v>
      </c>
      <c r="T23" s="1508" t="s">
        <v>8</v>
      </c>
      <c r="U23" s="1509">
        <f>H23</f>
        <v>100</v>
      </c>
      <c r="V23" s="1508" t="s">
        <v>8</v>
      </c>
      <c r="W23" s="1509">
        <f>J23</f>
        <v>100</v>
      </c>
      <c r="X23" s="1502"/>
      <c r="Y23" s="350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3"/>
      <c r="Q24" s="1507"/>
      <c r="R24" s="1508"/>
      <c r="S24" s="1509"/>
      <c r="T24" s="1508"/>
      <c r="U24" s="1509"/>
      <c r="V24" s="1508"/>
      <c r="W24" s="1509"/>
      <c r="X24" s="1502"/>
      <c r="Y24" s="350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3"/>
      <c r="Q25" s="1507" t="str">
        <f t="shared" ref="Q25:Q46" si="11">B25</f>
        <v>临街状况</v>
      </c>
      <c r="R25" s="1508" t="s">
        <v>8</v>
      </c>
      <c r="S25" s="1509">
        <f>F25</f>
        <v>100</v>
      </c>
      <c r="T25" s="1508" t="s">
        <v>8</v>
      </c>
      <c r="U25" s="1509">
        <f>H25</f>
        <v>100</v>
      </c>
      <c r="V25" s="1508" t="s">
        <v>8</v>
      </c>
      <c r="W25" s="1509">
        <f>J25</f>
        <v>100</v>
      </c>
      <c r="X25" s="1502"/>
      <c r="Y25" s="350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3"/>
      <c r="Q26" s="1507" t="str">
        <f t="shared" si="11"/>
        <v>平面位置/可视性</v>
      </c>
      <c r="R26" s="1508" t="s">
        <v>8</v>
      </c>
      <c r="S26" s="1509">
        <f>F26</f>
        <v>100</v>
      </c>
      <c r="T26" s="1508" t="s">
        <v>8</v>
      </c>
      <c r="U26" s="1509">
        <f>H26</f>
        <v>100</v>
      </c>
      <c r="V26" s="1508" t="s">
        <v>8</v>
      </c>
      <c r="W26" s="1509">
        <f>J26</f>
        <v>100</v>
      </c>
      <c r="X26" s="1502"/>
      <c r="Y26" s="350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3"/>
      <c r="Q27" s="1134" t="str">
        <f t="shared" si="11"/>
        <v>人流量</v>
      </c>
      <c r="R27" s="1503" t="s">
        <v>8</v>
      </c>
      <c r="S27" s="1504">
        <f>F27</f>
        <v>100</v>
      </c>
      <c r="T27" s="1503" t="s">
        <v>8</v>
      </c>
      <c r="U27" s="1504">
        <f>H27</f>
        <v>100</v>
      </c>
      <c r="V27" s="1503" t="s">
        <v>8</v>
      </c>
      <c r="W27" s="1504">
        <f>J27</f>
        <v>100</v>
      </c>
      <c r="X27" s="1505"/>
      <c r="Y27" s="350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3"/>
      <c r="Q29" s="1507">
        <f t="shared" si="11"/>
        <v>111</v>
      </c>
      <c r="R29" s="1508" t="s">
        <v>8</v>
      </c>
      <c r="S29" s="1509">
        <f t="shared" si="12"/>
        <v>100</v>
      </c>
      <c r="T29" s="1508" t="s">
        <v>8</v>
      </c>
      <c r="U29" s="1509">
        <f t="shared" si="13"/>
        <v>100</v>
      </c>
      <c r="V29" s="1508" t="s">
        <v>8</v>
      </c>
      <c r="W29" s="1509">
        <f t="shared" si="14"/>
        <v>100</v>
      </c>
      <c r="X29" s="1502"/>
      <c r="Y29" s="350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3"/>
      <c r="Q30" s="1507">
        <f t="shared" si="11"/>
        <v>111</v>
      </c>
      <c r="R30" s="1508" t="s">
        <v>8</v>
      </c>
      <c r="S30" s="1509">
        <f t="shared" si="12"/>
        <v>100</v>
      </c>
      <c r="T30" s="1508" t="s">
        <v>8</v>
      </c>
      <c r="U30" s="1509">
        <f t="shared" si="13"/>
        <v>100</v>
      </c>
      <c r="V30" s="1508" t="s">
        <v>8</v>
      </c>
      <c r="W30" s="1509">
        <f t="shared" si="14"/>
        <v>100</v>
      </c>
      <c r="X30" s="1502"/>
      <c r="Y30" s="350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3"/>
      <c r="Q31" s="1507">
        <f t="shared" si="11"/>
        <v>111</v>
      </c>
      <c r="R31" s="1508" t="s">
        <v>8</v>
      </c>
      <c r="S31" s="1509">
        <f t="shared" si="12"/>
        <v>100</v>
      </c>
      <c r="T31" s="1508" t="s">
        <v>8</v>
      </c>
      <c r="U31" s="1509">
        <f t="shared" si="13"/>
        <v>100</v>
      </c>
      <c r="V31" s="1508" t="s">
        <v>8</v>
      </c>
      <c r="W31" s="1509">
        <f t="shared" si="14"/>
        <v>100</v>
      </c>
      <c r="X31" s="1502"/>
      <c r="Y31" s="3503"/>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4" t="s">
        <v>544</v>
      </c>
      <c r="Q32" s="1507" t="str">
        <f t="shared" si="11"/>
        <v>商业类型</v>
      </c>
      <c r="R32" s="1508" t="s">
        <v>8</v>
      </c>
      <c r="S32" s="1509">
        <f t="shared" si="12"/>
        <v>100</v>
      </c>
      <c r="T32" s="1508" t="s">
        <v>8</v>
      </c>
      <c r="U32" s="1509">
        <f t="shared" si="13"/>
        <v>100</v>
      </c>
      <c r="V32" s="1508" t="s">
        <v>8</v>
      </c>
      <c r="W32" s="1509">
        <f t="shared" si="14"/>
        <v>100</v>
      </c>
      <c r="X32" s="1502"/>
      <c r="Y32" s="350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5"/>
      <c r="Q33" s="1536" t="str">
        <f t="shared" si="11"/>
        <v>项目建筑规模</v>
      </c>
      <c r="R33" s="1512" t="s">
        <v>8</v>
      </c>
      <c r="S33" s="1513" t="e">
        <f t="shared" si="12"/>
        <v>#N/A</v>
      </c>
      <c r="T33" s="1512" t="s">
        <v>8</v>
      </c>
      <c r="U33" s="1513" t="e">
        <f t="shared" si="13"/>
        <v>#N/A</v>
      </c>
      <c r="V33" s="1512" t="s">
        <v>8</v>
      </c>
      <c r="W33" s="1513" t="e">
        <f t="shared" si="14"/>
        <v>#N/A</v>
      </c>
      <c r="X33" s="1514"/>
      <c r="Y33" s="350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5"/>
      <c r="Q34" s="1507" t="str">
        <f t="shared" si="11"/>
        <v>建筑结构</v>
      </c>
      <c r="R34" s="1508" t="s">
        <v>8</v>
      </c>
      <c r="S34" s="1509">
        <f t="shared" si="12"/>
        <v>100</v>
      </c>
      <c r="T34" s="1508" t="s">
        <v>8</v>
      </c>
      <c r="U34" s="1509">
        <f t="shared" si="13"/>
        <v>100</v>
      </c>
      <c r="V34" s="1508" t="s">
        <v>8</v>
      </c>
      <c r="W34" s="1509">
        <f t="shared" si="14"/>
        <v>100</v>
      </c>
      <c r="X34" s="1502"/>
      <c r="Y34" s="350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5"/>
      <c r="Q35" s="1507" t="str">
        <f t="shared" si="11"/>
        <v>公共部分装修</v>
      </c>
      <c r="R35" s="1508" t="s">
        <v>8</v>
      </c>
      <c r="S35" s="1509">
        <f t="shared" si="12"/>
        <v>100</v>
      </c>
      <c r="T35" s="1508" t="s">
        <v>8</v>
      </c>
      <c r="U35" s="1509">
        <f t="shared" si="13"/>
        <v>100</v>
      </c>
      <c r="V35" s="1508" t="s">
        <v>8</v>
      </c>
      <c r="W35" s="1509">
        <f t="shared" si="14"/>
        <v>100</v>
      </c>
      <c r="X35" s="1502"/>
      <c r="Y35" s="350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5"/>
      <c r="Q36" s="1507" t="str">
        <f t="shared" si="11"/>
        <v>成新度</v>
      </c>
      <c r="R36" s="1508" t="s">
        <v>8</v>
      </c>
      <c r="S36" s="1509" t="e">
        <f t="shared" si="12"/>
        <v>#N/A</v>
      </c>
      <c r="T36" s="1508" t="s">
        <v>8</v>
      </c>
      <c r="U36" s="1509" t="e">
        <f t="shared" si="13"/>
        <v>#N/A</v>
      </c>
      <c r="V36" s="1508" t="s">
        <v>8</v>
      </c>
      <c r="W36" s="1509" t="e">
        <f t="shared" si="14"/>
        <v>#N/A</v>
      </c>
      <c r="X36" s="1502"/>
      <c r="Y36" s="3505"/>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5"/>
      <c r="Q37" s="1134" t="str">
        <f t="shared" si="11"/>
        <v>市政基础设施</v>
      </c>
      <c r="R37" s="1503" t="s">
        <v>8</v>
      </c>
      <c r="S37" s="1504">
        <f t="shared" si="12"/>
        <v>100</v>
      </c>
      <c r="T37" s="1503" t="s">
        <v>8</v>
      </c>
      <c r="U37" s="1504">
        <f t="shared" si="13"/>
        <v>100</v>
      </c>
      <c r="V37" s="1503" t="s">
        <v>8</v>
      </c>
      <c r="W37" s="1504">
        <f t="shared" si="14"/>
        <v>100</v>
      </c>
      <c r="X37" s="1505"/>
      <c r="Y37" s="350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5" t="s">
        <v>760</v>
      </c>
      <c r="Q38" s="1507" t="str">
        <f t="shared" si="11"/>
        <v>业态</v>
      </c>
      <c r="R38" s="1508" t="s">
        <v>8</v>
      </c>
      <c r="S38" s="1509">
        <f t="shared" si="12"/>
        <v>100</v>
      </c>
      <c r="T38" s="1508" t="s">
        <v>8</v>
      </c>
      <c r="U38" s="1509">
        <f t="shared" si="13"/>
        <v>100</v>
      </c>
      <c r="V38" s="1508" t="s">
        <v>8</v>
      </c>
      <c r="W38" s="1509">
        <f t="shared" si="14"/>
        <v>100</v>
      </c>
      <c r="X38" s="1502"/>
      <c r="Y38" s="350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5"/>
      <c r="Q39" s="1507" t="str">
        <f t="shared" si="11"/>
        <v>层高</v>
      </c>
      <c r="R39" s="1508" t="s">
        <v>8</v>
      </c>
      <c r="S39" s="1509">
        <f t="shared" si="12"/>
        <v>100</v>
      </c>
      <c r="T39" s="1508" t="s">
        <v>8</v>
      </c>
      <c r="U39" s="1509">
        <f t="shared" si="13"/>
        <v>100</v>
      </c>
      <c r="V39" s="1508" t="s">
        <v>8</v>
      </c>
      <c r="W39" s="1509">
        <f t="shared" si="14"/>
        <v>100</v>
      </c>
      <c r="X39" s="1502"/>
      <c r="Y39" s="350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5"/>
      <c r="Q40" s="1507" t="str">
        <f t="shared" si="11"/>
        <v>单套建筑面积</v>
      </c>
      <c r="R40" s="1508" t="s">
        <v>8</v>
      </c>
      <c r="S40" s="1509">
        <f t="shared" si="12"/>
        <v>100</v>
      </c>
      <c r="T40" s="1508" t="s">
        <v>8</v>
      </c>
      <c r="U40" s="1509">
        <f t="shared" si="13"/>
        <v>100</v>
      </c>
      <c r="V40" s="1508" t="s">
        <v>8</v>
      </c>
      <c r="W40" s="1509">
        <f t="shared" si="14"/>
        <v>100</v>
      </c>
      <c r="X40" s="1502"/>
      <c r="Y40" s="350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5"/>
      <c r="Q41" s="1536" t="str">
        <f t="shared" si="11"/>
        <v>进深比</v>
      </c>
      <c r="R41" s="1512" t="s">
        <v>8</v>
      </c>
      <c r="S41" s="1513">
        <f t="shared" si="12"/>
        <v>100</v>
      </c>
      <c r="T41" s="1512" t="s">
        <v>8</v>
      </c>
      <c r="U41" s="1513">
        <f t="shared" si="13"/>
        <v>100</v>
      </c>
      <c r="V41" s="1512" t="s">
        <v>8</v>
      </c>
      <c r="W41" s="1513">
        <f t="shared" si="14"/>
        <v>100</v>
      </c>
      <c r="X41" s="1514"/>
      <c r="Y41" s="350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5"/>
      <c r="Q42" s="1507" t="str">
        <f t="shared" si="11"/>
        <v>内部装修</v>
      </c>
      <c r="R42" s="1508" t="s">
        <v>8</v>
      </c>
      <c r="S42" s="1509">
        <f t="shared" si="12"/>
        <v>100</v>
      </c>
      <c r="T42" s="1508" t="s">
        <v>8</v>
      </c>
      <c r="U42" s="1509">
        <f t="shared" si="13"/>
        <v>100</v>
      </c>
      <c r="V42" s="1508" t="s">
        <v>8</v>
      </c>
      <c r="W42" s="1509">
        <f t="shared" si="14"/>
        <v>100</v>
      </c>
      <c r="X42" s="1502"/>
      <c r="Y42" s="350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5"/>
      <c r="Q43" s="1507" t="str">
        <f t="shared" si="11"/>
        <v>内部装修维护情况</v>
      </c>
      <c r="R43" s="1508" t="s">
        <v>8</v>
      </c>
      <c r="S43" s="1509">
        <f t="shared" si="12"/>
        <v>100</v>
      </c>
      <c r="T43" s="1508" t="s">
        <v>8</v>
      </c>
      <c r="U43" s="1509">
        <f t="shared" si="13"/>
        <v>100</v>
      </c>
      <c r="V43" s="1508" t="s">
        <v>8</v>
      </c>
      <c r="W43" s="1509">
        <f t="shared" si="14"/>
        <v>100</v>
      </c>
      <c r="X43" s="1502"/>
      <c r="Y43" s="350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5"/>
      <c r="Q44" s="1134">
        <f t="shared" si="11"/>
        <v>111</v>
      </c>
      <c r="R44" s="1503" t="s">
        <v>8</v>
      </c>
      <c r="S44" s="1504">
        <f t="shared" si="12"/>
        <v>100</v>
      </c>
      <c r="T44" s="1503" t="s">
        <v>8</v>
      </c>
      <c r="U44" s="1504">
        <f t="shared" si="13"/>
        <v>100</v>
      </c>
      <c r="V44" s="1503" t="s">
        <v>8</v>
      </c>
      <c r="W44" s="1504">
        <f t="shared" si="14"/>
        <v>100</v>
      </c>
      <c r="X44" s="1505"/>
      <c r="Y44" s="350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5"/>
      <c r="Q45" s="1507">
        <f t="shared" si="11"/>
        <v>111</v>
      </c>
      <c r="R45" s="1508" t="s">
        <v>8</v>
      </c>
      <c r="S45" s="1509">
        <f t="shared" si="12"/>
        <v>100</v>
      </c>
      <c r="T45" s="1508" t="s">
        <v>8</v>
      </c>
      <c r="U45" s="1509">
        <f t="shared" si="13"/>
        <v>100</v>
      </c>
      <c r="V45" s="1508" t="s">
        <v>8</v>
      </c>
      <c r="W45" s="1509">
        <f t="shared" si="14"/>
        <v>100</v>
      </c>
      <c r="X45" s="1502"/>
      <c r="Y45" s="350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0"/>
      <c r="Q46" s="1507">
        <f t="shared" si="11"/>
        <v>111</v>
      </c>
      <c r="R46" s="1508" t="s">
        <v>8</v>
      </c>
      <c r="S46" s="1509">
        <f t="shared" si="12"/>
        <v>100</v>
      </c>
      <c r="T46" s="1508" t="s">
        <v>8</v>
      </c>
      <c r="U46" s="1509">
        <f t="shared" si="13"/>
        <v>100</v>
      </c>
      <c r="V46" s="1508" t="s">
        <v>8</v>
      </c>
      <c r="W46" s="1509">
        <f t="shared" si="14"/>
        <v>100</v>
      </c>
      <c r="X46" s="1502"/>
      <c r="Y46" s="361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7"/>
      <c r="M47" s="2028"/>
      <c r="N47" s="2017"/>
      <c r="O47" s="2028"/>
      <c r="P47" s="3500" t="str">
        <f>A47</f>
        <v>成交单价（元/平方米）</v>
      </c>
      <c r="Q47" s="3500"/>
      <c r="R47" s="3609">
        <f>E47</f>
        <v>0</v>
      </c>
      <c r="S47" s="3609"/>
      <c r="T47" s="3609">
        <f>G47</f>
        <v>0</v>
      </c>
      <c r="U47" s="3609"/>
      <c r="V47" s="3609">
        <f>I47</f>
        <v>0</v>
      </c>
      <c r="W47" s="3609"/>
      <c r="X47" s="1497"/>
      <c r="Y47" s="1516"/>
      <c r="Z47" s="1497"/>
      <c r="AA47" s="1497"/>
      <c r="AB47" s="1497"/>
      <c r="AC47" s="1497"/>
    </row>
    <row r="48" spans="1:29" ht="15.75" thickBot="1">
      <c r="A48" s="609" t="s">
        <v>2741</v>
      </c>
      <c r="B48" s="877"/>
      <c r="C48" s="2476" t="e">
        <f>R49</f>
        <v>#DIV/0!</v>
      </c>
      <c r="D48" s="3014" t="s">
        <v>2961</v>
      </c>
      <c r="E48" s="2477" t="e">
        <f>R48</f>
        <v>#DIV/0!</v>
      </c>
      <c r="F48" s="3015"/>
      <c r="G48" s="2476" t="e">
        <f>T48</f>
        <v>#DIV/0!</v>
      </c>
      <c r="H48" s="3015"/>
      <c r="I48" s="2477" t="e">
        <f>V48</f>
        <v>#DIV/0!</v>
      </c>
      <c r="J48" s="3015"/>
      <c r="K48" s="3023">
        <f>F48+H48+J48</f>
        <v>0</v>
      </c>
      <c r="L48" s="2027"/>
      <c r="M48" s="2028"/>
      <c r="N48" s="2017"/>
      <c r="O48" s="2028"/>
      <c r="P48" s="3500" t="str">
        <f>A48</f>
        <v>比较价格（元/平方米）</v>
      </c>
      <c r="Q48" s="3500"/>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497"/>
      <c r="Y48" s="1497"/>
      <c r="Z48" s="1497"/>
      <c r="AA48" s="1497"/>
      <c r="AB48" s="1497"/>
      <c r="AC48" s="1497"/>
    </row>
    <row r="49" spans="1:29" ht="15.75" thickBot="1">
      <c r="A49" s="613" t="s">
        <v>2892</v>
      </c>
      <c r="B49" s="614"/>
      <c r="C49" s="2478" t="e">
        <f>R49</f>
        <v>#DIV/0!</v>
      </c>
      <c r="D49" s="2478"/>
      <c r="E49" s="2478"/>
      <c r="F49" s="2478"/>
      <c r="G49" s="2478"/>
      <c r="H49" s="2478"/>
      <c r="I49" s="2478"/>
      <c r="J49" s="2478"/>
      <c r="K49" s="1542"/>
      <c r="L49" s="2027"/>
      <c r="M49" s="2028"/>
      <c r="N49" s="2017"/>
      <c r="O49" s="2028"/>
      <c r="P49" s="3521" t="str">
        <f>A49</f>
        <v>估价对象XX用房的比较价格（楼面单价，元/平方米）</v>
      </c>
      <c r="Q49" s="3522"/>
      <c r="R49" s="3608" t="e">
        <f>IF(F1="售价",ROUND(IF(D48="简单平均",AVERAGE(R48:V48),R48*F48+T48*H48+V48*J48),0),ROUND(IF(D48="简单平均",AVERAGE(R48:V48),R48*F48+T48*H48+V48*J48),1))</f>
        <v>#DIV/0!</v>
      </c>
      <c r="S49" s="3608"/>
      <c r="T49" s="3608"/>
      <c r="U49" s="3608"/>
      <c r="V49" s="3608"/>
      <c r="W49" s="3608"/>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9"/>
      <c r="M1" s="3210"/>
      <c r="N1" s="3210"/>
      <c r="O1" s="3210"/>
      <c r="P1" s="3273"/>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3"/>
      <c r="Q2" s="2015"/>
      <c r="R2" s="2015"/>
      <c r="S2" s="2015"/>
      <c r="T2" s="2015"/>
      <c r="U2" s="2015"/>
      <c r="V2" s="2015"/>
      <c r="W2" s="2015"/>
      <c r="X2" s="2015"/>
      <c r="Y2" s="2015"/>
      <c r="Z2" s="2015"/>
      <c r="AA2" s="2015"/>
      <c r="AB2" s="2015"/>
      <c r="AC2" s="3211"/>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3"/>
      <c r="Q3" s="2015"/>
      <c r="R3" s="2015"/>
      <c r="S3" s="2015"/>
      <c r="T3" s="2015"/>
      <c r="U3" s="2015"/>
      <c r="V3" s="2015"/>
      <c r="W3" s="2015"/>
      <c r="X3" s="2015"/>
      <c r="Y3" s="2015"/>
      <c r="Z3" s="2015"/>
      <c r="AA3" s="2015"/>
      <c r="AB3" s="2015"/>
      <c r="AC3" s="3211"/>
    </row>
    <row r="4" spans="1:29" ht="15">
      <c r="A4" s="506" t="s">
        <v>515</v>
      </c>
      <c r="B4" s="507"/>
      <c r="C4" s="3506" t="s">
        <v>516</v>
      </c>
      <c r="D4" s="3507"/>
      <c r="E4" s="3531" t="s">
        <v>517</v>
      </c>
      <c r="F4" s="3532"/>
      <c r="G4" s="3506" t="s">
        <v>518</v>
      </c>
      <c r="H4" s="3507"/>
      <c r="I4" s="3506" t="s">
        <v>519</v>
      </c>
      <c r="J4" s="3507"/>
      <c r="K4" s="508" t="s">
        <v>520</v>
      </c>
      <c r="L4" s="2016"/>
      <c r="M4" s="2017"/>
      <c r="N4" s="2017"/>
      <c r="O4" s="2017"/>
      <c r="P4" s="3611" t="s">
        <v>521</v>
      </c>
      <c r="Q4" s="3509"/>
      <c r="R4" s="3494" t="s">
        <v>517</v>
      </c>
      <c r="S4" s="3495"/>
      <c r="T4" s="3494" t="s">
        <v>518</v>
      </c>
      <c r="U4" s="3495"/>
      <c r="V4" s="3514" t="s">
        <v>519</v>
      </c>
      <c r="W4" s="3514"/>
      <c r="X4" s="1502"/>
      <c r="Y4" s="3494" t="s">
        <v>521</v>
      </c>
      <c r="Z4" s="3495"/>
      <c r="AA4" s="3489" t="s">
        <v>517</v>
      </c>
      <c r="AB4" s="3489" t="s">
        <v>518</v>
      </c>
      <c r="AC4" s="3489" t="s">
        <v>519</v>
      </c>
    </row>
    <row r="5" spans="1:29" ht="15">
      <c r="A5" s="509"/>
      <c r="B5" s="510"/>
      <c r="C5" s="3517" t="s">
        <v>2886</v>
      </c>
      <c r="D5" s="3518"/>
      <c r="E5" s="3533" t="s">
        <v>2887</v>
      </c>
      <c r="F5" s="3534"/>
      <c r="G5" s="3517" t="s">
        <v>2888</v>
      </c>
      <c r="H5" s="3518"/>
      <c r="I5" s="3517" t="s">
        <v>2889</v>
      </c>
      <c r="J5" s="3518"/>
      <c r="K5" s="508"/>
      <c r="L5" s="2016"/>
      <c r="M5" s="2017"/>
      <c r="N5" s="2017"/>
      <c r="O5" s="2017"/>
      <c r="P5" s="3612"/>
      <c r="Q5" s="3511"/>
      <c r="R5" s="3496"/>
      <c r="S5" s="3497"/>
      <c r="T5" s="3496"/>
      <c r="U5" s="3497"/>
      <c r="V5" s="3514"/>
      <c r="W5" s="3514"/>
      <c r="X5" s="1502"/>
      <c r="Y5" s="3496"/>
      <c r="Z5" s="3497"/>
      <c r="AA5" s="3490"/>
      <c r="AB5" s="3490"/>
      <c r="AC5" s="3490"/>
    </row>
    <row r="6" spans="1:29" ht="15.75" thickBot="1">
      <c r="A6" s="511"/>
      <c r="B6" s="512"/>
      <c r="C6" s="3515" t="s">
        <v>2890</v>
      </c>
      <c r="D6" s="3516"/>
      <c r="E6" s="3535" t="s">
        <v>2890</v>
      </c>
      <c r="F6" s="3536"/>
      <c r="G6" s="3515" t="s">
        <v>2890</v>
      </c>
      <c r="H6" s="3516"/>
      <c r="I6" s="3515" t="s">
        <v>2890</v>
      </c>
      <c r="J6" s="3516"/>
      <c r="K6" s="508" t="s">
        <v>522</v>
      </c>
      <c r="L6" s="2016"/>
      <c r="M6" s="2017"/>
      <c r="N6" s="2017"/>
      <c r="O6" s="2017"/>
      <c r="P6" s="3613"/>
      <c r="Q6" s="3513"/>
      <c r="R6" s="3496"/>
      <c r="S6" s="3497"/>
      <c r="T6" s="3498"/>
      <c r="U6" s="3499"/>
      <c r="V6" s="3514"/>
      <c r="W6" s="3514"/>
      <c r="X6" s="1502"/>
      <c r="Y6" s="3498"/>
      <c r="Z6" s="3499"/>
      <c r="AA6" s="3491"/>
      <c r="AB6" s="3491"/>
      <c r="AC6" s="3491"/>
    </row>
    <row r="7" spans="1:29" s="1203" customFormat="1" ht="15.75" thickBot="1">
      <c r="A7" s="2629"/>
      <c r="B7" s="2636" t="s">
        <v>523</v>
      </c>
      <c r="C7" s="513">
        <f>'数据-取费表'!B2</f>
        <v>44101</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1" t="s">
        <v>524</v>
      </c>
      <c r="Q7" s="3501"/>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1" t="s">
        <v>527</v>
      </c>
      <c r="Q8" s="3493"/>
      <c r="R8" s="1503" t="s">
        <v>8</v>
      </c>
      <c r="S8" s="1504">
        <f t="shared" si="0"/>
        <v>0</v>
      </c>
      <c r="T8" s="1503" t="s">
        <v>8</v>
      </c>
      <c r="U8" s="1504">
        <f t="shared" si="1"/>
        <v>0</v>
      </c>
      <c r="V8" s="1503" t="s">
        <v>8</v>
      </c>
      <c r="W8" s="1504">
        <f t="shared" si="2"/>
        <v>0</v>
      </c>
      <c r="X8" s="1505"/>
      <c r="Y8" s="3492" t="s">
        <v>527</v>
      </c>
      <c r="Z8" s="3493"/>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00" t="s">
        <v>529</v>
      </c>
      <c r="Q9" s="1134" t="str">
        <f t="shared" ref="Q9:Q15" si="6">B9</f>
        <v>用途</v>
      </c>
      <c r="R9" s="1503" t="s">
        <v>8</v>
      </c>
      <c r="S9" s="1504">
        <f t="shared" si="0"/>
        <v>100</v>
      </c>
      <c r="T9" s="1503" t="s">
        <v>8</v>
      </c>
      <c r="U9" s="1504">
        <f t="shared" si="1"/>
        <v>100</v>
      </c>
      <c r="V9" s="1503" t="s">
        <v>8</v>
      </c>
      <c r="W9" s="1504">
        <f t="shared" si="2"/>
        <v>100</v>
      </c>
      <c r="X9" s="1505"/>
      <c r="Y9" s="3451"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00"/>
      <c r="Q11" s="1134" t="str">
        <f t="shared" si="6"/>
        <v>容积率</v>
      </c>
      <c r="R11" s="1503" t="s">
        <v>8</v>
      </c>
      <c r="S11" s="1504" t="e">
        <f t="shared" si="0"/>
        <v>#N/A</v>
      </c>
      <c r="T11" s="1503" t="s">
        <v>8</v>
      </c>
      <c r="U11" s="1504" t="e">
        <f t="shared" si="1"/>
        <v>#N/A</v>
      </c>
      <c r="V11" s="1503" t="s">
        <v>8</v>
      </c>
      <c r="W11" s="1504" t="e">
        <f t="shared" si="2"/>
        <v>#N/A</v>
      </c>
      <c r="X11" s="1505"/>
      <c r="Y11" s="3451"/>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00"/>
      <c r="Q12" s="1134">
        <f t="shared" si="6"/>
        <v>111</v>
      </c>
      <c r="R12" s="1503" t="s">
        <v>8</v>
      </c>
      <c r="S12" s="1504">
        <f t="shared" si="0"/>
        <v>100</v>
      </c>
      <c r="T12" s="1503" t="s">
        <v>8</v>
      </c>
      <c r="U12" s="1504">
        <f t="shared" si="1"/>
        <v>100</v>
      </c>
      <c r="V12" s="1503" t="s">
        <v>8</v>
      </c>
      <c r="W12" s="1504">
        <f t="shared" si="2"/>
        <v>100</v>
      </c>
      <c r="X12" s="1505"/>
      <c r="Y12" s="3451"/>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00"/>
      <c r="Q13" s="1134">
        <f t="shared" si="6"/>
        <v>111</v>
      </c>
      <c r="R13" s="1503" t="s">
        <v>8</v>
      </c>
      <c r="S13" s="1504">
        <f t="shared" si="0"/>
        <v>100</v>
      </c>
      <c r="T13" s="1503" t="s">
        <v>8</v>
      </c>
      <c r="U13" s="1504">
        <f t="shared" si="1"/>
        <v>100</v>
      </c>
      <c r="V13" s="1503" t="s">
        <v>8</v>
      </c>
      <c r="W13" s="1504">
        <f t="shared" si="2"/>
        <v>100</v>
      </c>
      <c r="X13" s="1505"/>
      <c r="Y13" s="3451"/>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00"/>
      <c r="Q14" s="1134">
        <f t="shared" si="6"/>
        <v>111</v>
      </c>
      <c r="R14" s="1503" t="s">
        <v>8</v>
      </c>
      <c r="S14" s="1504">
        <f t="shared" si="0"/>
        <v>100</v>
      </c>
      <c r="T14" s="1503" t="s">
        <v>8</v>
      </c>
      <c r="U14" s="1504">
        <f t="shared" si="1"/>
        <v>100</v>
      </c>
      <c r="V14" s="1503" t="s">
        <v>8</v>
      </c>
      <c r="W14" s="1504">
        <f t="shared" si="2"/>
        <v>100</v>
      </c>
      <c r="X14" s="1505"/>
      <c r="Y14" s="3451"/>
      <c r="Z14" s="1133">
        <f t="shared" si="7"/>
        <v>111</v>
      </c>
      <c r="AA14" s="1506">
        <f t="shared" si="3"/>
        <v>1</v>
      </c>
      <c r="AB14" s="1506">
        <f t="shared" si="4"/>
        <v>1</v>
      </c>
      <c r="AC14" s="1506">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2" t="s">
        <v>534</v>
      </c>
      <c r="Q15" s="1507" t="str">
        <f t="shared" si="6"/>
        <v>办公集聚程度</v>
      </c>
      <c r="R15" s="1508" t="s">
        <v>8</v>
      </c>
      <c r="S15" s="1509">
        <f t="shared" si="0"/>
        <v>100</v>
      </c>
      <c r="T15" s="1508" t="s">
        <v>8</v>
      </c>
      <c r="U15" s="1509">
        <f t="shared" si="1"/>
        <v>100</v>
      </c>
      <c r="V15" s="1508" t="s">
        <v>8</v>
      </c>
      <c r="W15" s="1509">
        <f t="shared" si="2"/>
        <v>100</v>
      </c>
      <c r="X15" s="1502"/>
      <c r="Y15" s="350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3"/>
      <c r="Q16" s="1507"/>
      <c r="R16" s="1508"/>
      <c r="S16" s="1509"/>
      <c r="T16" s="1508"/>
      <c r="U16" s="1509"/>
      <c r="V16" s="1508"/>
      <c r="W16" s="1509"/>
      <c r="X16" s="1502"/>
      <c r="Y16" s="3503"/>
      <c r="Z16" s="1510"/>
      <c r="AA16" s="1511">
        <v>1</v>
      </c>
      <c r="AB16" s="1511">
        <v>1</v>
      </c>
      <c r="AC16" s="1511">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3"/>
      <c r="Q17" s="1507" t="str">
        <f>B17</f>
        <v>交通便捷度</v>
      </c>
      <c r="R17" s="1508" t="s">
        <v>8</v>
      </c>
      <c r="S17" s="1509">
        <f>F17</f>
        <v>100</v>
      </c>
      <c r="T17" s="1508" t="s">
        <v>8</v>
      </c>
      <c r="U17" s="1509">
        <f>H17</f>
        <v>100</v>
      </c>
      <c r="V17" s="1508" t="s">
        <v>8</v>
      </c>
      <c r="W17" s="1509">
        <f>J17</f>
        <v>100</v>
      </c>
      <c r="X17" s="1502"/>
      <c r="Y17" s="350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3"/>
      <c r="Q18" s="1507"/>
      <c r="R18" s="1508"/>
      <c r="S18" s="1509"/>
      <c r="T18" s="1508"/>
      <c r="U18" s="1509"/>
      <c r="V18" s="1508"/>
      <c r="W18" s="1509"/>
      <c r="X18" s="1502"/>
      <c r="Y18" s="3503"/>
      <c r="Z18" s="1510"/>
      <c r="AA18" s="1511">
        <v>1</v>
      </c>
      <c r="AB18" s="1511">
        <v>1</v>
      </c>
      <c r="AC18" s="1511">
        <v>1</v>
      </c>
    </row>
    <row r="19" spans="1:29" ht="15">
      <c r="A19" s="526"/>
      <c r="B19" s="2447" t="s">
        <v>2528</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3"/>
      <c r="Q19" s="1507" t="str">
        <f>B19</f>
        <v>公共配套设施</v>
      </c>
      <c r="R19" s="1508" t="s">
        <v>8</v>
      </c>
      <c r="S19" s="1509">
        <f>F19</f>
        <v>100</v>
      </c>
      <c r="T19" s="1508" t="s">
        <v>8</v>
      </c>
      <c r="U19" s="1509">
        <f>H19</f>
        <v>100</v>
      </c>
      <c r="V19" s="1508" t="s">
        <v>8</v>
      </c>
      <c r="W19" s="1509">
        <f>J19</f>
        <v>100</v>
      </c>
      <c r="X19" s="1502"/>
      <c r="Y19" s="350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3"/>
      <c r="Q20" s="1507"/>
      <c r="R20" s="1508"/>
      <c r="S20" s="1509"/>
      <c r="T20" s="1508"/>
      <c r="U20" s="1509"/>
      <c r="V20" s="1508"/>
      <c r="W20" s="1509"/>
      <c r="X20" s="1502"/>
      <c r="Y20" s="3503"/>
      <c r="Z20" s="1510"/>
      <c r="AA20" s="1511">
        <v>1</v>
      </c>
      <c r="AB20" s="1511">
        <v>1</v>
      </c>
      <c r="AC20" s="1511">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3"/>
      <c r="Q21" s="2429" t="str">
        <f>B21</f>
        <v>基础设施水平</v>
      </c>
      <c r="R21" s="1508" t="s">
        <v>8</v>
      </c>
      <c r="S21" s="1509">
        <f>F21</f>
        <v>100</v>
      </c>
      <c r="T21" s="1508" t="s">
        <v>8</v>
      </c>
      <c r="U21" s="1509">
        <f>H21</f>
        <v>100</v>
      </c>
      <c r="V21" s="1508" t="s">
        <v>8</v>
      </c>
      <c r="W21" s="1509">
        <f>J21</f>
        <v>100</v>
      </c>
      <c r="X21" s="2431"/>
      <c r="Y21" s="3503"/>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5"/>
      <c r="M22" s="2017"/>
      <c r="N22" s="2017"/>
      <c r="O22" s="2017"/>
      <c r="P22" s="3503"/>
      <c r="Q22" s="2429"/>
      <c r="R22" s="1508"/>
      <c r="S22" s="1509"/>
      <c r="T22" s="1508"/>
      <c r="U22" s="1509"/>
      <c r="V22" s="1508"/>
      <c r="W22" s="1509"/>
      <c r="X22" s="2431"/>
      <c r="Y22" s="3503"/>
      <c r="Z22" s="2430"/>
      <c r="AA22" s="1511">
        <v>1</v>
      </c>
      <c r="AB22" s="1511">
        <v>1</v>
      </c>
      <c r="AC22" s="1511">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3"/>
      <c r="Q23" s="1507" t="str">
        <f>B23</f>
        <v>环境质量</v>
      </c>
      <c r="R23" s="1508" t="s">
        <v>8</v>
      </c>
      <c r="S23" s="1509">
        <f>F23</f>
        <v>100</v>
      </c>
      <c r="T23" s="1508" t="s">
        <v>8</v>
      </c>
      <c r="U23" s="1509">
        <f>H23</f>
        <v>100</v>
      </c>
      <c r="V23" s="1508" t="s">
        <v>8</v>
      </c>
      <c r="W23" s="1509">
        <f>J23</f>
        <v>100</v>
      </c>
      <c r="X23" s="1502"/>
      <c r="Y23" s="350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3"/>
      <c r="Q24" s="1507"/>
      <c r="R24" s="1508"/>
      <c r="S24" s="1509"/>
      <c r="T24" s="1508"/>
      <c r="U24" s="1509"/>
      <c r="V24" s="1508"/>
      <c r="W24" s="1509"/>
      <c r="X24" s="1502"/>
      <c r="Y24" s="350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3"/>
      <c r="Q25" s="1507" t="str">
        <f>B25</f>
        <v>毗邻道路的类型与等级</v>
      </c>
      <c r="R25" s="1508" t="s">
        <v>8</v>
      </c>
      <c r="S25" s="1509">
        <f>F25</f>
        <v>100</v>
      </c>
      <c r="T25" s="1508" t="s">
        <v>8</v>
      </c>
      <c r="U25" s="1509">
        <f>H25</f>
        <v>100</v>
      </c>
      <c r="V25" s="1508" t="s">
        <v>8</v>
      </c>
      <c r="W25" s="1509">
        <f>J25</f>
        <v>100</v>
      </c>
      <c r="X25" s="1502"/>
      <c r="Y25" s="350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3"/>
      <c r="Q26" s="1507"/>
      <c r="R26" s="1508"/>
      <c r="S26" s="1509"/>
      <c r="T26" s="1508"/>
      <c r="U26" s="1509"/>
      <c r="V26" s="1508"/>
      <c r="W26" s="1509"/>
      <c r="X26" s="1502"/>
      <c r="Y26" s="350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3"/>
      <c r="Q27" s="1507" t="str">
        <f t="shared" ref="Q27:Q47" si="11">B27</f>
        <v>楼层</v>
      </c>
      <c r="R27" s="1508" t="s">
        <v>8</v>
      </c>
      <c r="S27" s="1509">
        <f>F27</f>
        <v>100</v>
      </c>
      <c r="T27" s="1508" t="s">
        <v>8</v>
      </c>
      <c r="U27" s="1509">
        <f>H27</f>
        <v>100</v>
      </c>
      <c r="V27" s="1508" t="s">
        <v>8</v>
      </c>
      <c r="W27" s="1509">
        <f>J27</f>
        <v>100</v>
      </c>
      <c r="X27" s="1502"/>
      <c r="Y27" s="350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3"/>
      <c r="Q28" s="1134" t="str">
        <f t="shared" si="11"/>
        <v>朝向</v>
      </c>
      <c r="R28" s="1503" t="s">
        <v>8</v>
      </c>
      <c r="S28" s="1504">
        <f>F28</f>
        <v>100</v>
      </c>
      <c r="T28" s="1503" t="s">
        <v>8</v>
      </c>
      <c r="U28" s="1504">
        <f>H28</f>
        <v>100</v>
      </c>
      <c r="V28" s="1503" t="s">
        <v>8</v>
      </c>
      <c r="W28" s="1504">
        <f>J28</f>
        <v>100</v>
      </c>
      <c r="X28" s="1505"/>
      <c r="Y28" s="350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3"/>
      <c r="Q29" s="1507">
        <f t="shared" si="11"/>
        <v>111</v>
      </c>
      <c r="R29" s="1508" t="s">
        <v>8</v>
      </c>
      <c r="S29" s="1509">
        <f t="shared" ref="S29:S47" si="12">F29</f>
        <v>100</v>
      </c>
      <c r="T29" s="1508" t="s">
        <v>8</v>
      </c>
      <c r="U29" s="1509">
        <f t="shared" ref="U29:U47" si="13">H29</f>
        <v>100</v>
      </c>
      <c r="V29" s="1508" t="s">
        <v>8</v>
      </c>
      <c r="W29" s="1509">
        <f t="shared" ref="W29:W47" si="14">J29</f>
        <v>100</v>
      </c>
      <c r="X29" s="1502"/>
      <c r="Y29" s="350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3"/>
      <c r="Q30" s="1507">
        <f t="shared" si="11"/>
        <v>111</v>
      </c>
      <c r="R30" s="1508" t="s">
        <v>8</v>
      </c>
      <c r="S30" s="1509">
        <f t="shared" si="12"/>
        <v>100</v>
      </c>
      <c r="T30" s="1508" t="s">
        <v>8</v>
      </c>
      <c r="U30" s="1509">
        <f t="shared" si="13"/>
        <v>100</v>
      </c>
      <c r="V30" s="1508" t="s">
        <v>8</v>
      </c>
      <c r="W30" s="1509">
        <f t="shared" si="14"/>
        <v>100</v>
      </c>
      <c r="X30" s="1502"/>
      <c r="Y30" s="350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3"/>
      <c r="Q31" s="1507">
        <f t="shared" si="11"/>
        <v>111</v>
      </c>
      <c r="R31" s="1508" t="s">
        <v>8</v>
      </c>
      <c r="S31" s="1509">
        <f t="shared" si="12"/>
        <v>100</v>
      </c>
      <c r="T31" s="1508" t="s">
        <v>8</v>
      </c>
      <c r="U31" s="1509">
        <f t="shared" si="13"/>
        <v>100</v>
      </c>
      <c r="V31" s="1508" t="s">
        <v>8</v>
      </c>
      <c r="W31" s="1509">
        <f t="shared" si="14"/>
        <v>100</v>
      </c>
      <c r="X31" s="1502"/>
      <c r="Y31" s="350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3"/>
      <c r="Q32" s="1507">
        <f t="shared" si="11"/>
        <v>111</v>
      </c>
      <c r="R32" s="1508" t="s">
        <v>8</v>
      </c>
      <c r="S32" s="1509">
        <f t="shared" si="12"/>
        <v>100</v>
      </c>
      <c r="T32" s="1508" t="s">
        <v>8</v>
      </c>
      <c r="U32" s="1509">
        <f t="shared" si="13"/>
        <v>100</v>
      </c>
      <c r="V32" s="1508" t="s">
        <v>8</v>
      </c>
      <c r="W32" s="1509">
        <f t="shared" si="14"/>
        <v>100</v>
      </c>
      <c r="X32" s="1502"/>
      <c r="Y32" s="3503"/>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4" t="s">
        <v>544</v>
      </c>
      <c r="Q33" s="1507" t="str">
        <f t="shared" si="11"/>
        <v>建筑类型</v>
      </c>
      <c r="R33" s="1508" t="s">
        <v>8</v>
      </c>
      <c r="S33" s="1509">
        <f t="shared" si="12"/>
        <v>100</v>
      </c>
      <c r="T33" s="1508" t="s">
        <v>8</v>
      </c>
      <c r="U33" s="1509">
        <f t="shared" si="13"/>
        <v>100</v>
      </c>
      <c r="V33" s="1508" t="s">
        <v>8</v>
      </c>
      <c r="W33" s="1509">
        <f t="shared" si="14"/>
        <v>100</v>
      </c>
      <c r="X33" s="1502"/>
      <c r="Y33" s="350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5"/>
      <c r="Q34" s="1536" t="str">
        <f t="shared" si="11"/>
        <v>项目建筑规模</v>
      </c>
      <c r="R34" s="1512" t="s">
        <v>8</v>
      </c>
      <c r="S34" s="1513" t="e">
        <f t="shared" si="12"/>
        <v>#N/A</v>
      </c>
      <c r="T34" s="1512" t="s">
        <v>8</v>
      </c>
      <c r="U34" s="1513" t="e">
        <f t="shared" si="13"/>
        <v>#N/A</v>
      </c>
      <c r="V34" s="1512" t="s">
        <v>8</v>
      </c>
      <c r="W34" s="1513" t="e">
        <f t="shared" si="14"/>
        <v>#N/A</v>
      </c>
      <c r="X34" s="1514"/>
      <c r="Y34" s="350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5"/>
      <c r="Q35" s="1507" t="str">
        <f t="shared" si="11"/>
        <v>建筑结构</v>
      </c>
      <c r="R35" s="1508" t="s">
        <v>8</v>
      </c>
      <c r="S35" s="1509">
        <f t="shared" si="12"/>
        <v>100</v>
      </c>
      <c r="T35" s="1508" t="s">
        <v>8</v>
      </c>
      <c r="U35" s="1509">
        <f t="shared" si="13"/>
        <v>100</v>
      </c>
      <c r="V35" s="1508" t="s">
        <v>8</v>
      </c>
      <c r="W35" s="1509">
        <f t="shared" si="14"/>
        <v>100</v>
      </c>
      <c r="X35" s="1502"/>
      <c r="Y35" s="350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5"/>
      <c r="Q36" s="1507" t="str">
        <f t="shared" si="11"/>
        <v>公共部分装修</v>
      </c>
      <c r="R36" s="1508" t="s">
        <v>8</v>
      </c>
      <c r="S36" s="1509">
        <f t="shared" si="12"/>
        <v>100</v>
      </c>
      <c r="T36" s="1508" t="s">
        <v>8</v>
      </c>
      <c r="U36" s="1509">
        <f t="shared" si="13"/>
        <v>100</v>
      </c>
      <c r="V36" s="1508" t="s">
        <v>8</v>
      </c>
      <c r="W36" s="1509">
        <f t="shared" si="14"/>
        <v>100</v>
      </c>
      <c r="X36" s="1502"/>
      <c r="Y36" s="350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5"/>
      <c r="Q37" s="1507" t="str">
        <f t="shared" si="11"/>
        <v>成新度</v>
      </c>
      <c r="R37" s="1508" t="s">
        <v>8</v>
      </c>
      <c r="S37" s="1509" t="e">
        <f t="shared" si="12"/>
        <v>#N/A</v>
      </c>
      <c r="T37" s="1508" t="s">
        <v>8</v>
      </c>
      <c r="U37" s="1509" t="e">
        <f t="shared" si="13"/>
        <v>#N/A</v>
      </c>
      <c r="V37" s="1508" t="s">
        <v>8</v>
      </c>
      <c r="W37" s="1509" t="e">
        <f t="shared" si="14"/>
        <v>#N/A</v>
      </c>
      <c r="X37" s="1502"/>
      <c r="Y37" s="350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5"/>
      <c r="Q38" s="1134" t="str">
        <f t="shared" si="11"/>
        <v>写字楼等级</v>
      </c>
      <c r="R38" s="1503" t="s">
        <v>8</v>
      </c>
      <c r="S38" s="1504">
        <f t="shared" si="12"/>
        <v>100</v>
      </c>
      <c r="T38" s="1503" t="s">
        <v>8</v>
      </c>
      <c r="U38" s="1504">
        <f t="shared" si="13"/>
        <v>100</v>
      </c>
      <c r="V38" s="1503" t="s">
        <v>8</v>
      </c>
      <c r="W38" s="1504">
        <f t="shared" si="14"/>
        <v>100</v>
      </c>
      <c r="X38" s="1505"/>
      <c r="Y38" s="350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5" t="s">
        <v>544</v>
      </c>
      <c r="Q39" s="1507" t="str">
        <f t="shared" si="11"/>
        <v>物业管理</v>
      </c>
      <c r="R39" s="1508" t="s">
        <v>8</v>
      </c>
      <c r="S39" s="1509">
        <f t="shared" si="12"/>
        <v>100</v>
      </c>
      <c r="T39" s="1508" t="s">
        <v>8</v>
      </c>
      <c r="U39" s="1509">
        <f t="shared" si="13"/>
        <v>100</v>
      </c>
      <c r="V39" s="1508" t="s">
        <v>8</v>
      </c>
      <c r="W39" s="1509">
        <f t="shared" si="14"/>
        <v>100</v>
      </c>
      <c r="X39" s="1502"/>
      <c r="Y39" s="3505"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5"/>
      <c r="Q40" s="1507" t="str">
        <f t="shared" si="11"/>
        <v>市政基础设施</v>
      </c>
      <c r="R40" s="1508" t="s">
        <v>8</v>
      </c>
      <c r="S40" s="1509">
        <f t="shared" si="12"/>
        <v>100</v>
      </c>
      <c r="T40" s="1508" t="s">
        <v>8</v>
      </c>
      <c r="U40" s="1509">
        <f t="shared" si="13"/>
        <v>100</v>
      </c>
      <c r="V40" s="1508" t="s">
        <v>8</v>
      </c>
      <c r="W40" s="1509">
        <f t="shared" si="14"/>
        <v>100</v>
      </c>
      <c r="X40" s="1502"/>
      <c r="Y40" s="350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5"/>
      <c r="Q41" s="1507" t="str">
        <f t="shared" si="11"/>
        <v>层高</v>
      </c>
      <c r="R41" s="1508" t="s">
        <v>8</v>
      </c>
      <c r="S41" s="1509">
        <f t="shared" si="12"/>
        <v>100</v>
      </c>
      <c r="T41" s="1508" t="s">
        <v>8</v>
      </c>
      <c r="U41" s="1509">
        <f t="shared" si="13"/>
        <v>100</v>
      </c>
      <c r="V41" s="1508" t="s">
        <v>8</v>
      </c>
      <c r="W41" s="1509">
        <f t="shared" si="14"/>
        <v>100</v>
      </c>
      <c r="X41" s="1502"/>
      <c r="Y41" s="350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5"/>
      <c r="Q42" s="1536" t="str">
        <f t="shared" si="11"/>
        <v>单套建筑面积</v>
      </c>
      <c r="R42" s="1512" t="s">
        <v>8</v>
      </c>
      <c r="S42" s="1513">
        <f t="shared" si="12"/>
        <v>100</v>
      </c>
      <c r="T42" s="1512" t="s">
        <v>8</v>
      </c>
      <c r="U42" s="1513">
        <f t="shared" si="13"/>
        <v>100</v>
      </c>
      <c r="V42" s="1512" t="s">
        <v>8</v>
      </c>
      <c r="W42" s="1513">
        <f t="shared" si="14"/>
        <v>100</v>
      </c>
      <c r="X42" s="1514"/>
      <c r="Y42" s="350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5"/>
      <c r="Q43" s="1507" t="str">
        <f t="shared" si="11"/>
        <v>内部装修</v>
      </c>
      <c r="R43" s="1508" t="s">
        <v>8</v>
      </c>
      <c r="S43" s="1509">
        <f t="shared" si="12"/>
        <v>100</v>
      </c>
      <c r="T43" s="1508" t="s">
        <v>8</v>
      </c>
      <c r="U43" s="1509">
        <f t="shared" si="13"/>
        <v>100</v>
      </c>
      <c r="V43" s="1508" t="s">
        <v>8</v>
      </c>
      <c r="W43" s="1509">
        <f t="shared" si="14"/>
        <v>100</v>
      </c>
      <c r="X43" s="1502"/>
      <c r="Y43" s="350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5"/>
      <c r="Q44" s="1507" t="str">
        <f t="shared" si="11"/>
        <v>内部装修维护情况</v>
      </c>
      <c r="R44" s="1508" t="s">
        <v>8</v>
      </c>
      <c r="S44" s="1509">
        <f t="shared" si="12"/>
        <v>100</v>
      </c>
      <c r="T44" s="1508" t="s">
        <v>8</v>
      </c>
      <c r="U44" s="1509">
        <f t="shared" si="13"/>
        <v>100</v>
      </c>
      <c r="V44" s="1508" t="s">
        <v>8</v>
      </c>
      <c r="W44" s="1509">
        <f t="shared" si="14"/>
        <v>100</v>
      </c>
      <c r="X44" s="1502"/>
      <c r="Y44" s="350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5"/>
      <c r="Q45" s="1134">
        <f t="shared" si="11"/>
        <v>111</v>
      </c>
      <c r="R45" s="1503" t="s">
        <v>8</v>
      </c>
      <c r="S45" s="1504">
        <f t="shared" si="12"/>
        <v>100</v>
      </c>
      <c r="T45" s="1503" t="s">
        <v>8</v>
      </c>
      <c r="U45" s="1504">
        <f t="shared" si="13"/>
        <v>100</v>
      </c>
      <c r="V45" s="1503" t="s">
        <v>8</v>
      </c>
      <c r="W45" s="1504">
        <f t="shared" si="14"/>
        <v>100</v>
      </c>
      <c r="X45" s="1505"/>
      <c r="Y45" s="350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5"/>
      <c r="Q46" s="1507">
        <f t="shared" si="11"/>
        <v>111</v>
      </c>
      <c r="R46" s="1508" t="s">
        <v>8</v>
      </c>
      <c r="S46" s="1509">
        <f t="shared" si="12"/>
        <v>100</v>
      </c>
      <c r="T46" s="1508" t="s">
        <v>8</v>
      </c>
      <c r="U46" s="1509">
        <f t="shared" si="13"/>
        <v>100</v>
      </c>
      <c r="V46" s="1508" t="s">
        <v>8</v>
      </c>
      <c r="W46" s="1509">
        <f t="shared" si="14"/>
        <v>100</v>
      </c>
      <c r="X46" s="1502"/>
      <c r="Y46" s="350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0"/>
      <c r="Q47" s="1507">
        <f t="shared" si="11"/>
        <v>111</v>
      </c>
      <c r="R47" s="1508" t="s">
        <v>8</v>
      </c>
      <c r="S47" s="1509">
        <f t="shared" si="12"/>
        <v>100</v>
      </c>
      <c r="T47" s="1508" t="s">
        <v>8</v>
      </c>
      <c r="U47" s="1509">
        <f t="shared" si="13"/>
        <v>100</v>
      </c>
      <c r="V47" s="1508" t="s">
        <v>8</v>
      </c>
      <c r="W47" s="1509">
        <f t="shared" si="14"/>
        <v>100</v>
      </c>
      <c r="X47" s="1502"/>
      <c r="Y47" s="361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7"/>
      <c r="M48" s="2017"/>
      <c r="N48" s="2017"/>
      <c r="O48" s="2017"/>
      <c r="P48" s="3522" t="str">
        <f>A48</f>
        <v>成交单价（元/平方米）</v>
      </c>
      <c r="Q48" s="3500"/>
      <c r="R48" s="3609">
        <f>E48</f>
        <v>0</v>
      </c>
      <c r="S48" s="3609"/>
      <c r="T48" s="3609">
        <f>G48</f>
        <v>0</v>
      </c>
      <c r="U48" s="3609"/>
      <c r="V48" s="3609">
        <f>I48</f>
        <v>0</v>
      </c>
      <c r="W48" s="3609"/>
      <c r="X48" s="1497"/>
      <c r="Y48" s="1516"/>
      <c r="Z48" s="1497"/>
      <c r="AA48" s="1497"/>
      <c r="AB48" s="1497"/>
      <c r="AC48" s="1497"/>
    </row>
    <row r="49" spans="1:29" ht="15.75" thickBot="1">
      <c r="A49" s="609" t="s">
        <v>2741</v>
      </c>
      <c r="B49" s="877"/>
      <c r="C49" s="2476" t="e">
        <f>R50</f>
        <v>#DIV/0!</v>
      </c>
      <c r="D49" s="3014" t="s">
        <v>2961</v>
      </c>
      <c r="E49" s="2477" t="e">
        <f>R49</f>
        <v>#DIV/0!</v>
      </c>
      <c r="F49" s="3015"/>
      <c r="G49" s="2476" t="e">
        <f>T49</f>
        <v>#DIV/0!</v>
      </c>
      <c r="H49" s="3015"/>
      <c r="I49" s="2477" t="e">
        <f>V49</f>
        <v>#DIV/0!</v>
      </c>
      <c r="J49" s="3015"/>
      <c r="K49" s="3023">
        <f>F49+H49+J49</f>
        <v>0</v>
      </c>
      <c r="L49" s="2027"/>
      <c r="M49" s="2017"/>
      <c r="N49" s="2017"/>
      <c r="O49" s="2017"/>
      <c r="P49" s="3522" t="str">
        <f>A49</f>
        <v>比较价格（元/平方米）</v>
      </c>
      <c r="Q49" s="3500"/>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1497"/>
      <c r="Y49" s="1497"/>
      <c r="Z49" s="1497"/>
      <c r="AA49" s="1497"/>
      <c r="AB49" s="1497"/>
      <c r="AC49" s="1497"/>
    </row>
    <row r="50" spans="1:29" ht="15.75" thickBot="1">
      <c r="A50" s="613" t="s">
        <v>2892</v>
      </c>
      <c r="B50" s="614"/>
      <c r="C50" s="2478" t="e">
        <f>R50</f>
        <v>#DIV/0!</v>
      </c>
      <c r="D50" s="2478"/>
      <c r="E50" s="2478"/>
      <c r="F50" s="2478"/>
      <c r="G50" s="2478"/>
      <c r="H50" s="2478"/>
      <c r="I50" s="2478"/>
      <c r="J50" s="2478"/>
      <c r="K50" s="1542"/>
      <c r="L50" s="2027"/>
      <c r="M50" s="2017"/>
      <c r="N50" s="2017"/>
      <c r="O50" s="2017"/>
      <c r="P50" s="3614" t="str">
        <f>A50</f>
        <v>估价对象XX用房的比较价格（楼面单价，元/平方米）</v>
      </c>
      <c r="Q50" s="3522"/>
      <c r="R50" s="3608" t="e">
        <f>IF(F1="售价",ROUND(IF(D49="简单平均",AVERAGE(R49:V49),R49*F49+T49*H49+V49*J49),0),ROUND(IF(D49="简单平均",AVERAGE(R49:V49),R49*F49+T49*H49+V49*J49),1))</f>
        <v>#DIV/0!</v>
      </c>
      <c r="S50" s="3608"/>
      <c r="T50" s="3608"/>
      <c r="U50" s="3608"/>
      <c r="V50" s="3608"/>
      <c r="W50" s="3608"/>
      <c r="X50" s="1497"/>
      <c r="Y50" s="1497"/>
      <c r="Z50" s="1497"/>
      <c r="AA50" s="1497"/>
      <c r="AB50" s="1497"/>
      <c r="AC50" s="1497"/>
    </row>
    <row r="51" spans="1:29">
      <c r="A51" s="3213"/>
      <c r="B51" s="3213"/>
      <c r="C51" s="3213"/>
      <c r="D51" s="3213"/>
      <c r="E51" s="3213"/>
      <c r="F51" s="3213"/>
      <c r="G51" s="3215"/>
      <c r="H51" s="3213"/>
      <c r="I51" s="3213"/>
      <c r="J51" s="3213"/>
      <c r="K51" s="3216"/>
      <c r="L51" s="2032"/>
      <c r="M51" s="2028"/>
      <c r="N51" s="2028"/>
      <c r="O51" s="2028"/>
      <c r="P51" s="2089"/>
      <c r="Q51" s="2028"/>
      <c r="R51" s="2028"/>
      <c r="S51" s="2028"/>
      <c r="T51" s="2028"/>
      <c r="U51" s="2028"/>
      <c r="V51" s="2028"/>
      <c r="W51" s="2028"/>
      <c r="X51" s="2028"/>
      <c r="Y51" s="2028"/>
      <c r="Z51" s="2028"/>
      <c r="AA51" s="2028"/>
      <c r="AB51" s="2028"/>
      <c r="AC51" s="2028"/>
    </row>
    <row r="52" spans="1:29">
      <c r="A52" s="3213"/>
      <c r="B52" s="3213"/>
      <c r="C52" s="3213"/>
      <c r="D52" s="3213"/>
      <c r="E52" s="3213"/>
      <c r="F52" s="3213"/>
      <c r="G52" s="3213"/>
      <c r="H52" s="3213"/>
      <c r="I52" s="3213"/>
      <c r="J52" s="3213"/>
      <c r="K52" s="3216"/>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515</v>
      </c>
      <c r="B4" s="507"/>
      <c r="C4" s="3506" t="s">
        <v>516</v>
      </c>
      <c r="D4" s="3507"/>
      <c r="E4" s="3531" t="s">
        <v>517</v>
      </c>
      <c r="F4" s="3532"/>
      <c r="G4" s="3506" t="s">
        <v>518</v>
      </c>
      <c r="H4" s="3507"/>
      <c r="I4" s="3506" t="s">
        <v>519</v>
      </c>
      <c r="J4" s="3507"/>
      <c r="K4" s="508" t="s">
        <v>520</v>
      </c>
      <c r="L4" s="2016"/>
      <c r="M4" s="2017"/>
      <c r="N4" s="2017"/>
      <c r="O4" s="2017"/>
      <c r="P4" s="3508" t="s">
        <v>521</v>
      </c>
      <c r="Q4" s="3509"/>
      <c r="R4" s="3494" t="s">
        <v>517</v>
      </c>
      <c r="S4" s="3495"/>
      <c r="T4" s="3494" t="s">
        <v>518</v>
      </c>
      <c r="U4" s="3495"/>
      <c r="V4" s="3514" t="s">
        <v>519</v>
      </c>
      <c r="W4" s="3514"/>
      <c r="X4" s="1502"/>
      <c r="Y4" s="3494" t="s">
        <v>521</v>
      </c>
      <c r="Z4" s="3495"/>
      <c r="AA4" s="3489" t="s">
        <v>517</v>
      </c>
      <c r="AB4" s="3490" t="s">
        <v>518</v>
      </c>
      <c r="AC4" s="3489" t="s">
        <v>519</v>
      </c>
    </row>
    <row r="5" spans="1:29" ht="15">
      <c r="A5" s="509"/>
      <c r="B5" s="510"/>
      <c r="C5" s="3517" t="s">
        <v>2886</v>
      </c>
      <c r="D5" s="3518"/>
      <c r="E5" s="3533" t="s">
        <v>2887</v>
      </c>
      <c r="F5" s="3534"/>
      <c r="G5" s="3517" t="s">
        <v>2888</v>
      </c>
      <c r="H5" s="3518"/>
      <c r="I5" s="3517" t="s">
        <v>2889</v>
      </c>
      <c r="J5" s="3518"/>
      <c r="K5" s="508"/>
      <c r="L5" s="2016"/>
      <c r="M5" s="2017"/>
      <c r="N5" s="2017"/>
      <c r="O5" s="2017"/>
      <c r="P5" s="3510"/>
      <c r="Q5" s="3511"/>
      <c r="R5" s="3496"/>
      <c r="S5" s="3497"/>
      <c r="T5" s="3496"/>
      <c r="U5" s="3497"/>
      <c r="V5" s="3514"/>
      <c r="W5" s="3514"/>
      <c r="X5" s="1502"/>
      <c r="Y5" s="3496"/>
      <c r="Z5" s="3497"/>
      <c r="AA5" s="3490"/>
      <c r="AB5" s="3490"/>
      <c r="AC5" s="3490"/>
    </row>
    <row r="6" spans="1:29" ht="15.75" thickBot="1">
      <c r="A6" s="511"/>
      <c r="B6" s="512"/>
      <c r="C6" s="3515" t="s">
        <v>2890</v>
      </c>
      <c r="D6" s="3516"/>
      <c r="E6" s="3535" t="s">
        <v>2890</v>
      </c>
      <c r="F6" s="3536"/>
      <c r="G6" s="3515" t="s">
        <v>2890</v>
      </c>
      <c r="H6" s="3516"/>
      <c r="I6" s="3515" t="s">
        <v>2890</v>
      </c>
      <c r="J6" s="3516"/>
      <c r="K6" s="508" t="s">
        <v>522</v>
      </c>
      <c r="L6" s="2016"/>
      <c r="M6" s="2017"/>
      <c r="N6" s="2017"/>
      <c r="O6" s="2017"/>
      <c r="P6" s="3512"/>
      <c r="Q6" s="3513"/>
      <c r="R6" s="3496"/>
      <c r="S6" s="3497"/>
      <c r="T6" s="3498"/>
      <c r="U6" s="3499"/>
      <c r="V6" s="3514"/>
      <c r="W6" s="3514"/>
      <c r="X6" s="1502"/>
      <c r="Y6" s="3498"/>
      <c r="Z6" s="3499"/>
      <c r="AA6" s="3491"/>
      <c r="AB6" s="3491"/>
      <c r="AC6" s="3491"/>
    </row>
    <row r="7" spans="1:29" s="1203" customFormat="1" ht="15.75" thickBot="1">
      <c r="A7" s="2629"/>
      <c r="B7" s="2636" t="s">
        <v>523</v>
      </c>
      <c r="C7" s="513">
        <f>'数据-取费表'!B2</f>
        <v>44101</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2" t="s">
        <v>524</v>
      </c>
      <c r="Q7" s="3501"/>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00" t="s">
        <v>529</v>
      </c>
      <c r="Q9" s="1134" t="str">
        <f t="shared" ref="Q9:Q15" si="6">B9</f>
        <v>用途</v>
      </c>
      <c r="R9" s="1503" t="s">
        <v>8</v>
      </c>
      <c r="S9" s="1504">
        <f t="shared" si="0"/>
        <v>100</v>
      </c>
      <c r="T9" s="1503" t="s">
        <v>8</v>
      </c>
      <c r="U9" s="1504">
        <f t="shared" si="1"/>
        <v>100</v>
      </c>
      <c r="V9" s="1503" t="s">
        <v>8</v>
      </c>
      <c r="W9" s="1504">
        <f t="shared" si="2"/>
        <v>100</v>
      </c>
      <c r="X9" s="1505"/>
      <c r="Y9" s="3451"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00"/>
      <c r="Q11" s="1134" t="str">
        <f t="shared" si="6"/>
        <v>容积率</v>
      </c>
      <c r="R11" s="1503" t="s">
        <v>8</v>
      </c>
      <c r="S11" s="1504" t="e">
        <f t="shared" si="0"/>
        <v>#N/A</v>
      </c>
      <c r="T11" s="1503" t="s">
        <v>8</v>
      </c>
      <c r="U11" s="1504" t="e">
        <f t="shared" si="1"/>
        <v>#N/A</v>
      </c>
      <c r="V11" s="1503" t="s">
        <v>8</v>
      </c>
      <c r="W11" s="1504" t="e">
        <f t="shared" si="2"/>
        <v>#N/A</v>
      </c>
      <c r="X11" s="1505"/>
      <c r="Y11" s="3451"/>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00"/>
      <c r="Q12" s="1134">
        <f t="shared" si="6"/>
        <v>111</v>
      </c>
      <c r="R12" s="1503" t="s">
        <v>8</v>
      </c>
      <c r="S12" s="1504">
        <f t="shared" si="0"/>
        <v>100</v>
      </c>
      <c r="T12" s="1503" t="s">
        <v>8</v>
      </c>
      <c r="U12" s="1504">
        <f t="shared" si="1"/>
        <v>100</v>
      </c>
      <c r="V12" s="1503" t="s">
        <v>8</v>
      </c>
      <c r="W12" s="1504">
        <f t="shared" si="2"/>
        <v>100</v>
      </c>
      <c r="X12" s="1505"/>
      <c r="Y12" s="3451"/>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00"/>
      <c r="Q13" s="1134">
        <f t="shared" si="6"/>
        <v>111</v>
      </c>
      <c r="R13" s="1503" t="s">
        <v>8</v>
      </c>
      <c r="S13" s="1504">
        <f t="shared" si="0"/>
        <v>100</v>
      </c>
      <c r="T13" s="1503" t="s">
        <v>8</v>
      </c>
      <c r="U13" s="1504">
        <f t="shared" si="1"/>
        <v>100</v>
      </c>
      <c r="V13" s="1503" t="s">
        <v>8</v>
      </c>
      <c r="W13" s="1504">
        <f t="shared" si="2"/>
        <v>100</v>
      </c>
      <c r="X13" s="1505"/>
      <c r="Y13" s="3451"/>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00"/>
      <c r="Q14" s="1134">
        <f t="shared" si="6"/>
        <v>111</v>
      </c>
      <c r="R14" s="1503" t="s">
        <v>8</v>
      </c>
      <c r="S14" s="1504">
        <f t="shared" si="0"/>
        <v>100</v>
      </c>
      <c r="T14" s="1503" t="s">
        <v>8</v>
      </c>
      <c r="U14" s="1504">
        <f t="shared" si="1"/>
        <v>100</v>
      </c>
      <c r="V14" s="1503" t="s">
        <v>8</v>
      </c>
      <c r="W14" s="1504">
        <f t="shared" si="2"/>
        <v>100</v>
      </c>
      <c r="X14" s="1505"/>
      <c r="Y14" s="3451"/>
      <c r="Z14" s="1133">
        <f t="shared" si="7"/>
        <v>111</v>
      </c>
      <c r="AA14" s="1506">
        <f t="shared" si="3"/>
        <v>1</v>
      </c>
      <c r="AB14" s="1506">
        <f t="shared" si="4"/>
        <v>1</v>
      </c>
      <c r="AC14" s="1506">
        <f t="shared" si="5"/>
        <v>1</v>
      </c>
    </row>
    <row r="15" spans="1:29" ht="15">
      <c r="A15" s="2627" t="s">
        <v>2735</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2" t="s">
        <v>534</v>
      </c>
      <c r="Q15" s="1507" t="str">
        <f t="shared" si="6"/>
        <v>产业集聚程度</v>
      </c>
      <c r="R15" s="1508" t="s">
        <v>8</v>
      </c>
      <c r="S15" s="1509">
        <f t="shared" si="0"/>
        <v>100</v>
      </c>
      <c r="T15" s="1508" t="s">
        <v>8</v>
      </c>
      <c r="U15" s="1509">
        <f t="shared" si="1"/>
        <v>100</v>
      </c>
      <c r="V15" s="1508" t="s">
        <v>8</v>
      </c>
      <c r="W15" s="1509">
        <f t="shared" si="2"/>
        <v>100</v>
      </c>
      <c r="X15" s="1502"/>
      <c r="Y15" s="350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3"/>
      <c r="Q16" s="1507"/>
      <c r="R16" s="1508"/>
      <c r="S16" s="1509"/>
      <c r="T16" s="1508"/>
      <c r="U16" s="1509"/>
      <c r="V16" s="1508"/>
      <c r="W16" s="1509"/>
      <c r="X16" s="1502"/>
      <c r="Y16" s="3503"/>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3"/>
      <c r="Q17" s="1507" t="str">
        <f>B17</f>
        <v>交通便捷度</v>
      </c>
      <c r="R17" s="1508" t="s">
        <v>8</v>
      </c>
      <c r="S17" s="1509">
        <f>F17</f>
        <v>100</v>
      </c>
      <c r="T17" s="1508" t="s">
        <v>8</v>
      </c>
      <c r="U17" s="1509">
        <f>H17</f>
        <v>100</v>
      </c>
      <c r="V17" s="1508" t="s">
        <v>8</v>
      </c>
      <c r="W17" s="1509">
        <f>J17</f>
        <v>100</v>
      </c>
      <c r="X17" s="1502"/>
      <c r="Y17" s="350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3"/>
      <c r="Q18" s="1507"/>
      <c r="R18" s="1508"/>
      <c r="S18" s="1509"/>
      <c r="T18" s="1508"/>
      <c r="U18" s="1509"/>
      <c r="V18" s="1508"/>
      <c r="W18" s="1509"/>
      <c r="X18" s="1502"/>
      <c r="Y18" s="3503"/>
      <c r="Z18" s="1510"/>
      <c r="AA18" s="1511">
        <v>1</v>
      </c>
      <c r="AB18" s="1511">
        <v>1</v>
      </c>
      <c r="AC18" s="1511">
        <v>1</v>
      </c>
    </row>
    <row r="19" spans="1:29" ht="15">
      <c r="A19" s="526"/>
      <c r="B19" s="2447" t="s">
        <v>2528</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3"/>
      <c r="Q19" s="1507" t="str">
        <f>B19</f>
        <v>公共配套设施</v>
      </c>
      <c r="R19" s="1508" t="s">
        <v>8</v>
      </c>
      <c r="S19" s="1509">
        <f>F19</f>
        <v>100</v>
      </c>
      <c r="T19" s="1508" t="s">
        <v>8</v>
      </c>
      <c r="U19" s="1509">
        <f>H19</f>
        <v>100</v>
      </c>
      <c r="V19" s="1508" t="s">
        <v>8</v>
      </c>
      <c r="W19" s="1509">
        <f>J19</f>
        <v>100</v>
      </c>
      <c r="X19" s="1502"/>
      <c r="Y19" s="350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3"/>
      <c r="Q20" s="1507"/>
      <c r="R20" s="1508"/>
      <c r="S20" s="1509"/>
      <c r="T20" s="1508"/>
      <c r="U20" s="1509"/>
      <c r="V20" s="1508"/>
      <c r="W20" s="1509"/>
      <c r="X20" s="1502"/>
      <c r="Y20" s="3503"/>
      <c r="Z20" s="1510"/>
      <c r="AA20" s="1511">
        <v>1</v>
      </c>
      <c r="AB20" s="1511">
        <v>1</v>
      </c>
      <c r="AC20" s="1511">
        <v>1</v>
      </c>
    </row>
    <row r="21" spans="1:29" ht="15">
      <c r="A21" s="526"/>
      <c r="B21" s="2435" t="s">
        <v>2540</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3"/>
      <c r="Q21" s="2429" t="str">
        <f>B21</f>
        <v>基础设施水平</v>
      </c>
      <c r="R21" s="1508" t="s">
        <v>8</v>
      </c>
      <c r="S21" s="1509">
        <f>F21</f>
        <v>100</v>
      </c>
      <c r="T21" s="1508" t="s">
        <v>8</v>
      </c>
      <c r="U21" s="1509">
        <f>H21</f>
        <v>100</v>
      </c>
      <c r="V21" s="1508" t="s">
        <v>8</v>
      </c>
      <c r="W21" s="1509">
        <f>J21</f>
        <v>100</v>
      </c>
      <c r="X21" s="2431"/>
      <c r="Y21" s="3503"/>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5"/>
      <c r="M22" s="2017"/>
      <c r="N22" s="2017"/>
      <c r="O22" s="2024"/>
      <c r="P22" s="3503"/>
      <c r="Q22" s="2429"/>
      <c r="R22" s="1508"/>
      <c r="S22" s="1509"/>
      <c r="T22" s="1508"/>
      <c r="U22" s="1509"/>
      <c r="V22" s="1508"/>
      <c r="W22" s="1509"/>
      <c r="X22" s="2431"/>
      <c r="Y22" s="3503"/>
      <c r="Z22" s="2430"/>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3"/>
      <c r="Q23" s="1507" t="str">
        <f>B23</f>
        <v>环境质量</v>
      </c>
      <c r="R23" s="1508" t="s">
        <v>8</v>
      </c>
      <c r="S23" s="1509">
        <f>F23</f>
        <v>100</v>
      </c>
      <c r="T23" s="1508" t="s">
        <v>8</v>
      </c>
      <c r="U23" s="1509">
        <f>H23</f>
        <v>100</v>
      </c>
      <c r="V23" s="1508" t="s">
        <v>8</v>
      </c>
      <c r="W23" s="1509">
        <f>J23</f>
        <v>100</v>
      </c>
      <c r="X23" s="1502"/>
      <c r="Y23" s="350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3"/>
      <c r="Q24" s="1507"/>
      <c r="R24" s="1508"/>
      <c r="S24" s="1509"/>
      <c r="T24" s="1508"/>
      <c r="U24" s="1509"/>
      <c r="V24" s="1508"/>
      <c r="W24" s="1509"/>
      <c r="X24" s="1502"/>
      <c r="Y24" s="350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3"/>
      <c r="Q25" s="1507">
        <f>B25</f>
        <v>111</v>
      </c>
      <c r="R25" s="1508" t="s">
        <v>8</v>
      </c>
      <c r="S25" s="1509">
        <f>F25</f>
        <v>100</v>
      </c>
      <c r="T25" s="1508" t="s">
        <v>8</v>
      </c>
      <c r="U25" s="1509">
        <f>H25</f>
        <v>100</v>
      </c>
      <c r="V25" s="1508" t="s">
        <v>8</v>
      </c>
      <c r="W25" s="1509">
        <f>J25</f>
        <v>100</v>
      </c>
      <c r="X25" s="1502"/>
      <c r="Y25" s="350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3"/>
      <c r="Q26" s="1507">
        <f t="shared" ref="Q26:Q40" si="11">B26</f>
        <v>111</v>
      </c>
      <c r="R26" s="1508" t="s">
        <v>8</v>
      </c>
      <c r="S26" s="1509">
        <f>F26</f>
        <v>100</v>
      </c>
      <c r="T26" s="1508" t="s">
        <v>8</v>
      </c>
      <c r="U26" s="1509">
        <f>H26</f>
        <v>100</v>
      </c>
      <c r="V26" s="1508" t="s">
        <v>8</v>
      </c>
      <c r="W26" s="1509">
        <f>J26</f>
        <v>100</v>
      </c>
      <c r="X26" s="1502"/>
      <c r="Y26" s="350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3"/>
      <c r="Q27" s="1134">
        <f t="shared" si="11"/>
        <v>111</v>
      </c>
      <c r="R27" s="1503" t="s">
        <v>8</v>
      </c>
      <c r="S27" s="1504">
        <f>F27</f>
        <v>100</v>
      </c>
      <c r="T27" s="1503" t="s">
        <v>8</v>
      </c>
      <c r="U27" s="1504">
        <f>H27</f>
        <v>100</v>
      </c>
      <c r="V27" s="1503" t="s">
        <v>8</v>
      </c>
      <c r="W27" s="1504">
        <f>J27</f>
        <v>100</v>
      </c>
      <c r="X27" s="1505"/>
      <c r="Y27" s="350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3"/>
      <c r="Q28" s="1507">
        <f t="shared" si="11"/>
        <v>111</v>
      </c>
      <c r="R28" s="1508" t="s">
        <v>8</v>
      </c>
      <c r="S28" s="1509">
        <f t="shared" ref="S28:S40" si="12">F28</f>
        <v>100</v>
      </c>
      <c r="T28" s="1508" t="s">
        <v>8</v>
      </c>
      <c r="U28" s="1509">
        <f t="shared" ref="U28:U40" si="13">H28</f>
        <v>100</v>
      </c>
      <c r="V28" s="1508" t="s">
        <v>8</v>
      </c>
      <c r="W28" s="1509">
        <f t="shared" ref="W28:W40" si="14">J28</f>
        <v>100</v>
      </c>
      <c r="X28" s="1502"/>
      <c r="Y28" s="3503"/>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4" t="s">
        <v>544</v>
      </c>
      <c r="Q29" s="1507" t="str">
        <f t="shared" si="11"/>
        <v>建筑类型</v>
      </c>
      <c r="R29" s="1508" t="s">
        <v>8</v>
      </c>
      <c r="S29" s="1509">
        <f t="shared" si="12"/>
        <v>100</v>
      </c>
      <c r="T29" s="1508" t="s">
        <v>8</v>
      </c>
      <c r="U29" s="1509">
        <f t="shared" si="13"/>
        <v>100</v>
      </c>
      <c r="V29" s="1508" t="s">
        <v>8</v>
      </c>
      <c r="W29" s="1509">
        <f t="shared" si="14"/>
        <v>100</v>
      </c>
      <c r="X29" s="1502"/>
      <c r="Y29" s="350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5"/>
      <c r="Q30" s="1536" t="str">
        <f t="shared" si="11"/>
        <v>项目建筑规模</v>
      </c>
      <c r="R30" s="1512" t="s">
        <v>8</v>
      </c>
      <c r="S30" s="1513" t="e">
        <f t="shared" si="12"/>
        <v>#N/A</v>
      </c>
      <c r="T30" s="1512" t="s">
        <v>8</v>
      </c>
      <c r="U30" s="1513" t="e">
        <f t="shared" si="13"/>
        <v>#N/A</v>
      </c>
      <c r="V30" s="1512" t="s">
        <v>8</v>
      </c>
      <c r="W30" s="1513" t="e">
        <f t="shared" si="14"/>
        <v>#N/A</v>
      </c>
      <c r="X30" s="1514"/>
      <c r="Y30" s="350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5"/>
      <c r="Q31" s="1507" t="str">
        <f t="shared" si="11"/>
        <v>建筑结构</v>
      </c>
      <c r="R31" s="1508" t="s">
        <v>8</v>
      </c>
      <c r="S31" s="1509">
        <f t="shared" si="12"/>
        <v>100</v>
      </c>
      <c r="T31" s="1508" t="s">
        <v>8</v>
      </c>
      <c r="U31" s="1509">
        <f t="shared" si="13"/>
        <v>100</v>
      </c>
      <c r="V31" s="1508" t="s">
        <v>8</v>
      </c>
      <c r="W31" s="1509">
        <f t="shared" si="14"/>
        <v>100</v>
      </c>
      <c r="X31" s="1502"/>
      <c r="Y31" s="350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5"/>
      <c r="Q32" s="1507" t="str">
        <f t="shared" si="11"/>
        <v>公共部分装修</v>
      </c>
      <c r="R32" s="1508" t="s">
        <v>8</v>
      </c>
      <c r="S32" s="1509">
        <f t="shared" si="12"/>
        <v>100</v>
      </c>
      <c r="T32" s="1508" t="s">
        <v>8</v>
      </c>
      <c r="U32" s="1509">
        <f t="shared" si="13"/>
        <v>100</v>
      </c>
      <c r="V32" s="1508" t="s">
        <v>8</v>
      </c>
      <c r="W32" s="1509">
        <f t="shared" si="14"/>
        <v>100</v>
      </c>
      <c r="X32" s="1502"/>
      <c r="Y32" s="350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5"/>
      <c r="Q33" s="1507" t="str">
        <f t="shared" si="11"/>
        <v>成新度</v>
      </c>
      <c r="R33" s="1508" t="s">
        <v>8</v>
      </c>
      <c r="S33" s="1509" t="e">
        <f t="shared" si="12"/>
        <v>#N/A</v>
      </c>
      <c r="T33" s="1508" t="s">
        <v>8</v>
      </c>
      <c r="U33" s="1509" t="e">
        <f t="shared" si="13"/>
        <v>#N/A</v>
      </c>
      <c r="V33" s="1508" t="s">
        <v>8</v>
      </c>
      <c r="W33" s="1509" t="e">
        <f t="shared" si="14"/>
        <v>#N/A</v>
      </c>
      <c r="X33" s="1502"/>
      <c r="Y33" s="350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5"/>
      <c r="Q34" s="1134" t="str">
        <f t="shared" si="11"/>
        <v>物业管理</v>
      </c>
      <c r="R34" s="1503" t="s">
        <v>8</v>
      </c>
      <c r="S34" s="1504">
        <f t="shared" si="12"/>
        <v>100</v>
      </c>
      <c r="T34" s="1503" t="s">
        <v>8</v>
      </c>
      <c r="U34" s="1504">
        <f t="shared" si="13"/>
        <v>100</v>
      </c>
      <c r="V34" s="1503" t="s">
        <v>8</v>
      </c>
      <c r="W34" s="1504">
        <f t="shared" si="14"/>
        <v>100</v>
      </c>
      <c r="X34" s="1505"/>
      <c r="Y34" s="3505"/>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5" t="s">
        <v>544</v>
      </c>
      <c r="Q35" s="1507" t="str">
        <f t="shared" si="11"/>
        <v>市政基础设施</v>
      </c>
      <c r="R35" s="1508" t="s">
        <v>8</v>
      </c>
      <c r="S35" s="1509">
        <f t="shared" si="12"/>
        <v>100</v>
      </c>
      <c r="T35" s="1508" t="s">
        <v>8</v>
      </c>
      <c r="U35" s="1509">
        <f t="shared" si="13"/>
        <v>100</v>
      </c>
      <c r="V35" s="1508" t="s">
        <v>8</v>
      </c>
      <c r="W35" s="1509">
        <f t="shared" si="14"/>
        <v>100</v>
      </c>
      <c r="X35" s="1502"/>
      <c r="Y35" s="350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5"/>
      <c r="Q36" s="1507" t="str">
        <f t="shared" si="11"/>
        <v>内部装修</v>
      </c>
      <c r="R36" s="1508" t="s">
        <v>8</v>
      </c>
      <c r="S36" s="1509">
        <f t="shared" si="12"/>
        <v>100</v>
      </c>
      <c r="T36" s="1508" t="s">
        <v>8</v>
      </c>
      <c r="U36" s="1509">
        <f t="shared" si="13"/>
        <v>100</v>
      </c>
      <c r="V36" s="1508" t="s">
        <v>8</v>
      </c>
      <c r="W36" s="1509">
        <f t="shared" si="14"/>
        <v>100</v>
      </c>
      <c r="X36" s="1502"/>
      <c r="Y36" s="350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5"/>
      <c r="Q37" s="1507" t="str">
        <f t="shared" si="11"/>
        <v>内部装修状况</v>
      </c>
      <c r="R37" s="1508" t="s">
        <v>8</v>
      </c>
      <c r="S37" s="1509">
        <f t="shared" si="12"/>
        <v>100</v>
      </c>
      <c r="T37" s="1508" t="s">
        <v>8</v>
      </c>
      <c r="U37" s="1509">
        <f t="shared" si="13"/>
        <v>100</v>
      </c>
      <c r="V37" s="1508" t="s">
        <v>8</v>
      </c>
      <c r="W37" s="1509">
        <f t="shared" si="14"/>
        <v>100</v>
      </c>
      <c r="X37" s="1502"/>
      <c r="Y37" s="350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5"/>
      <c r="Q38" s="1536">
        <f t="shared" si="11"/>
        <v>111</v>
      </c>
      <c r="R38" s="1512" t="s">
        <v>8</v>
      </c>
      <c r="S38" s="1513">
        <f t="shared" si="12"/>
        <v>100</v>
      </c>
      <c r="T38" s="1512" t="s">
        <v>8</v>
      </c>
      <c r="U38" s="1513">
        <f t="shared" si="13"/>
        <v>100</v>
      </c>
      <c r="V38" s="1512" t="s">
        <v>8</v>
      </c>
      <c r="W38" s="1513">
        <f t="shared" si="14"/>
        <v>100</v>
      </c>
      <c r="X38" s="1514"/>
      <c r="Y38" s="350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5"/>
      <c r="Q39" s="1507">
        <f t="shared" si="11"/>
        <v>111</v>
      </c>
      <c r="R39" s="1508" t="s">
        <v>8</v>
      </c>
      <c r="S39" s="1509">
        <f t="shared" si="12"/>
        <v>100</v>
      </c>
      <c r="T39" s="1508" t="s">
        <v>8</v>
      </c>
      <c r="U39" s="1509">
        <f t="shared" si="13"/>
        <v>100</v>
      </c>
      <c r="V39" s="1508" t="s">
        <v>8</v>
      </c>
      <c r="W39" s="1509">
        <f t="shared" si="14"/>
        <v>100</v>
      </c>
      <c r="X39" s="1502"/>
      <c r="Y39" s="350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0"/>
      <c r="Q40" s="1507">
        <f t="shared" si="11"/>
        <v>111</v>
      </c>
      <c r="R40" s="1508" t="s">
        <v>8</v>
      </c>
      <c r="S40" s="1509">
        <f t="shared" si="12"/>
        <v>100</v>
      </c>
      <c r="T40" s="1508" t="s">
        <v>8</v>
      </c>
      <c r="U40" s="1509">
        <f t="shared" si="13"/>
        <v>100</v>
      </c>
      <c r="V40" s="1508" t="s">
        <v>8</v>
      </c>
      <c r="W40" s="1509">
        <f t="shared" si="14"/>
        <v>100</v>
      </c>
      <c r="X40" s="1502"/>
      <c r="Y40" s="361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7"/>
      <c r="M41" s="2028"/>
      <c r="N41" s="2017"/>
      <c r="O41" s="2028"/>
      <c r="P41" s="3500" t="str">
        <f>A41</f>
        <v>成交单价（元/平方米）</v>
      </c>
      <c r="Q41" s="3500"/>
      <c r="R41" s="3609">
        <f>E41</f>
        <v>0</v>
      </c>
      <c r="S41" s="3609"/>
      <c r="T41" s="3609">
        <f>G41</f>
        <v>0</v>
      </c>
      <c r="U41" s="3609"/>
      <c r="V41" s="3609">
        <f>I41</f>
        <v>0</v>
      </c>
      <c r="W41" s="3609"/>
      <c r="X41" s="1497"/>
      <c r="Y41" s="1516"/>
      <c r="Z41" s="1497"/>
      <c r="AA41" s="1497"/>
      <c r="AB41" s="1497"/>
      <c r="AC41" s="1497"/>
    </row>
    <row r="42" spans="1:29" ht="15.75" thickBot="1">
      <c r="A42" s="609" t="s">
        <v>2741</v>
      </c>
      <c r="B42" s="877"/>
      <c r="C42" s="2476" t="e">
        <f>R43</f>
        <v>#DIV/0!</v>
      </c>
      <c r="D42" s="3014" t="s">
        <v>2961</v>
      </c>
      <c r="E42" s="2477" t="e">
        <f>R42</f>
        <v>#DIV/0!</v>
      </c>
      <c r="F42" s="3015"/>
      <c r="G42" s="2476" t="e">
        <f>T42</f>
        <v>#DIV/0!</v>
      </c>
      <c r="H42" s="3015"/>
      <c r="I42" s="2477" t="e">
        <f>V42</f>
        <v>#DIV/0!</v>
      </c>
      <c r="J42" s="3015"/>
      <c r="K42" s="3023">
        <f>F42+H42+J42</f>
        <v>0</v>
      </c>
      <c r="L42" s="2027"/>
      <c r="M42" s="2028"/>
      <c r="N42" s="2017"/>
      <c r="O42" s="2028"/>
      <c r="P42" s="3500" t="str">
        <f>A42</f>
        <v>比较价格（元/平方米）</v>
      </c>
      <c r="Q42" s="3500"/>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1497"/>
      <c r="Y42" s="1497"/>
      <c r="Z42" s="1497"/>
      <c r="AA42" s="1497"/>
      <c r="AB42" s="1497"/>
      <c r="AC42" s="1497"/>
    </row>
    <row r="43" spans="1:29" ht="15.75" thickBot="1">
      <c r="A43" s="613" t="s">
        <v>2892</v>
      </c>
      <c r="B43" s="614"/>
      <c r="C43" s="2478" t="e">
        <f>R43</f>
        <v>#DIV/0!</v>
      </c>
      <c r="D43" s="2478"/>
      <c r="E43" s="2478"/>
      <c r="F43" s="2478"/>
      <c r="G43" s="2478"/>
      <c r="H43" s="2478"/>
      <c r="I43" s="2478"/>
      <c r="J43" s="2478"/>
      <c r="K43" s="1542"/>
      <c r="L43" s="2027"/>
      <c r="M43" s="2028"/>
      <c r="N43" s="2028"/>
      <c r="O43" s="2028"/>
      <c r="P43" s="3521" t="str">
        <f>A43</f>
        <v>估价对象XX用房的比较价格（楼面单价，元/平方米）</v>
      </c>
      <c r="Q43" s="3522"/>
      <c r="R43" s="3608" t="e">
        <f>IF(F1="售价",ROUND(IF(D42="简单平均",AVERAGE(R42:V42),R42*F42+T42*H42+V42*J42),0),ROUND(IF(D42="简单平均",AVERAGE(R42:V42),R42*F42+T42*H42+V42*J42),1))</f>
        <v>#DIV/0!</v>
      </c>
      <c r="S43" s="3608"/>
      <c r="T43" s="3608"/>
      <c r="U43" s="3608"/>
      <c r="V43" s="3608"/>
      <c r="W43" s="3608"/>
      <c r="X43" s="1497"/>
      <c r="Y43" s="1497"/>
      <c r="Z43" s="1497"/>
      <c r="AA43" s="1497"/>
      <c r="AB43" s="1497"/>
      <c r="AC43" s="1497"/>
    </row>
    <row r="44" spans="1:29">
      <c r="A44" s="3213"/>
      <c r="B44" s="3213"/>
      <c r="C44" s="3213"/>
      <c r="D44" s="3213"/>
      <c r="E44" s="3213"/>
      <c r="F44" s="3213"/>
      <c r="G44" s="3215"/>
      <c r="H44" s="3213"/>
      <c r="I44" s="3213"/>
      <c r="J44" s="3213"/>
      <c r="K44" s="3216"/>
      <c r="L44" s="2032"/>
      <c r="M44" s="2028"/>
      <c r="N44" s="2028"/>
      <c r="O44" s="2028"/>
      <c r="P44" s="2028"/>
      <c r="Q44" s="2028"/>
      <c r="R44" s="2028"/>
      <c r="S44" s="2028"/>
      <c r="T44" s="2028"/>
      <c r="U44" s="2028"/>
      <c r="V44" s="2028"/>
      <c r="W44" s="2028"/>
      <c r="X44" s="2028"/>
      <c r="Y44" s="2028"/>
      <c r="Z44" s="2028"/>
      <c r="AA44" s="2028"/>
      <c r="AB44" s="2028"/>
      <c r="AC44" s="2028"/>
    </row>
    <row r="45" spans="1:29">
      <c r="A45" s="3213"/>
      <c r="B45" s="3213"/>
      <c r="C45" s="3213"/>
      <c r="D45" s="3213"/>
      <c r="E45" s="3213"/>
      <c r="F45" s="3213"/>
      <c r="G45" s="3213"/>
      <c r="H45" s="3213"/>
      <c r="I45" s="3213"/>
      <c r="J45" s="3213"/>
      <c r="K45" s="3216"/>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506" t="s">
        <v>792</v>
      </c>
      <c r="D4" s="3507"/>
      <c r="E4" s="3506" t="s">
        <v>793</v>
      </c>
      <c r="F4" s="3507"/>
      <c r="G4" s="3506" t="s">
        <v>794</v>
      </c>
      <c r="H4" s="3507"/>
      <c r="I4" s="3506" t="s">
        <v>795</v>
      </c>
      <c r="J4" s="3507"/>
      <c r="K4" s="508" t="s">
        <v>796</v>
      </c>
      <c r="L4" s="2016"/>
      <c r="M4" s="2017"/>
      <c r="N4" s="2017"/>
      <c r="O4" s="2017"/>
      <c r="P4" s="3508" t="s">
        <v>797</v>
      </c>
      <c r="Q4" s="3509"/>
      <c r="R4" s="3494" t="s">
        <v>793</v>
      </c>
      <c r="S4" s="3495"/>
      <c r="T4" s="3494" t="s">
        <v>794</v>
      </c>
      <c r="U4" s="3495"/>
      <c r="V4" s="3514" t="s">
        <v>795</v>
      </c>
      <c r="W4" s="3514"/>
      <c r="X4" s="1502"/>
      <c r="Y4" s="3494" t="s">
        <v>797</v>
      </c>
      <c r="Z4" s="3495"/>
      <c r="AA4" s="3489" t="s">
        <v>793</v>
      </c>
      <c r="AB4" s="3490" t="s">
        <v>794</v>
      </c>
      <c r="AC4" s="3489" t="s">
        <v>795</v>
      </c>
    </row>
    <row r="5" spans="1:29" ht="15">
      <c r="A5" s="509"/>
      <c r="B5" s="510"/>
      <c r="C5" s="3517" t="s">
        <v>2886</v>
      </c>
      <c r="D5" s="3518"/>
      <c r="E5" s="3517" t="s">
        <v>2887</v>
      </c>
      <c r="F5" s="3518"/>
      <c r="G5" s="3517" t="s">
        <v>2888</v>
      </c>
      <c r="H5" s="3518"/>
      <c r="I5" s="3517" t="s">
        <v>2889</v>
      </c>
      <c r="J5" s="3518"/>
      <c r="K5" s="508"/>
      <c r="L5" s="2016"/>
      <c r="M5" s="2017"/>
      <c r="N5" s="2017"/>
      <c r="O5" s="2017"/>
      <c r="P5" s="3510"/>
      <c r="Q5" s="3511"/>
      <c r="R5" s="3496"/>
      <c r="S5" s="3497"/>
      <c r="T5" s="3496"/>
      <c r="U5" s="3497"/>
      <c r="V5" s="3514"/>
      <c r="W5" s="3514"/>
      <c r="X5" s="1502"/>
      <c r="Y5" s="3496"/>
      <c r="Z5" s="3497"/>
      <c r="AA5" s="3490"/>
      <c r="AB5" s="3490"/>
      <c r="AC5" s="3490"/>
    </row>
    <row r="6" spans="1:29" ht="15.75" thickBot="1">
      <c r="A6" s="511"/>
      <c r="B6" s="512"/>
      <c r="C6" s="3515" t="s">
        <v>2890</v>
      </c>
      <c r="D6" s="3516"/>
      <c r="E6" s="3519" t="s">
        <v>2890</v>
      </c>
      <c r="F6" s="3520"/>
      <c r="G6" s="3515" t="s">
        <v>2890</v>
      </c>
      <c r="H6" s="3516"/>
      <c r="I6" s="3515" t="s">
        <v>2890</v>
      </c>
      <c r="J6" s="3516"/>
      <c r="K6" s="508" t="s">
        <v>522</v>
      </c>
      <c r="L6" s="2016"/>
      <c r="M6" s="2017"/>
      <c r="N6" s="2017"/>
      <c r="O6" s="2017"/>
      <c r="P6" s="3512"/>
      <c r="Q6" s="3513"/>
      <c r="R6" s="3496"/>
      <c r="S6" s="3497"/>
      <c r="T6" s="3498"/>
      <c r="U6" s="3499"/>
      <c r="V6" s="3514"/>
      <c r="W6" s="3514"/>
      <c r="X6" s="1502"/>
      <c r="Y6" s="3498"/>
      <c r="Z6" s="3499"/>
      <c r="AA6" s="3491"/>
      <c r="AB6" s="3491"/>
      <c r="AC6" s="3491"/>
    </row>
    <row r="7" spans="1:29" s="1203" customFormat="1" ht="15.75" thickBot="1">
      <c r="A7" s="2629"/>
      <c r="B7" s="2636" t="s">
        <v>523</v>
      </c>
      <c r="C7" s="513">
        <f>'数据-取费表'!B2</f>
        <v>44101</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2" t="s">
        <v>524</v>
      </c>
      <c r="Q7" s="3501"/>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00" t="s">
        <v>529</v>
      </c>
      <c r="Q9" s="1134" t="str">
        <f t="shared" ref="Q9:Q14" si="6">B9</f>
        <v>用途</v>
      </c>
      <c r="R9" s="1503" t="s">
        <v>8</v>
      </c>
      <c r="S9" s="1504">
        <f t="shared" si="0"/>
        <v>100</v>
      </c>
      <c r="T9" s="1503" t="s">
        <v>8</v>
      </c>
      <c r="U9" s="1504">
        <f t="shared" si="1"/>
        <v>100</v>
      </c>
      <c r="V9" s="1503" t="s">
        <v>8</v>
      </c>
      <c r="W9" s="1504">
        <f t="shared" si="2"/>
        <v>100</v>
      </c>
      <c r="X9" s="1505"/>
      <c r="Y9" s="3451"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00"/>
      <c r="Q11" s="1134">
        <f t="shared" si="6"/>
        <v>111</v>
      </c>
      <c r="R11" s="1503" t="s">
        <v>8</v>
      </c>
      <c r="S11" s="1504">
        <f t="shared" si="0"/>
        <v>100</v>
      </c>
      <c r="T11" s="1503" t="s">
        <v>8</v>
      </c>
      <c r="U11" s="1504">
        <f t="shared" si="1"/>
        <v>100</v>
      </c>
      <c r="V11" s="1503" t="s">
        <v>8</v>
      </c>
      <c r="W11" s="1504">
        <f t="shared" si="2"/>
        <v>100</v>
      </c>
      <c r="X11" s="1505"/>
      <c r="Y11" s="3451"/>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00"/>
      <c r="Q12" s="1134">
        <f t="shared" si="6"/>
        <v>111</v>
      </c>
      <c r="R12" s="1503" t="s">
        <v>8</v>
      </c>
      <c r="S12" s="1504">
        <f t="shared" si="0"/>
        <v>100</v>
      </c>
      <c r="T12" s="1503" t="s">
        <v>8</v>
      </c>
      <c r="U12" s="1504">
        <f t="shared" si="1"/>
        <v>100</v>
      </c>
      <c r="V12" s="1503" t="s">
        <v>8</v>
      </c>
      <c r="W12" s="1504">
        <f t="shared" si="2"/>
        <v>100</v>
      </c>
      <c r="X12" s="1505"/>
      <c r="Y12" s="3451"/>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00"/>
      <c r="Q13" s="1134">
        <f t="shared" si="6"/>
        <v>111</v>
      </c>
      <c r="R13" s="1503" t="s">
        <v>8</v>
      </c>
      <c r="S13" s="1504">
        <f t="shared" si="0"/>
        <v>100</v>
      </c>
      <c r="T13" s="1503" t="s">
        <v>8</v>
      </c>
      <c r="U13" s="1504">
        <f t="shared" si="1"/>
        <v>100</v>
      </c>
      <c r="V13" s="1503" t="s">
        <v>8</v>
      </c>
      <c r="W13" s="1504">
        <f t="shared" si="2"/>
        <v>100</v>
      </c>
      <c r="X13" s="1505"/>
      <c r="Y13" s="3451"/>
      <c r="Z13" s="1133">
        <f t="shared" si="7"/>
        <v>111</v>
      </c>
      <c r="AA13" s="1506">
        <f t="shared" si="3"/>
        <v>1</v>
      </c>
      <c r="AB13" s="1506">
        <f t="shared" si="4"/>
        <v>1</v>
      </c>
      <c r="AC13" s="1506">
        <f t="shared" si="5"/>
        <v>1</v>
      </c>
    </row>
    <row r="14" spans="1:29" ht="15">
      <c r="A14" s="2627" t="s">
        <v>2735</v>
      </c>
      <c r="B14" s="541" t="s">
        <v>537</v>
      </c>
      <c r="C14" s="910"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2" t="s">
        <v>534</v>
      </c>
      <c r="Q14" s="1507" t="str">
        <f t="shared" si="6"/>
        <v>交通便捷度</v>
      </c>
      <c r="R14" s="1508" t="s">
        <v>8</v>
      </c>
      <c r="S14" s="1509">
        <f t="shared" si="0"/>
        <v>100</v>
      </c>
      <c r="T14" s="1508" t="s">
        <v>8</v>
      </c>
      <c r="U14" s="1509">
        <f t="shared" si="1"/>
        <v>100</v>
      </c>
      <c r="V14" s="1508" t="s">
        <v>8</v>
      </c>
      <c r="W14" s="1509">
        <f t="shared" si="2"/>
        <v>100</v>
      </c>
      <c r="X14" s="1502"/>
      <c r="Y14" s="350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3"/>
      <c r="Q15" s="1507"/>
      <c r="R15" s="1508"/>
      <c r="S15" s="1509"/>
      <c r="T15" s="1508"/>
      <c r="U15" s="1509"/>
      <c r="V15" s="1508"/>
      <c r="W15" s="1509"/>
      <c r="X15" s="1502"/>
      <c r="Y15" s="3503"/>
      <c r="Z15" s="1510"/>
      <c r="AA15" s="1511">
        <v>1</v>
      </c>
      <c r="AB15" s="1511">
        <v>1</v>
      </c>
      <c r="AC15" s="1511">
        <v>1</v>
      </c>
    </row>
    <row r="16" spans="1:29" ht="15">
      <c r="A16" s="509"/>
      <c r="B16" s="2447" t="s">
        <v>2528</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3"/>
      <c r="Q16" s="1507" t="str">
        <f>B16</f>
        <v>公共配套设施</v>
      </c>
      <c r="R16" s="1508" t="s">
        <v>8</v>
      </c>
      <c r="S16" s="1509">
        <f>F16</f>
        <v>100</v>
      </c>
      <c r="T16" s="1508" t="s">
        <v>8</v>
      </c>
      <c r="U16" s="1509">
        <f>H16</f>
        <v>100</v>
      </c>
      <c r="V16" s="1508" t="s">
        <v>8</v>
      </c>
      <c r="W16" s="1509">
        <f>J16</f>
        <v>100</v>
      </c>
      <c r="X16" s="1502"/>
      <c r="Y16" s="350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3"/>
      <c r="Q17" s="1507"/>
      <c r="R17" s="1508"/>
      <c r="S17" s="1509"/>
      <c r="T17" s="1508"/>
      <c r="U17" s="1509"/>
      <c r="V17" s="1508"/>
      <c r="W17" s="1509"/>
      <c r="X17" s="1502"/>
      <c r="Y17" s="3503"/>
      <c r="Z17" s="1510"/>
      <c r="AA17" s="1511">
        <v>1</v>
      </c>
      <c r="AB17" s="1511">
        <v>1</v>
      </c>
      <c r="AC17" s="1511">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3"/>
      <c r="Q18" s="2429" t="str">
        <f>B18</f>
        <v>基础设施水平</v>
      </c>
      <c r="R18" s="1508" t="s">
        <v>8</v>
      </c>
      <c r="S18" s="1509">
        <f>F18</f>
        <v>100</v>
      </c>
      <c r="T18" s="1508" t="s">
        <v>8</v>
      </c>
      <c r="U18" s="1509">
        <f>H18</f>
        <v>100</v>
      </c>
      <c r="V18" s="1508" t="s">
        <v>8</v>
      </c>
      <c r="W18" s="1509">
        <f>J18</f>
        <v>100</v>
      </c>
      <c r="X18" s="2431"/>
      <c r="Y18" s="3503"/>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5"/>
      <c r="M19" s="2017"/>
      <c r="N19" s="2017"/>
      <c r="O19" s="2024"/>
      <c r="P19" s="3503"/>
      <c r="Q19" s="2429"/>
      <c r="R19" s="1508"/>
      <c r="S19" s="1509"/>
      <c r="T19" s="1508"/>
      <c r="U19" s="1509"/>
      <c r="V19" s="1508"/>
      <c r="W19" s="1509"/>
      <c r="X19" s="2431"/>
      <c r="Y19" s="3503"/>
      <c r="Z19" s="2430"/>
      <c r="AA19" s="1511">
        <v>1</v>
      </c>
      <c r="AB19" s="1511">
        <v>1</v>
      </c>
      <c r="AC19" s="1511">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3"/>
      <c r="Q20" s="1507" t="str">
        <f>B20</f>
        <v>自然及人文环境</v>
      </c>
      <c r="R20" s="1508" t="s">
        <v>8</v>
      </c>
      <c r="S20" s="1509">
        <f>F20</f>
        <v>100</v>
      </c>
      <c r="T20" s="1508" t="s">
        <v>8</v>
      </c>
      <c r="U20" s="1509">
        <f>H20</f>
        <v>100</v>
      </c>
      <c r="V20" s="1508" t="s">
        <v>8</v>
      </c>
      <c r="W20" s="1509">
        <f>J20</f>
        <v>100</v>
      </c>
      <c r="X20" s="1502"/>
      <c r="Y20" s="350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3"/>
      <c r="Q21" s="1507"/>
      <c r="R21" s="1508"/>
      <c r="S21" s="1509"/>
      <c r="T21" s="1508"/>
      <c r="U21" s="1509"/>
      <c r="V21" s="1508"/>
      <c r="W21" s="1509"/>
      <c r="X21" s="1502"/>
      <c r="Y21" s="350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3"/>
      <c r="Q22" s="1507" t="str">
        <f>B22</f>
        <v>楼层</v>
      </c>
      <c r="R22" s="1508" t="s">
        <v>8</v>
      </c>
      <c r="S22" s="1509">
        <f>F22</f>
        <v>100</v>
      </c>
      <c r="T22" s="1508" t="s">
        <v>8</v>
      </c>
      <c r="U22" s="1509">
        <f>H22</f>
        <v>100</v>
      </c>
      <c r="V22" s="1508" t="s">
        <v>8</v>
      </c>
      <c r="W22" s="1509">
        <f>J22</f>
        <v>100</v>
      </c>
      <c r="X22" s="1502"/>
      <c r="Y22" s="350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3"/>
      <c r="Q23" s="1507">
        <f>B23</f>
        <v>111</v>
      </c>
      <c r="R23" s="1508" t="s">
        <v>8</v>
      </c>
      <c r="S23" s="1509">
        <f>F23</f>
        <v>100</v>
      </c>
      <c r="T23" s="1508" t="s">
        <v>8</v>
      </c>
      <c r="U23" s="1509">
        <f>H23</f>
        <v>100</v>
      </c>
      <c r="V23" s="1508" t="s">
        <v>8</v>
      </c>
      <c r="W23" s="1509">
        <f>J23</f>
        <v>100</v>
      </c>
      <c r="X23" s="1502"/>
      <c r="Y23" s="350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3"/>
      <c r="Q24" s="1507">
        <f t="shared" ref="Q24:Q36" si="11">B24</f>
        <v>111</v>
      </c>
      <c r="R24" s="1508" t="s">
        <v>8</v>
      </c>
      <c r="S24" s="1509">
        <f>F24</f>
        <v>100</v>
      </c>
      <c r="T24" s="1508" t="s">
        <v>8</v>
      </c>
      <c r="U24" s="1509">
        <f>H24</f>
        <v>100</v>
      </c>
      <c r="V24" s="1508" t="s">
        <v>8</v>
      </c>
      <c r="W24" s="1509">
        <f>J24</f>
        <v>100</v>
      </c>
      <c r="X24" s="1502"/>
      <c r="Y24" s="350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3"/>
      <c r="Q25" s="1134">
        <f t="shared" si="11"/>
        <v>111</v>
      </c>
      <c r="R25" s="1503" t="s">
        <v>8</v>
      </c>
      <c r="S25" s="1504">
        <f>F25</f>
        <v>100</v>
      </c>
      <c r="T25" s="1503" t="s">
        <v>8</v>
      </c>
      <c r="U25" s="1504">
        <f>H25</f>
        <v>100</v>
      </c>
      <c r="V25" s="1503" t="s">
        <v>8</v>
      </c>
      <c r="W25" s="1504">
        <f>J25</f>
        <v>100</v>
      </c>
      <c r="X25" s="1505"/>
      <c r="Y25" s="3503"/>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5"/>
      <c r="Q27" s="1536" t="str">
        <f t="shared" si="11"/>
        <v>项目停车位配比</v>
      </c>
      <c r="R27" s="1512" t="s">
        <v>8</v>
      </c>
      <c r="S27" s="1513">
        <f t="shared" si="12"/>
        <v>100</v>
      </c>
      <c r="T27" s="1512" t="s">
        <v>8</v>
      </c>
      <c r="U27" s="1513">
        <f t="shared" si="13"/>
        <v>100</v>
      </c>
      <c r="V27" s="1512" t="s">
        <v>8</v>
      </c>
      <c r="W27" s="1513">
        <f t="shared" si="14"/>
        <v>100</v>
      </c>
      <c r="X27" s="1514"/>
      <c r="Y27" s="350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5"/>
      <c r="Q28" s="1507" t="str">
        <f t="shared" si="11"/>
        <v>公共部分装修</v>
      </c>
      <c r="R28" s="1508" t="s">
        <v>8</v>
      </c>
      <c r="S28" s="1509">
        <f t="shared" si="12"/>
        <v>100</v>
      </c>
      <c r="T28" s="1508" t="s">
        <v>8</v>
      </c>
      <c r="U28" s="1509">
        <f t="shared" si="13"/>
        <v>100</v>
      </c>
      <c r="V28" s="1508" t="s">
        <v>8</v>
      </c>
      <c r="W28" s="1509">
        <f t="shared" si="14"/>
        <v>100</v>
      </c>
      <c r="X28" s="1502"/>
      <c r="Y28" s="350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5"/>
      <c r="Q29" s="1507" t="str">
        <f t="shared" si="11"/>
        <v>成新率</v>
      </c>
      <c r="R29" s="1508" t="s">
        <v>8</v>
      </c>
      <c r="S29" s="1509" t="e">
        <f t="shared" si="12"/>
        <v>#N/A</v>
      </c>
      <c r="T29" s="1508" t="s">
        <v>8</v>
      </c>
      <c r="U29" s="1509" t="e">
        <f t="shared" si="13"/>
        <v>#N/A</v>
      </c>
      <c r="V29" s="1508" t="s">
        <v>8</v>
      </c>
      <c r="W29" s="1509" t="e">
        <f t="shared" si="14"/>
        <v>#N/A</v>
      </c>
      <c r="X29" s="1502"/>
      <c r="Y29" s="350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5"/>
      <c r="Q30" s="1507" t="str">
        <f t="shared" si="11"/>
        <v>物业等级</v>
      </c>
      <c r="R30" s="1508" t="s">
        <v>8</v>
      </c>
      <c r="S30" s="1509">
        <f t="shared" si="12"/>
        <v>100</v>
      </c>
      <c r="T30" s="1508" t="s">
        <v>8</v>
      </c>
      <c r="U30" s="1509">
        <f t="shared" si="13"/>
        <v>100</v>
      </c>
      <c r="V30" s="1508" t="s">
        <v>8</v>
      </c>
      <c r="W30" s="1509">
        <f t="shared" si="14"/>
        <v>100</v>
      </c>
      <c r="X30" s="1502"/>
      <c r="Y30" s="350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5"/>
      <c r="Q31" s="1134" t="str">
        <f t="shared" si="11"/>
        <v>停车位面积</v>
      </c>
      <c r="R31" s="1503" t="s">
        <v>8</v>
      </c>
      <c r="S31" s="1504" t="e">
        <f t="shared" si="12"/>
        <v>#N/A</v>
      </c>
      <c r="T31" s="1503" t="s">
        <v>8</v>
      </c>
      <c r="U31" s="1504" t="e">
        <f t="shared" si="13"/>
        <v>#N/A</v>
      </c>
      <c r="V31" s="1503" t="s">
        <v>8</v>
      </c>
      <c r="W31" s="1504" t="e">
        <f t="shared" si="14"/>
        <v>#N/A</v>
      </c>
      <c r="X31" s="1505"/>
      <c r="Y31" s="350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5" t="s">
        <v>544</v>
      </c>
      <c r="Q32" s="1507" t="str">
        <f t="shared" si="11"/>
        <v>车位类型</v>
      </c>
      <c r="R32" s="1508" t="s">
        <v>8</v>
      </c>
      <c r="S32" s="1509">
        <f t="shared" si="12"/>
        <v>100</v>
      </c>
      <c r="T32" s="1508" t="s">
        <v>8</v>
      </c>
      <c r="U32" s="1509">
        <f t="shared" si="13"/>
        <v>100</v>
      </c>
      <c r="V32" s="1508" t="s">
        <v>8</v>
      </c>
      <c r="W32" s="1509">
        <f t="shared" si="14"/>
        <v>100</v>
      </c>
      <c r="X32" s="1502"/>
      <c r="Y32" s="350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5"/>
      <c r="Q33" s="1507" t="str">
        <f t="shared" si="11"/>
        <v>是否直接入户</v>
      </c>
      <c r="R33" s="1508" t="s">
        <v>8</v>
      </c>
      <c r="S33" s="1509">
        <f t="shared" si="12"/>
        <v>100</v>
      </c>
      <c r="T33" s="1508" t="s">
        <v>8</v>
      </c>
      <c r="U33" s="1509">
        <f t="shared" si="13"/>
        <v>100</v>
      </c>
      <c r="V33" s="1508" t="s">
        <v>8</v>
      </c>
      <c r="W33" s="1509">
        <f t="shared" si="14"/>
        <v>100</v>
      </c>
      <c r="X33" s="1502"/>
      <c r="Y33" s="350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5"/>
      <c r="Q34" s="1507">
        <f t="shared" si="11"/>
        <v>111</v>
      </c>
      <c r="R34" s="1508" t="s">
        <v>8</v>
      </c>
      <c r="S34" s="1509">
        <f t="shared" si="12"/>
        <v>100</v>
      </c>
      <c r="T34" s="1508" t="s">
        <v>8</v>
      </c>
      <c r="U34" s="1509">
        <f t="shared" si="13"/>
        <v>100</v>
      </c>
      <c r="V34" s="1508" t="s">
        <v>8</v>
      </c>
      <c r="W34" s="1509">
        <f t="shared" si="14"/>
        <v>100</v>
      </c>
      <c r="X34" s="1502"/>
      <c r="Y34" s="350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5"/>
      <c r="Q35" s="1536">
        <f t="shared" si="11"/>
        <v>111</v>
      </c>
      <c r="R35" s="1512" t="s">
        <v>8</v>
      </c>
      <c r="S35" s="1513">
        <f t="shared" si="12"/>
        <v>100</v>
      </c>
      <c r="T35" s="1512" t="s">
        <v>8</v>
      </c>
      <c r="U35" s="1513">
        <f t="shared" si="13"/>
        <v>100</v>
      </c>
      <c r="V35" s="1512" t="s">
        <v>8</v>
      </c>
      <c r="W35" s="1513">
        <f t="shared" si="14"/>
        <v>100</v>
      </c>
      <c r="X35" s="1514"/>
      <c r="Y35" s="350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5"/>
      <c r="Q36" s="1507">
        <f t="shared" si="11"/>
        <v>111</v>
      </c>
      <c r="R36" s="1508" t="s">
        <v>8</v>
      </c>
      <c r="S36" s="1509">
        <f t="shared" si="12"/>
        <v>100</v>
      </c>
      <c r="T36" s="1508" t="s">
        <v>8</v>
      </c>
      <c r="U36" s="1509">
        <f t="shared" si="13"/>
        <v>100</v>
      </c>
      <c r="V36" s="1508" t="s">
        <v>8</v>
      </c>
      <c r="W36" s="1509">
        <f t="shared" si="14"/>
        <v>100</v>
      </c>
      <c r="X36" s="1502"/>
      <c r="Y36" s="3505"/>
      <c r="Z36" s="1510">
        <f t="shared" si="15"/>
        <v>111</v>
      </c>
      <c r="AA36" s="1511">
        <f t="shared" si="3"/>
        <v>1</v>
      </c>
      <c r="AB36" s="1511">
        <f t="shared" si="4"/>
        <v>1</v>
      </c>
      <c r="AC36" s="1511">
        <f t="shared" si="5"/>
        <v>1</v>
      </c>
    </row>
    <row r="37" spans="1:29" ht="15">
      <c r="A37" s="1761" t="s">
        <v>2066</v>
      </c>
      <c r="B37" s="1762" t="s">
        <v>2067</v>
      </c>
      <c r="C37" s="2470" t="s">
        <v>1</v>
      </c>
      <c r="D37" s="2471"/>
      <c r="E37" s="2472"/>
      <c r="F37" s="2473"/>
      <c r="G37" s="2474"/>
      <c r="H37" s="2475"/>
      <c r="I37" s="2472"/>
      <c r="J37" s="2475"/>
      <c r="K37" s="1541"/>
      <c r="L37" s="2027"/>
      <c r="M37" s="2028"/>
      <c r="N37" s="2017"/>
      <c r="O37" s="2028"/>
      <c r="P37" s="3500" t="str">
        <f>A37</f>
        <v>成交单价</v>
      </c>
      <c r="Q37" s="3500"/>
      <c r="R37" s="3609">
        <f>E37</f>
        <v>0</v>
      </c>
      <c r="S37" s="3609"/>
      <c r="T37" s="3609">
        <f>G37</f>
        <v>0</v>
      </c>
      <c r="U37" s="3609"/>
      <c r="V37" s="3609">
        <f>I37</f>
        <v>0</v>
      </c>
      <c r="W37" s="3609"/>
      <c r="X37" s="1497"/>
      <c r="Y37" s="1516"/>
      <c r="Z37" s="1497"/>
      <c r="AA37" s="1497"/>
      <c r="AB37" s="1497"/>
      <c r="AC37" s="1497"/>
    </row>
    <row r="38" spans="1:29" ht="15.75" thickBot="1">
      <c r="A38" s="609" t="s">
        <v>2741</v>
      </c>
      <c r="B38" s="877"/>
      <c r="C38" s="2476" t="e">
        <f>R39</f>
        <v>#DIV/0!</v>
      </c>
      <c r="D38" s="3014" t="s">
        <v>2961</v>
      </c>
      <c r="E38" s="2477" t="e">
        <f>R38</f>
        <v>#DIV/0!</v>
      </c>
      <c r="F38" s="3015"/>
      <c r="G38" s="2476" t="e">
        <f>T38</f>
        <v>#DIV/0!</v>
      </c>
      <c r="H38" s="3015"/>
      <c r="I38" s="2477" t="e">
        <f>V38</f>
        <v>#DIV/0!</v>
      </c>
      <c r="J38" s="3015"/>
      <c r="K38" s="3023">
        <f>F38+H38+J38</f>
        <v>0</v>
      </c>
      <c r="L38" s="2027"/>
      <c r="M38" s="2028"/>
      <c r="N38" s="2028"/>
      <c r="O38" s="2028"/>
      <c r="P38" s="3500" t="str">
        <f>A38</f>
        <v>比较价格（元/平方米）</v>
      </c>
      <c r="Q38" s="3500"/>
      <c r="R38" s="3609" t="e">
        <f>IF(F1="售价",ROUND(PRODUCT(R37,AA7:AA36),0),ROUND(PRODUCT(R37,AA7:AA36),1))</f>
        <v>#DIV/0!</v>
      </c>
      <c r="S38" s="3609"/>
      <c r="T38" s="3609" t="e">
        <f>IF(F1="售价",ROUND(PRODUCT(T37,AB7:AB36),0),ROUND(PRODUCT(T37,AB7:AB36),1))</f>
        <v>#DIV/0!</v>
      </c>
      <c r="U38" s="3609"/>
      <c r="V38" s="3609" t="e">
        <f>IF(F1="售价",ROUND(PRODUCT(V37,AC7:AC36),0),ROUND(PRODUCT(V37,AC7:AC36),1))</f>
        <v>#DIV/0!</v>
      </c>
      <c r="W38" s="3609"/>
      <c r="X38" s="1497"/>
      <c r="Y38" s="1497"/>
      <c r="Z38" s="1497"/>
      <c r="AA38" s="1497"/>
      <c r="AB38" s="1497"/>
      <c r="AC38" s="1497"/>
    </row>
    <row r="39" spans="1:29" ht="15.75" thickBot="1">
      <c r="A39" s="613" t="s">
        <v>2892</v>
      </c>
      <c r="B39" s="614"/>
      <c r="C39" s="2478" t="e">
        <f>R39</f>
        <v>#DIV/0!</v>
      </c>
      <c r="D39" s="2478"/>
      <c r="E39" s="2478"/>
      <c r="F39" s="2478"/>
      <c r="G39" s="2478"/>
      <c r="H39" s="2478"/>
      <c r="I39" s="2478"/>
      <c r="J39" s="2478"/>
      <c r="K39" s="1542"/>
      <c r="L39" s="2027"/>
      <c r="M39" s="2028"/>
      <c r="N39" s="2028"/>
      <c r="O39" s="2028"/>
      <c r="P39" s="3521" t="str">
        <f>A39</f>
        <v>估价对象XX用房的比较价格（楼面单价，元/平方米）</v>
      </c>
      <c r="Q39" s="3522"/>
      <c r="R39" s="3608" t="e">
        <f>IF(F1="售价",ROUND(IF(D38="简单平均",AVERAGE(R38:W38),R38*F38+T38*H38+V38*J38),0),ROUND(IF(D38="简单平均",AVERAGE(R38:V38),R38*F38+T38*H38+V38*J38),1))</f>
        <v>#DIV/0!</v>
      </c>
      <c r="S39" s="3608"/>
      <c r="T39" s="3608"/>
      <c r="U39" s="3608"/>
      <c r="V39" s="3608"/>
      <c r="W39" s="3608"/>
      <c r="X39" s="1497"/>
      <c r="Y39" s="1497"/>
      <c r="Z39" s="1497"/>
      <c r="AA39" s="1497"/>
      <c r="AB39" s="1497"/>
      <c r="AC39" s="1497"/>
    </row>
    <row r="40" spans="1:29">
      <c r="A40" s="3213"/>
      <c r="B40" s="3213"/>
      <c r="C40" s="3213"/>
      <c r="D40" s="3213"/>
      <c r="E40" s="3213"/>
      <c r="F40" s="3213"/>
      <c r="G40" s="3215"/>
      <c r="H40" s="3213"/>
      <c r="I40" s="3213"/>
      <c r="J40" s="3213"/>
      <c r="K40" s="3216"/>
      <c r="L40" s="2032"/>
      <c r="M40" s="2028"/>
      <c r="N40" s="2028"/>
      <c r="O40" s="2028"/>
      <c r="P40" s="2028"/>
      <c r="Q40" s="2028"/>
      <c r="R40" s="2028"/>
      <c r="S40" s="2028"/>
      <c r="T40" s="2028"/>
      <c r="U40" s="2028"/>
      <c r="V40" s="2028"/>
      <c r="W40" s="2028"/>
      <c r="X40" s="2028"/>
      <c r="Y40" s="2028"/>
      <c r="Z40" s="2028"/>
      <c r="AA40" s="2028"/>
      <c r="AB40" s="2028"/>
      <c r="AC40" s="2028"/>
    </row>
    <row r="41" spans="1:29">
      <c r="A41" s="3213"/>
      <c r="B41" s="3213"/>
      <c r="C41" s="3213"/>
      <c r="D41" s="3213"/>
      <c r="E41" s="3213"/>
      <c r="F41" s="3213"/>
      <c r="G41" s="3213"/>
      <c r="H41" s="3213"/>
      <c r="I41" s="3213"/>
      <c r="J41" s="3213"/>
      <c r="K41" s="3216"/>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0">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33333.3平方米。根据《建设工程规划许可证》[]、《出让合同》[]，估价对象规划建筑面积为66666.6平方米。</v>
      </c>
    </row>
    <row r="7" spans="1:4" ht="93.75">
      <c r="A7" s="2590"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2020年9月27日（评估专业人员勘察现场之日）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根据《国有土地使用证》[]，估价对象（分摊）出让国有建设用地使用权面积为33333.3平方米。根据《建设工程规划许可证》[]、《出让合同》[]，估价对象规划建筑面积为66666.6平方米。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2"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506" t="s">
        <v>792</v>
      </c>
      <c r="D4" s="3507"/>
      <c r="E4" s="3531" t="s">
        <v>793</v>
      </c>
      <c r="F4" s="3532"/>
      <c r="G4" s="3506" t="s">
        <v>794</v>
      </c>
      <c r="H4" s="3507"/>
      <c r="I4" s="3506" t="s">
        <v>795</v>
      </c>
      <c r="J4" s="3507"/>
      <c r="K4" s="508" t="s">
        <v>796</v>
      </c>
      <c r="L4" s="2016"/>
      <c r="M4" s="2017"/>
      <c r="N4" s="2017"/>
      <c r="O4" s="2017"/>
      <c r="P4" s="3508" t="s">
        <v>797</v>
      </c>
      <c r="Q4" s="3509"/>
      <c r="R4" s="3494" t="s">
        <v>793</v>
      </c>
      <c r="S4" s="3495"/>
      <c r="T4" s="3494" t="s">
        <v>794</v>
      </c>
      <c r="U4" s="3495"/>
      <c r="V4" s="3514" t="s">
        <v>795</v>
      </c>
      <c r="W4" s="3514"/>
      <c r="X4" s="1502"/>
      <c r="Y4" s="3494" t="s">
        <v>797</v>
      </c>
      <c r="Z4" s="3495"/>
      <c r="AA4" s="3489" t="s">
        <v>793</v>
      </c>
      <c r="AB4" s="3490" t="s">
        <v>794</v>
      </c>
      <c r="AC4" s="3489" t="s">
        <v>795</v>
      </c>
    </row>
    <row r="5" spans="1:29" ht="15">
      <c r="A5" s="509"/>
      <c r="B5" s="510"/>
      <c r="C5" s="3517" t="s">
        <v>2886</v>
      </c>
      <c r="D5" s="3518"/>
      <c r="E5" s="3533" t="s">
        <v>2887</v>
      </c>
      <c r="F5" s="3534"/>
      <c r="G5" s="3517" t="s">
        <v>2888</v>
      </c>
      <c r="H5" s="3518"/>
      <c r="I5" s="3517" t="s">
        <v>2889</v>
      </c>
      <c r="J5" s="3518"/>
      <c r="K5" s="508"/>
      <c r="L5" s="2016"/>
      <c r="M5" s="2017"/>
      <c r="N5" s="2017"/>
      <c r="O5" s="2017"/>
      <c r="P5" s="3510"/>
      <c r="Q5" s="3511"/>
      <c r="R5" s="3496"/>
      <c r="S5" s="3497"/>
      <c r="T5" s="3496"/>
      <c r="U5" s="3497"/>
      <c r="V5" s="3514"/>
      <c r="W5" s="3514"/>
      <c r="X5" s="1502"/>
      <c r="Y5" s="3496"/>
      <c r="Z5" s="3497"/>
      <c r="AA5" s="3490"/>
      <c r="AB5" s="3490"/>
      <c r="AC5" s="3490"/>
    </row>
    <row r="6" spans="1:29" ht="15.75" thickBot="1">
      <c r="A6" s="511"/>
      <c r="B6" s="512"/>
      <c r="C6" s="3515" t="s">
        <v>2890</v>
      </c>
      <c r="D6" s="3516"/>
      <c r="E6" s="3535" t="s">
        <v>2890</v>
      </c>
      <c r="F6" s="3536"/>
      <c r="G6" s="3515" t="s">
        <v>2890</v>
      </c>
      <c r="H6" s="3516"/>
      <c r="I6" s="3515" t="s">
        <v>2890</v>
      </c>
      <c r="J6" s="3516"/>
      <c r="K6" s="508" t="s">
        <v>522</v>
      </c>
      <c r="L6" s="2016"/>
      <c r="M6" s="2017"/>
      <c r="N6" s="2017"/>
      <c r="O6" s="2017"/>
      <c r="P6" s="3512"/>
      <c r="Q6" s="3513"/>
      <c r="R6" s="3496"/>
      <c r="S6" s="3497"/>
      <c r="T6" s="3498"/>
      <c r="U6" s="3499"/>
      <c r="V6" s="3514"/>
      <c r="W6" s="3514"/>
      <c r="X6" s="1502"/>
      <c r="Y6" s="3498"/>
      <c r="Z6" s="3499"/>
      <c r="AA6" s="3491"/>
      <c r="AB6" s="3491"/>
      <c r="AC6" s="3491"/>
    </row>
    <row r="7" spans="1:29" s="1203" customFormat="1" ht="15.75" thickBot="1">
      <c r="A7" s="2629"/>
      <c r="B7" s="2636" t="s">
        <v>523</v>
      </c>
      <c r="C7" s="513">
        <f>'数据-取费表'!B2</f>
        <v>44101</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2" t="s">
        <v>524</v>
      </c>
      <c r="Q7" s="3501"/>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00" t="s">
        <v>529</v>
      </c>
      <c r="Q9" s="1134" t="str">
        <f t="shared" ref="Q9:Q14" si="6">B9</f>
        <v>用途</v>
      </c>
      <c r="R9" s="1503" t="s">
        <v>8</v>
      </c>
      <c r="S9" s="1504">
        <f t="shared" si="0"/>
        <v>100</v>
      </c>
      <c r="T9" s="1503" t="s">
        <v>8</v>
      </c>
      <c r="U9" s="1504">
        <f t="shared" si="1"/>
        <v>100</v>
      </c>
      <c r="V9" s="1503" t="s">
        <v>8</v>
      </c>
      <c r="W9" s="1504">
        <f t="shared" si="2"/>
        <v>100</v>
      </c>
      <c r="X9" s="1505"/>
      <c r="Y9" s="3451"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00"/>
      <c r="Q10" s="1134" t="str">
        <f t="shared" si="6"/>
        <v>土地使用年限（年）</v>
      </c>
      <c r="R10" s="1503" t="s">
        <v>8</v>
      </c>
      <c r="S10" s="1504">
        <f t="shared" si="0"/>
        <v>100</v>
      </c>
      <c r="T10" s="1503" t="s">
        <v>8</v>
      </c>
      <c r="U10" s="1504">
        <f t="shared" si="1"/>
        <v>100</v>
      </c>
      <c r="V10" s="1503" t="s">
        <v>8</v>
      </c>
      <c r="W10" s="1504">
        <f t="shared" si="2"/>
        <v>100</v>
      </c>
      <c r="X10" s="1505"/>
      <c r="Y10" s="3451"/>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00"/>
      <c r="Q11" s="1134">
        <f t="shared" si="6"/>
        <v>111</v>
      </c>
      <c r="R11" s="1503" t="s">
        <v>8</v>
      </c>
      <c r="S11" s="1504">
        <f t="shared" si="0"/>
        <v>100</v>
      </c>
      <c r="T11" s="1503" t="s">
        <v>8</v>
      </c>
      <c r="U11" s="1504">
        <f t="shared" si="1"/>
        <v>100</v>
      </c>
      <c r="V11" s="1503" t="s">
        <v>8</v>
      </c>
      <c r="W11" s="1504">
        <f t="shared" si="2"/>
        <v>100</v>
      </c>
      <c r="X11" s="1505"/>
      <c r="Y11" s="3451"/>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00"/>
      <c r="Q12" s="1134">
        <f t="shared" si="6"/>
        <v>111</v>
      </c>
      <c r="R12" s="1503" t="s">
        <v>8</v>
      </c>
      <c r="S12" s="1504">
        <f t="shared" si="0"/>
        <v>100</v>
      </c>
      <c r="T12" s="1503" t="s">
        <v>8</v>
      </c>
      <c r="U12" s="1504">
        <f t="shared" si="1"/>
        <v>100</v>
      </c>
      <c r="V12" s="1503" t="s">
        <v>8</v>
      </c>
      <c r="W12" s="1504">
        <f t="shared" si="2"/>
        <v>100</v>
      </c>
      <c r="X12" s="1505"/>
      <c r="Y12" s="3451"/>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00"/>
      <c r="Q13" s="1134">
        <f t="shared" si="6"/>
        <v>111</v>
      </c>
      <c r="R13" s="1503" t="s">
        <v>8</v>
      </c>
      <c r="S13" s="1504">
        <f t="shared" si="0"/>
        <v>100</v>
      </c>
      <c r="T13" s="1503" t="s">
        <v>8</v>
      </c>
      <c r="U13" s="1504">
        <f t="shared" si="1"/>
        <v>100</v>
      </c>
      <c r="V13" s="1503" t="s">
        <v>8</v>
      </c>
      <c r="W13" s="1504">
        <f t="shared" si="2"/>
        <v>100</v>
      </c>
      <c r="X13" s="1505"/>
      <c r="Y13" s="3451"/>
      <c r="Z13" s="1133">
        <f t="shared" si="7"/>
        <v>111</v>
      </c>
      <c r="AA13" s="1506">
        <f t="shared" si="3"/>
        <v>1</v>
      </c>
      <c r="AB13" s="1506">
        <f t="shared" si="4"/>
        <v>1</v>
      </c>
      <c r="AC13" s="1506">
        <f t="shared" si="5"/>
        <v>1</v>
      </c>
    </row>
    <row r="14" spans="1:29" ht="15">
      <c r="A14" s="2627" t="s">
        <v>2735</v>
      </c>
      <c r="B14" s="164" t="s">
        <v>537</v>
      </c>
      <c r="C14" s="910"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2" t="s">
        <v>534</v>
      </c>
      <c r="Q14" s="1507" t="str">
        <f t="shared" si="6"/>
        <v>交通便捷度</v>
      </c>
      <c r="R14" s="1508" t="s">
        <v>8</v>
      </c>
      <c r="S14" s="1509">
        <f t="shared" si="0"/>
        <v>100</v>
      </c>
      <c r="T14" s="1508" t="s">
        <v>8</v>
      </c>
      <c r="U14" s="1509">
        <f t="shared" si="1"/>
        <v>100</v>
      </c>
      <c r="V14" s="1508" t="s">
        <v>8</v>
      </c>
      <c r="W14" s="1509">
        <f t="shared" si="2"/>
        <v>100</v>
      </c>
      <c r="X14" s="1502"/>
      <c r="Y14" s="350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3"/>
      <c r="Q15" s="1507"/>
      <c r="R15" s="1508"/>
      <c r="S15" s="1509"/>
      <c r="T15" s="1508"/>
      <c r="U15" s="1509"/>
      <c r="V15" s="1508"/>
      <c r="W15" s="1509"/>
      <c r="X15" s="1502"/>
      <c r="Y15" s="3503"/>
      <c r="Z15" s="1510"/>
      <c r="AA15" s="1511">
        <v>1</v>
      </c>
      <c r="AB15" s="1511">
        <v>1</v>
      </c>
      <c r="AC15" s="1511">
        <v>1</v>
      </c>
    </row>
    <row r="16" spans="1:29" ht="15">
      <c r="A16" s="526"/>
      <c r="B16" s="2447" t="s">
        <v>2528</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3"/>
      <c r="Q16" s="1507" t="str">
        <f>B16</f>
        <v>公共配套设施</v>
      </c>
      <c r="R16" s="1508" t="s">
        <v>8</v>
      </c>
      <c r="S16" s="1509">
        <f>F16</f>
        <v>100</v>
      </c>
      <c r="T16" s="1508" t="s">
        <v>8</v>
      </c>
      <c r="U16" s="1509">
        <f>H16</f>
        <v>100</v>
      </c>
      <c r="V16" s="1508" t="s">
        <v>8</v>
      </c>
      <c r="W16" s="1509">
        <f>J16</f>
        <v>100</v>
      </c>
      <c r="X16" s="1502"/>
      <c r="Y16" s="350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3"/>
      <c r="Q17" s="1507"/>
      <c r="R17" s="1508"/>
      <c r="S17" s="1509"/>
      <c r="T17" s="1508"/>
      <c r="U17" s="1509"/>
      <c r="V17" s="1508"/>
      <c r="W17" s="1509"/>
      <c r="X17" s="1502"/>
      <c r="Y17" s="3503"/>
      <c r="Z17" s="1510"/>
      <c r="AA17" s="1511">
        <v>1</v>
      </c>
      <c r="AB17" s="1511">
        <v>1</v>
      </c>
      <c r="AC17" s="1511">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3"/>
      <c r="Q18" s="2429" t="str">
        <f>B18</f>
        <v>基础设施水平</v>
      </c>
      <c r="R18" s="1508" t="s">
        <v>8</v>
      </c>
      <c r="S18" s="1509">
        <f>F18</f>
        <v>100</v>
      </c>
      <c r="T18" s="1508" t="s">
        <v>8</v>
      </c>
      <c r="U18" s="1509">
        <f>H18</f>
        <v>100</v>
      </c>
      <c r="V18" s="1508" t="s">
        <v>8</v>
      </c>
      <c r="W18" s="1509">
        <f>J18</f>
        <v>100</v>
      </c>
      <c r="X18" s="2431"/>
      <c r="Y18" s="3503"/>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5"/>
      <c r="M19" s="2017"/>
      <c r="N19" s="2017"/>
      <c r="O19" s="2024"/>
      <c r="P19" s="3503"/>
      <c r="Q19" s="2429"/>
      <c r="R19" s="1508"/>
      <c r="S19" s="1509"/>
      <c r="T19" s="1508"/>
      <c r="U19" s="1509"/>
      <c r="V19" s="1508"/>
      <c r="W19" s="1509"/>
      <c r="X19" s="2431"/>
      <c r="Y19" s="3503"/>
      <c r="Z19" s="2430"/>
      <c r="AA19" s="1511">
        <v>1</v>
      </c>
      <c r="AB19" s="1511">
        <v>1</v>
      </c>
      <c r="AC19" s="1511">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3"/>
      <c r="Q20" s="1507" t="str">
        <f>B20</f>
        <v>自然及人文环境</v>
      </c>
      <c r="R20" s="1508" t="s">
        <v>8</v>
      </c>
      <c r="S20" s="1509">
        <f>F20</f>
        <v>100</v>
      </c>
      <c r="T20" s="1508" t="s">
        <v>8</v>
      </c>
      <c r="U20" s="1509">
        <f>H20</f>
        <v>100</v>
      </c>
      <c r="V20" s="1508" t="s">
        <v>8</v>
      </c>
      <c r="W20" s="1509">
        <f>J20</f>
        <v>100</v>
      </c>
      <c r="X20" s="1502"/>
      <c r="Y20" s="350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3"/>
      <c r="Q21" s="1507"/>
      <c r="R21" s="1508"/>
      <c r="S21" s="1509"/>
      <c r="T21" s="1508"/>
      <c r="U21" s="1509"/>
      <c r="V21" s="1508"/>
      <c r="W21" s="1509"/>
      <c r="X21" s="1502"/>
      <c r="Y21" s="350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3"/>
      <c r="Q22" s="1507" t="str">
        <f>B22</f>
        <v>楼层</v>
      </c>
      <c r="R22" s="1508" t="s">
        <v>8</v>
      </c>
      <c r="S22" s="1509">
        <f>F22</f>
        <v>100</v>
      </c>
      <c r="T22" s="1508" t="s">
        <v>8</v>
      </c>
      <c r="U22" s="1509">
        <f>H22</f>
        <v>100</v>
      </c>
      <c r="V22" s="1508" t="s">
        <v>8</v>
      </c>
      <c r="W22" s="1509">
        <f>J22</f>
        <v>100</v>
      </c>
      <c r="X22" s="1502"/>
      <c r="Y22" s="350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3"/>
      <c r="Q23" s="1507">
        <f>B23</f>
        <v>111</v>
      </c>
      <c r="R23" s="1508" t="s">
        <v>8</v>
      </c>
      <c r="S23" s="1509">
        <f>F23</f>
        <v>100</v>
      </c>
      <c r="T23" s="1508" t="s">
        <v>8</v>
      </c>
      <c r="U23" s="1509">
        <f>H23</f>
        <v>100</v>
      </c>
      <c r="V23" s="1508" t="s">
        <v>8</v>
      </c>
      <c r="W23" s="1509">
        <f>J23</f>
        <v>100</v>
      </c>
      <c r="X23" s="1502"/>
      <c r="Y23" s="350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3"/>
      <c r="Q24" s="1507">
        <f t="shared" ref="Q24:Q34" si="11">B24</f>
        <v>111</v>
      </c>
      <c r="R24" s="1508" t="s">
        <v>8</v>
      </c>
      <c r="S24" s="1509">
        <f>F24</f>
        <v>100</v>
      </c>
      <c r="T24" s="1508" t="s">
        <v>8</v>
      </c>
      <c r="U24" s="1509">
        <f>H24</f>
        <v>100</v>
      </c>
      <c r="V24" s="1508" t="s">
        <v>8</v>
      </c>
      <c r="W24" s="1509">
        <f>J24</f>
        <v>100</v>
      </c>
      <c r="X24" s="1502"/>
      <c r="Y24" s="350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3"/>
      <c r="Q25" s="1134">
        <f t="shared" si="11"/>
        <v>111</v>
      </c>
      <c r="R25" s="1503" t="s">
        <v>8</v>
      </c>
      <c r="S25" s="1504">
        <f>F25</f>
        <v>100</v>
      </c>
      <c r="T25" s="1503" t="s">
        <v>8</v>
      </c>
      <c r="U25" s="1504">
        <f>H25</f>
        <v>100</v>
      </c>
      <c r="V25" s="1503" t="s">
        <v>8</v>
      </c>
      <c r="W25" s="1504">
        <f>J25</f>
        <v>100</v>
      </c>
      <c r="X25" s="1505"/>
      <c r="Y25" s="3503"/>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5"/>
      <c r="Q27" s="1536" t="str">
        <f t="shared" si="11"/>
        <v>成新率</v>
      </c>
      <c r="R27" s="1512" t="s">
        <v>8</v>
      </c>
      <c r="S27" s="1513" t="e">
        <f t="shared" si="12"/>
        <v>#N/A</v>
      </c>
      <c r="T27" s="1512" t="s">
        <v>8</v>
      </c>
      <c r="U27" s="1513" t="e">
        <f t="shared" si="13"/>
        <v>#N/A</v>
      </c>
      <c r="V27" s="1512" t="s">
        <v>8</v>
      </c>
      <c r="W27" s="1513" t="e">
        <f t="shared" si="14"/>
        <v>#N/A</v>
      </c>
      <c r="X27" s="1514"/>
      <c r="Y27" s="350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5"/>
      <c r="Q28" s="1507" t="str">
        <f t="shared" si="11"/>
        <v>物业等级</v>
      </c>
      <c r="R28" s="1508" t="s">
        <v>8</v>
      </c>
      <c r="S28" s="1509">
        <f t="shared" si="12"/>
        <v>100</v>
      </c>
      <c r="T28" s="1508" t="s">
        <v>8</v>
      </c>
      <c r="U28" s="1509">
        <f t="shared" si="13"/>
        <v>100</v>
      </c>
      <c r="V28" s="1508" t="s">
        <v>8</v>
      </c>
      <c r="W28" s="1509">
        <f t="shared" si="14"/>
        <v>100</v>
      </c>
      <c r="X28" s="1502"/>
      <c r="Y28" s="350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5"/>
      <c r="Q29" s="1507" t="str">
        <f t="shared" si="11"/>
        <v>有无电梯</v>
      </c>
      <c r="R29" s="1508" t="s">
        <v>8</v>
      </c>
      <c r="S29" s="1509">
        <f t="shared" si="12"/>
        <v>100</v>
      </c>
      <c r="T29" s="1508" t="s">
        <v>8</v>
      </c>
      <c r="U29" s="1509">
        <f t="shared" si="13"/>
        <v>100</v>
      </c>
      <c r="V29" s="1508" t="s">
        <v>8</v>
      </c>
      <c r="W29" s="1509">
        <f t="shared" si="14"/>
        <v>100</v>
      </c>
      <c r="X29" s="1502"/>
      <c r="Y29" s="350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5"/>
      <c r="Q30" s="1507" t="str">
        <f t="shared" si="11"/>
        <v>建筑面积</v>
      </c>
      <c r="R30" s="1508" t="s">
        <v>8</v>
      </c>
      <c r="S30" s="1509" t="e">
        <f t="shared" si="12"/>
        <v>#N/A</v>
      </c>
      <c r="T30" s="1508" t="s">
        <v>8</v>
      </c>
      <c r="U30" s="1509" t="e">
        <f t="shared" si="13"/>
        <v>#N/A</v>
      </c>
      <c r="V30" s="1508" t="s">
        <v>8</v>
      </c>
      <c r="W30" s="1509" t="e">
        <f t="shared" si="14"/>
        <v>#N/A</v>
      </c>
      <c r="X30" s="1502"/>
      <c r="Y30" s="350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5"/>
      <c r="Q31" s="1134" t="str">
        <f t="shared" si="11"/>
        <v>是否封闭</v>
      </c>
      <c r="R31" s="1503" t="s">
        <v>8</v>
      </c>
      <c r="S31" s="1504">
        <f t="shared" si="12"/>
        <v>100</v>
      </c>
      <c r="T31" s="1503" t="s">
        <v>8</v>
      </c>
      <c r="U31" s="1504">
        <f t="shared" si="13"/>
        <v>100</v>
      </c>
      <c r="V31" s="1503" t="s">
        <v>8</v>
      </c>
      <c r="W31" s="1504">
        <f t="shared" si="14"/>
        <v>100</v>
      </c>
      <c r="X31" s="1505"/>
      <c r="Y31" s="350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5" t="s">
        <v>544</v>
      </c>
      <c r="Q32" s="1507">
        <f t="shared" si="11"/>
        <v>111</v>
      </c>
      <c r="R32" s="1508" t="s">
        <v>8</v>
      </c>
      <c r="S32" s="1509">
        <f t="shared" si="12"/>
        <v>100</v>
      </c>
      <c r="T32" s="1508" t="s">
        <v>8</v>
      </c>
      <c r="U32" s="1509">
        <f t="shared" si="13"/>
        <v>100</v>
      </c>
      <c r="V32" s="1508" t="s">
        <v>8</v>
      </c>
      <c r="W32" s="1509">
        <f t="shared" si="14"/>
        <v>100</v>
      </c>
      <c r="X32" s="1502"/>
      <c r="Y32" s="350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5"/>
      <c r="Q33" s="1507">
        <f t="shared" si="11"/>
        <v>111</v>
      </c>
      <c r="R33" s="1508" t="s">
        <v>8</v>
      </c>
      <c r="S33" s="1509">
        <f t="shared" si="12"/>
        <v>100</v>
      </c>
      <c r="T33" s="1508" t="s">
        <v>8</v>
      </c>
      <c r="U33" s="1509">
        <f t="shared" si="13"/>
        <v>100</v>
      </c>
      <c r="V33" s="1508" t="s">
        <v>8</v>
      </c>
      <c r="W33" s="1509">
        <f t="shared" si="14"/>
        <v>100</v>
      </c>
      <c r="X33" s="1502"/>
      <c r="Y33" s="350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5"/>
      <c r="Q34" s="1507">
        <f t="shared" si="11"/>
        <v>111</v>
      </c>
      <c r="R34" s="1508" t="s">
        <v>8</v>
      </c>
      <c r="S34" s="1509">
        <f t="shared" si="12"/>
        <v>100</v>
      </c>
      <c r="T34" s="1508" t="s">
        <v>8</v>
      </c>
      <c r="U34" s="1509">
        <f t="shared" si="13"/>
        <v>100</v>
      </c>
      <c r="V34" s="1508" t="s">
        <v>8</v>
      </c>
      <c r="W34" s="1509">
        <f t="shared" si="14"/>
        <v>100</v>
      </c>
      <c r="X34" s="1502"/>
      <c r="Y34" s="3505"/>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7"/>
      <c r="M35" s="2028"/>
      <c r="N35" s="2017"/>
      <c r="O35" s="2028"/>
      <c r="P35" s="3500" t="str">
        <f>A35</f>
        <v>成交单价（元/平方米）</v>
      </c>
      <c r="Q35" s="3500"/>
      <c r="R35" s="3609">
        <f>E35</f>
        <v>0</v>
      </c>
      <c r="S35" s="3609"/>
      <c r="T35" s="3609">
        <f>G35</f>
        <v>0</v>
      </c>
      <c r="U35" s="3609"/>
      <c r="V35" s="3609">
        <f>I35</f>
        <v>0</v>
      </c>
      <c r="W35" s="3609"/>
      <c r="X35" s="1497"/>
      <c r="Y35" s="1516"/>
      <c r="Z35" s="1497"/>
      <c r="AA35" s="1497"/>
      <c r="AB35" s="1497"/>
      <c r="AC35" s="1497"/>
    </row>
    <row r="36" spans="1:29" ht="15.75" thickBot="1">
      <c r="A36" s="609" t="s">
        <v>2741</v>
      </c>
      <c r="B36" s="877"/>
      <c r="C36" s="2476" t="e">
        <f>R37</f>
        <v>#DIV/0!</v>
      </c>
      <c r="D36" s="3014" t="s">
        <v>2962</v>
      </c>
      <c r="E36" s="2477" t="e">
        <f>R36</f>
        <v>#DIV/0!</v>
      </c>
      <c r="F36" s="3015"/>
      <c r="G36" s="2476" t="e">
        <f>T36</f>
        <v>#DIV/0!</v>
      </c>
      <c r="H36" s="3015"/>
      <c r="I36" s="2477" t="e">
        <f>V36</f>
        <v>#DIV/0!</v>
      </c>
      <c r="J36" s="3015"/>
      <c r="K36" s="3023">
        <f>F36+H36+J36</f>
        <v>0</v>
      </c>
      <c r="L36" s="2027"/>
      <c r="M36" s="2028"/>
      <c r="N36" s="2017"/>
      <c r="O36" s="2028"/>
      <c r="P36" s="3500" t="str">
        <f>A36</f>
        <v>比较价格（元/平方米）</v>
      </c>
      <c r="Q36" s="3500"/>
      <c r="R36" s="3609" t="e">
        <f>IF(F1="售价",ROUND(PRODUCT(R35,AA7:AA34),0),ROUND(PRODUCT(R35,AA7:AA34),1))</f>
        <v>#DIV/0!</v>
      </c>
      <c r="S36" s="3609"/>
      <c r="T36" s="3609" t="e">
        <f>IF(F1="售价",ROUND(PRODUCT(T35,AB7:AB34),0),ROUND(PRODUCT(T35,AB7:AB34),1))</f>
        <v>#DIV/0!</v>
      </c>
      <c r="U36" s="3609"/>
      <c r="V36" s="3609" t="e">
        <f>IF(F1="售价",ROUND(PRODUCT(V35,AC7:AC34),0),ROUND(PRODUCT(V35,AC7:AC34),1))</f>
        <v>#DIV/0!</v>
      </c>
      <c r="W36" s="3609"/>
      <c r="X36" s="1497"/>
      <c r="Y36" s="1497"/>
      <c r="Z36" s="1497"/>
      <c r="AA36" s="1497"/>
      <c r="AB36" s="1497"/>
      <c r="AC36" s="1497"/>
    </row>
    <row r="37" spans="1:29" ht="15.75" thickBot="1">
      <c r="A37" s="613" t="s">
        <v>2892</v>
      </c>
      <c r="B37" s="614"/>
      <c r="C37" s="2478" t="e">
        <f>R37</f>
        <v>#DIV/0!</v>
      </c>
      <c r="D37" s="2478"/>
      <c r="E37" s="2478"/>
      <c r="F37" s="2478"/>
      <c r="G37" s="2478"/>
      <c r="H37" s="2478"/>
      <c r="I37" s="2478"/>
      <c r="J37" s="2478"/>
      <c r="K37" s="1542"/>
      <c r="L37" s="2027"/>
      <c r="M37" s="2028"/>
      <c r="N37" s="2028"/>
      <c r="O37" s="2028"/>
      <c r="P37" s="3521" t="str">
        <f>A37</f>
        <v>估价对象XX用房的比较价格（楼面单价，元/平方米）</v>
      </c>
      <c r="Q37" s="3522"/>
      <c r="R37" s="3608" t="e">
        <f>IF(F1="售价",ROUND(IF(D36="简单平均",AVERAGE(R36:W36),R36*F36+T36*H36+V36*J36),0),ROUND(IF(D36="简单平均",AVERAGE(R36:V36),R36*F36+T36*H36+V36*J36),1))</f>
        <v>#DIV/0!</v>
      </c>
      <c r="S37" s="3608"/>
      <c r="T37" s="3608"/>
      <c r="U37" s="3608"/>
      <c r="V37" s="3608"/>
      <c r="W37" s="3608"/>
      <c r="X37" s="1497"/>
      <c r="Y37" s="1497"/>
      <c r="Z37" s="1497"/>
      <c r="AA37" s="1497"/>
      <c r="AB37" s="1497"/>
      <c r="AC37" s="1497"/>
    </row>
    <row r="38" spans="1:29">
      <c r="A38" s="3213"/>
      <c r="B38" s="3213"/>
      <c r="C38" s="3213"/>
      <c r="D38" s="3213"/>
      <c r="E38" s="3213"/>
      <c r="F38" s="3213"/>
      <c r="G38" s="3215"/>
      <c r="H38" s="3213"/>
      <c r="I38" s="3213"/>
      <c r="J38" s="3213"/>
      <c r="K38" s="3216"/>
      <c r="L38" s="2032"/>
      <c r="M38" s="2028"/>
      <c r="N38" s="2028"/>
      <c r="O38" s="2028"/>
      <c r="P38" s="2028"/>
      <c r="Q38" s="2028"/>
      <c r="R38" s="2028"/>
      <c r="S38" s="2028"/>
      <c r="T38" s="2028"/>
      <c r="U38" s="2028"/>
      <c r="V38" s="2028"/>
      <c r="W38" s="2028"/>
      <c r="X38" s="2028"/>
      <c r="Y38" s="2028"/>
      <c r="Z38" s="2028"/>
      <c r="AA38" s="2028"/>
      <c r="AB38" s="2028"/>
      <c r="AC38" s="2028"/>
    </row>
    <row r="39" spans="1:29">
      <c r="A39" s="3213"/>
      <c r="B39" s="3213"/>
      <c r="C39" s="3213"/>
      <c r="D39" s="3213"/>
      <c r="E39" s="3213"/>
      <c r="F39" s="3213"/>
      <c r="G39" s="3213"/>
      <c r="H39" s="3213"/>
      <c r="I39" s="3213"/>
      <c r="J39" s="3213"/>
      <c r="K39" s="3216"/>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8" t="s">
        <v>2292</v>
      </c>
      <c r="D1" s="3619"/>
      <c r="E1" s="3619"/>
      <c r="F1" s="3619"/>
      <c r="G1" s="3619"/>
      <c r="H1" s="3619"/>
      <c r="I1" s="3619"/>
      <c r="J1" s="3619"/>
      <c r="K1" s="3619"/>
      <c r="L1" s="3619"/>
      <c r="M1" s="3619"/>
      <c r="N1" s="3619"/>
      <c r="O1" s="3619"/>
      <c r="P1" s="3619"/>
      <c r="Q1" s="3619"/>
      <c r="R1" s="3619"/>
      <c r="S1" s="362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2885</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2884</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2883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2896</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2882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15" t="s">
        <v>20</v>
      </c>
      <c r="D22" s="3616"/>
      <c r="E22" s="3616"/>
      <c r="F22" s="3616"/>
      <c r="G22" s="3616"/>
      <c r="H22" s="3616"/>
      <c r="I22" s="3616"/>
      <c r="J22" s="3616"/>
      <c r="K22" s="3616"/>
      <c r="L22" s="3616"/>
      <c r="M22" s="3616"/>
      <c r="N22" s="3616"/>
      <c r="O22" s="3616"/>
      <c r="P22" s="3616"/>
      <c r="Q22" s="3617"/>
      <c r="R22" s="484" t="e">
        <f>ROUND(S22*10000/B22,0)</f>
        <v>#DIV/0!</v>
      </c>
      <c r="S22" s="53">
        <f>SUM(S24:S10000)</f>
        <v>0</v>
      </c>
    </row>
    <row r="23" spans="1:45" s="1543" customFormat="1" ht="24">
      <c r="A23" s="17" t="s">
        <v>824</v>
      </c>
      <c r="B23" s="2861"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44101</v>
      </c>
      <c r="H1" s="2655">
        <f>IF(C1&gt;C13,0,MATCH(C1,C$13:C$100,-1))+IF(SUMIF(C13:C100,C1,D13:D100)=0,13,12)</f>
        <v>13</v>
      </c>
      <c r="I1" s="2655">
        <f ca="1">MATCH(C2,H3:H7,1)+IF(SUMIF(H3:H7,C2,I3:I7)=0,2,1)</f>
        <v>4</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2027</v>
      </c>
      <c r="B1" s="3312"/>
      <c r="C1" s="3312"/>
      <c r="D1" s="3312"/>
      <c r="E1" s="3312"/>
      <c r="F1" s="3312"/>
      <c r="G1" s="3312"/>
      <c r="H1" s="3312"/>
      <c r="I1" s="3312"/>
      <c r="J1" s="3312"/>
      <c r="K1" s="3312"/>
      <c r="L1" s="3312"/>
      <c r="M1" s="3312"/>
      <c r="N1" s="3312"/>
      <c r="O1" s="3312"/>
      <c r="P1" s="3312"/>
      <c r="Q1" s="3312"/>
      <c r="R1" s="3312"/>
    </row>
    <row r="2" spans="1:18">
      <c r="A2" s="1723" t="s">
        <v>2029</v>
      </c>
      <c r="B2" s="1723"/>
      <c r="C2" s="1723"/>
      <c r="D2" s="1723"/>
      <c r="E2" s="1723"/>
      <c r="F2" s="1723"/>
      <c r="G2" s="1723"/>
      <c r="H2" s="1723"/>
      <c r="I2" s="1724"/>
      <c r="J2" s="1724"/>
      <c r="K2" s="1725" t="str">
        <f>"估价期日："&amp;TEXT(项目基本情况!D3,"yyyy年m月d日;;")</f>
        <v>估价期日：2020年9月27日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3" t="s">
        <v>2018</v>
      </c>
      <c r="B3" s="3313" t="s">
        <v>2712</v>
      </c>
      <c r="C3" s="3314" t="s">
        <v>2019</v>
      </c>
      <c r="D3" s="3313" t="s">
        <v>2716</v>
      </c>
      <c r="E3" s="3316" t="s">
        <v>2020</v>
      </c>
      <c r="F3" s="3316"/>
      <c r="G3" s="3316"/>
      <c r="H3" s="3316" t="s">
        <v>2021</v>
      </c>
      <c r="I3" s="3316"/>
      <c r="J3" s="3316"/>
      <c r="K3" s="3314" t="s">
        <v>2022</v>
      </c>
      <c r="L3" s="3314" t="s">
        <v>2023</v>
      </c>
      <c r="M3" s="3313" t="s">
        <v>2713</v>
      </c>
      <c r="N3" s="3315" t="str">
        <f>"（分摊）"&amp;项目基本情况!B16&amp;"国有建设用地使用权面积/㎡"</f>
        <v>（分摊）出让国有建设用地使用权面积/㎡</v>
      </c>
      <c r="O3" s="3313" t="s">
        <v>2052</v>
      </c>
      <c r="P3" s="3314" t="s">
        <v>2032</v>
      </c>
      <c r="Q3" s="3314" t="s">
        <v>2053</v>
      </c>
      <c r="R3" s="3314" t="s">
        <v>2024</v>
      </c>
    </row>
    <row r="4" spans="1:18" ht="36.75" customHeight="1">
      <c r="A4" s="3313"/>
      <c r="B4" s="3313"/>
      <c r="C4" s="3314"/>
      <c r="D4" s="3313"/>
      <c r="E4" s="2491" t="s">
        <v>2031</v>
      </c>
      <c r="F4" s="2491" t="s">
        <v>2725</v>
      </c>
      <c r="G4" s="2491" t="s">
        <v>2025</v>
      </c>
      <c r="H4" s="2491" t="s">
        <v>2026</v>
      </c>
      <c r="I4" s="2491" t="s">
        <v>2726</v>
      </c>
      <c r="J4" s="2491" t="s">
        <v>2025</v>
      </c>
      <c r="K4" s="3314"/>
      <c r="L4" s="3314"/>
      <c r="M4" s="3313"/>
      <c r="N4" s="3315"/>
      <c r="O4" s="3313"/>
      <c r="P4" s="3314"/>
      <c r="Q4" s="3314"/>
      <c r="R4" s="3314"/>
    </row>
    <row r="5" spans="1:18" ht="135" customHeight="1">
      <c r="A5" s="1858" t="s">
        <v>2636</v>
      </c>
      <c r="B5" s="2584" t="s">
        <v>2634</v>
      </c>
      <c r="C5" s="2490">
        <v>22</v>
      </c>
      <c r="D5" s="2489" t="s">
        <v>2635</v>
      </c>
      <c r="E5" s="1726">
        <f>项目基本情况!B12</f>
        <v>0</v>
      </c>
      <c r="F5" s="2489">
        <v>258</v>
      </c>
      <c r="G5" s="1726">
        <f>项目基本情况!B13</f>
        <v>0</v>
      </c>
      <c r="H5" s="2489">
        <v>1.5</v>
      </c>
      <c r="I5" s="2489">
        <v>1.5</v>
      </c>
      <c r="J5" s="2489">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33333.300000000003</v>
      </c>
      <c r="O5" s="1726">
        <f>项目基本情况!C21</f>
        <v>66666.600000000006</v>
      </c>
      <c r="P5" s="1726">
        <f ca="1">结果表!E42</f>
        <v>1556</v>
      </c>
      <c r="Q5" s="1726">
        <f ca="1">结果表!D42</f>
        <v>778</v>
      </c>
      <c r="R5" s="1727">
        <f ca="1">结果表!C42</f>
        <v>5188</v>
      </c>
    </row>
    <row r="6" spans="1:18">
      <c r="A6" s="3317" t="str">
        <f>IF(项目基本情况!B9="市场价格","——","抵押价格")</f>
        <v>抵押价格</v>
      </c>
      <c r="B6" s="3318"/>
      <c r="C6" s="3318"/>
      <c r="D6" s="3318"/>
      <c r="E6" s="3318"/>
      <c r="F6" s="3318"/>
      <c r="G6" s="3318"/>
      <c r="H6" s="3318"/>
      <c r="I6" s="3318"/>
      <c r="J6" s="3318"/>
      <c r="K6" s="3318"/>
      <c r="L6" s="3318"/>
      <c r="M6" s="3318"/>
      <c r="N6" s="3318"/>
      <c r="O6" s="3318"/>
      <c r="P6" s="3318"/>
      <c r="Q6" s="3319"/>
      <c r="R6" s="1728">
        <f ca="1">结果表!O39</f>
        <v>5188</v>
      </c>
    </row>
    <row r="7" spans="1:18">
      <c r="A7" s="3317" t="str">
        <f>IF(项目基本情况!B9="市场价格","——",IF(项目基本情况!E8="已注销及未注销","抵押担保权已注销时的抵押价格","——"))</f>
        <v>——</v>
      </c>
      <c r="B7" s="3318"/>
      <c r="C7" s="3318"/>
      <c r="D7" s="3318"/>
      <c r="E7" s="3318"/>
      <c r="F7" s="3318"/>
      <c r="G7" s="3318"/>
      <c r="H7" s="3318"/>
      <c r="I7" s="3318"/>
      <c r="J7" s="3318"/>
      <c r="K7" s="3318"/>
      <c r="L7" s="3318"/>
      <c r="M7" s="3318"/>
      <c r="N7" s="3318"/>
      <c r="O7" s="3318"/>
      <c r="P7" s="3318"/>
      <c r="Q7" s="3319"/>
      <c r="R7" s="1728" t="str">
        <f>结果表!O40</f>
        <v>——</v>
      </c>
    </row>
    <row r="8" spans="1:18">
      <c r="A8" s="3317" t="str">
        <f>IF(项目基本情况!B9="市场价格","——",项目基本情况!E9)</f>
        <v>——</v>
      </c>
      <c r="B8" s="3318"/>
      <c r="C8" s="3318"/>
      <c r="D8" s="3318"/>
      <c r="E8" s="3318"/>
      <c r="F8" s="3318"/>
      <c r="G8" s="3318"/>
      <c r="H8" s="3318"/>
      <c r="I8" s="3318"/>
      <c r="J8" s="3318"/>
      <c r="K8" s="3318"/>
      <c r="L8" s="3318"/>
      <c r="M8" s="3318"/>
      <c r="N8" s="3318"/>
      <c r="O8" s="3318"/>
      <c r="P8" s="3318"/>
      <c r="Q8" s="3319"/>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20" t="s">
        <v>2054</v>
      </c>
      <c r="B1" s="3320"/>
      <c r="C1" s="3320"/>
      <c r="D1" s="3320"/>
    </row>
    <row r="2" spans="1:4" ht="47.25" customHeight="1">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spans="1:4" ht="48" customHeight="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0"/>
      <c r="C3" s="3320"/>
      <c r="D3" s="3320"/>
    </row>
    <row r="4" spans="1:4" ht="36.75" customHeight="1">
      <c r="A4" s="3320" t="str">
        <f>"3.估价规划限制条件：详见"&amp;项目基本情况!E21&amp;"。"</f>
        <v>3.估价规划限制条件：详见《建设工程规划许可证》[]、《出让合同》[]。</v>
      </c>
      <c r="B4" s="3320"/>
      <c r="C4" s="3320"/>
      <c r="D4" s="3320"/>
    </row>
    <row r="5" spans="1:4">
      <c r="A5" s="3323" t="s">
        <v>2055</v>
      </c>
      <c r="B5" s="3323"/>
      <c r="C5" s="3323"/>
      <c r="D5" s="3323"/>
    </row>
    <row r="6" spans="1:4">
      <c r="A6" s="3320" t="s">
        <v>2033</v>
      </c>
      <c r="B6" s="3320"/>
      <c r="C6" s="3320"/>
      <c r="D6" s="3320"/>
    </row>
    <row r="7" spans="1:4" ht="33" customHeight="1">
      <c r="A7" s="3320" t="s">
        <v>2556</v>
      </c>
      <c r="B7" s="3320"/>
      <c r="C7" s="3320"/>
      <c r="D7" s="3320"/>
    </row>
    <row r="8" spans="1:4" ht="32.25" customHeight="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0"/>
      <c r="C8" s="3320"/>
      <c r="D8" s="3320"/>
    </row>
    <row r="9" spans="1:4" ht="33.75" customHeight="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0"/>
      <c r="C9" s="3320"/>
      <c r="D9" s="3320"/>
    </row>
    <row r="10" spans="1:4">
      <c r="A10" s="3320" t="str">
        <f>IF(项目基本情况!B8="抵押","4.估价师所知悉的法定优先受偿款情况为：","——")</f>
        <v>4.估价师所知悉的法定优先受偿款情况为：</v>
      </c>
      <c r="B10" s="3320"/>
      <c r="C10" s="3320"/>
      <c r="D10" s="3320"/>
    </row>
    <row r="11" spans="1:4" ht="37.5" customHeight="1">
      <c r="A11" s="3322" t="str">
        <f>IF(项目基本情况!B8="抵押","（1）"&amp;CONCATENATE(项目基本情况!L24,项目基本情况!L25,项目基本情况!L26),"——")</f>
        <v>（1）根据估价对象《不动产权证书》原件、《国有土地使用权》复印件，截至估价期日，估价对象抵押权未见登记。</v>
      </c>
      <c r="B11" s="3322"/>
      <c r="C11" s="3322"/>
      <c r="D11" s="3322"/>
    </row>
    <row r="12" spans="1:4" ht="168" customHeight="1">
      <c r="A12" s="3323" t="s">
        <v>2057</v>
      </c>
      <c r="B12" s="3323"/>
      <c r="C12" s="3323"/>
      <c r="D12" s="3323"/>
    </row>
    <row r="13" spans="1:4">
      <c r="A13" s="3321" t="s">
        <v>2727</v>
      </c>
      <c r="B13" s="3321"/>
      <c r="C13" s="3321"/>
      <c r="D13" s="3321"/>
    </row>
    <row r="14" spans="1:4">
      <c r="A14" s="3322" t="str">
        <f>IF(项目基本情况!B8="抵押","综上，"&amp;结果表!K47,"——")</f>
        <v>综上，本次评估不存在估价师知悉的法定优先受偿款</v>
      </c>
      <c r="B14" s="3322"/>
      <c r="C14" s="3322"/>
      <c r="D14" s="3322"/>
    </row>
    <row r="15" spans="1:4" ht="58.5" customHeight="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0"/>
      <c r="C15" s="3320"/>
      <c r="D15" s="3320"/>
    </row>
    <row r="16" spans="1:4" ht="70.5" customHeight="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0"/>
      <c r="C16" s="3320"/>
      <c r="D16" s="3320"/>
    </row>
    <row r="17" spans="1:4">
      <c r="A17" s="3320" t="s">
        <v>2683</v>
      </c>
      <c r="B17" s="3320"/>
      <c r="C17" s="3320"/>
      <c r="D17" s="3320"/>
    </row>
    <row r="18" spans="1:4">
      <c r="A18" s="3320" t="s">
        <v>2675</v>
      </c>
      <c r="B18" s="3320"/>
      <c r="C18" s="3320"/>
      <c r="D18" s="3320"/>
    </row>
    <row r="19" spans="1:4">
      <c r="A19" s="2585" t="s">
        <v>2676</v>
      </c>
      <c r="B19" s="2585" t="s">
        <v>2677</v>
      </c>
      <c r="C19" s="2585" t="s">
        <v>2678</v>
      </c>
      <c r="D19" s="2585" t="s">
        <v>2679</v>
      </c>
    </row>
    <row r="20" spans="1:4">
      <c r="A20" s="2585" t="str">
        <f>项目基本情况!B4</f>
        <v>王鹏</v>
      </c>
      <c r="B20" s="2585">
        <f ca="1">项目基本情况!C4</f>
        <v>2002110030</v>
      </c>
      <c r="C20" s="2587"/>
      <c r="D20" s="1716" t="s">
        <v>2684</v>
      </c>
    </row>
    <row r="21" spans="1:4">
      <c r="A21" s="2585" t="str">
        <f>项目基本情况!D4</f>
        <v>郑燚</v>
      </c>
      <c r="B21" s="2585">
        <f ca="1">项目基本情况!E4</f>
        <v>2014110011</v>
      </c>
      <c r="C21" s="2587"/>
      <c r="D21" s="1716" t="s">
        <v>2685</v>
      </c>
    </row>
    <row r="23" spans="1:4">
      <c r="A23" s="3320" t="s">
        <v>2680</v>
      </c>
      <c r="B23" s="3320"/>
      <c r="C23" s="3320"/>
      <c r="D23" s="3320"/>
    </row>
    <row r="24" spans="1:4">
      <c r="A24" s="2585" t="s">
        <v>2676</v>
      </c>
      <c r="B24" s="2585" t="s">
        <v>2681</v>
      </c>
      <c r="C24" s="2585" t="s">
        <v>2678</v>
      </c>
      <c r="D24" s="2585" t="s">
        <v>2679</v>
      </c>
    </row>
    <row r="25" spans="1:4">
      <c r="A25" s="2588" t="s">
        <v>2682</v>
      </c>
      <c r="B25" s="2585" t="s">
        <v>943</v>
      </c>
      <c r="C25" s="2587"/>
      <c r="D25" s="1716"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32" t="s">
        <v>53</v>
      </c>
      <c r="B15" s="3333" t="s">
        <v>838</v>
      </c>
      <c r="C15" s="3329"/>
    </row>
    <row r="16" spans="1:7" ht="14.25">
      <c r="A16" s="3332"/>
      <c r="B16" s="3330" t="s">
        <v>54</v>
      </c>
      <c r="C16" s="1155" t="s">
        <v>53</v>
      </c>
    </row>
    <row r="17" spans="1:3" ht="14.25">
      <c r="A17" s="3332"/>
      <c r="B17" s="3330"/>
      <c r="C17" s="1155" t="s">
        <v>55</v>
      </c>
    </row>
    <row r="18" spans="1:3" ht="14.25">
      <c r="A18" s="3332"/>
      <c r="B18" s="3330"/>
      <c r="C18" s="1155" t="s">
        <v>56</v>
      </c>
    </row>
    <row r="19" spans="1:3" ht="14.25">
      <c r="A19" s="3332"/>
      <c r="B19" s="3328" t="s">
        <v>57</v>
      </c>
      <c r="C19" s="3329"/>
    </row>
    <row r="20" spans="1:3" ht="14.25">
      <c r="A20" s="1156" t="s">
        <v>58</v>
      </c>
      <c r="B20" s="1157"/>
      <c r="C20" s="1158"/>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59" t="s">
        <v>829</v>
      </c>
    </row>
    <row r="25" spans="1:3" ht="14.25">
      <c r="A25" s="3331"/>
      <c r="B25" s="3335"/>
      <c r="C25" s="1159" t="s">
        <v>830</v>
      </c>
    </row>
    <row r="26" spans="1:3" ht="14.25">
      <c r="A26" s="3331"/>
      <c r="B26" s="3335"/>
      <c r="C26" s="1159" t="s">
        <v>831</v>
      </c>
    </row>
    <row r="27" spans="1:3" ht="14.25">
      <c r="A27" s="3331"/>
      <c r="B27" s="3335"/>
      <c r="C27" s="1159" t="s">
        <v>832</v>
      </c>
    </row>
    <row r="28" spans="1:3" ht="14.25">
      <c r="A28" s="3331"/>
      <c r="B28" s="3335"/>
      <c r="C28" s="1159" t="s">
        <v>833</v>
      </c>
    </row>
    <row r="29" spans="1:3" ht="14.25">
      <c r="A29" s="3331"/>
      <c r="B29" s="3335"/>
      <c r="C29" s="1159" t="s">
        <v>834</v>
      </c>
    </row>
    <row r="30" spans="1:3" ht="14.25">
      <c r="A30" s="3331"/>
      <c r="B30" s="3335"/>
      <c r="C30" s="1159" t="s">
        <v>835</v>
      </c>
    </row>
    <row r="31" spans="1:3" ht="14.25">
      <c r="A31" s="3331"/>
      <c r="B31" s="3335"/>
      <c r="C31" s="1159" t="s">
        <v>836</v>
      </c>
    </row>
    <row r="32" spans="1:3" ht="14.25">
      <c r="A32" s="3331"/>
      <c r="B32" s="3335"/>
      <c r="C32" s="1159" t="s">
        <v>1637</v>
      </c>
    </row>
    <row r="33" spans="1:3" ht="14.25">
      <c r="A33" s="3331"/>
      <c r="B33" s="3325" t="s">
        <v>1643</v>
      </c>
      <c r="C33" s="1159" t="s">
        <v>1638</v>
      </c>
    </row>
    <row r="34" spans="1:3" ht="14.25">
      <c r="A34" s="3331"/>
      <c r="B34" s="3326"/>
      <c r="C34" s="1164" t="s">
        <v>1639</v>
      </c>
    </row>
    <row r="35" spans="1:3" ht="14.25">
      <c r="A35" s="3331"/>
      <c r="B35" s="3326"/>
      <c r="C35" s="1165" t="s">
        <v>1640</v>
      </c>
    </row>
    <row r="36" spans="1:3" ht="14.25">
      <c r="A36" s="3331"/>
      <c r="B36" s="3326"/>
      <c r="C36" s="1165" t="s">
        <v>1641</v>
      </c>
    </row>
    <row r="37" spans="1:3" ht="14.25">
      <c r="A37" s="3331"/>
      <c r="B37" s="3327"/>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44102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2934</v>
      </c>
      <c r="B12" s="3030">
        <f ca="1">IF(C12&lt;B2,"已过期",1120040230)</f>
        <v>1120040230</v>
      </c>
      <c r="C12" s="3033">
        <v>44864</v>
      </c>
      <c r="D12" s="3041" t="s">
        <v>2935</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2949</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9" t="s">
        <v>1915</v>
      </c>
      <c r="B17" s="3340"/>
      <c r="C17" s="3340"/>
      <c r="D17" s="3340"/>
      <c r="E17" s="3340"/>
      <c r="F17" s="3340"/>
      <c r="G17" s="3034"/>
    </row>
    <row r="18" spans="1:7" ht="20.25" customHeight="1">
      <c r="A18" s="3336" t="s">
        <v>1916</v>
      </c>
      <c r="B18" s="3336"/>
      <c r="C18" s="3337"/>
      <c r="D18" s="3338" t="s">
        <v>1917</v>
      </c>
      <c r="E18" s="3336"/>
      <c r="F18" s="3336"/>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2948</v>
      </c>
      <c r="F21" s="3038">
        <v>44012</v>
      </c>
      <c r="G21" s="3026"/>
    </row>
    <row r="22" spans="1:7" ht="20.25" customHeight="1">
      <c r="A22" s="3025"/>
      <c r="B22" s="3025"/>
      <c r="C22" s="3039"/>
      <c r="D22" s="3047"/>
      <c r="E22" s="3048"/>
      <c r="F22" s="3040" t="s">
        <v>2963</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2910</v>
      </c>
      <c r="C18" s="1493"/>
    </row>
    <row r="19" spans="1:3">
      <c r="A19" s="8" t="s">
        <v>120</v>
      </c>
      <c r="B19" s="2792" t="s">
        <v>2917</v>
      </c>
      <c r="C19" s="1493"/>
    </row>
    <row r="20" spans="1:3">
      <c r="A20" s="8" t="s">
        <v>121</v>
      </c>
      <c r="B20" s="2792" t="s">
        <v>2964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41"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c r="D53" s="1686"/>
      <c r="E53" s="1686"/>
    </row>
    <row r="54" spans="1:5">
      <c r="A54" s="3341"/>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41"/>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41"/>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41"/>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土地信息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2020-09-28T02:08:39Z</dcterms:modified>
</cp:coreProperties>
</file>