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0中行租金-东长安街\"/>
    </mc:Choice>
  </mc:AlternateContent>
  <xr:revisionPtr revIDLastSave="0" documentId="13_ncr:1_{AE90411E-06AD-42E2-AFE1-2C27B9D0FF30}" xr6:coauthVersionLast="47" xr6:coauthVersionMax="47" xr10:uidLastSave="{00000000-0000-0000-0000-000000000000}"/>
  <bookViews>
    <workbookView xWindow="0" yWindow="0" windowWidth="19200" windowHeight="21000" tabRatio="899" firstSheet="12"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比较法-商业售价" sheetId="85" r:id="rId21"/>
    <sheet name="销售案例" sheetId="84"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基准地价修正" sheetId="43" state="hidden" r:id="rId30"/>
    <sheet name="比较法-商业租金" sheetId="33" r:id="rId31"/>
    <sheet name="租金案例" sheetId="8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'比较法-商业售价'!$A$1:$L$49</definedName>
    <definedName name="_xlnm._FilterDatabase" localSheetId="30"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'比较法-商业售价'!$A$1:$K$54,'比较法-商业售价'!$A$57:$M$131</definedName>
    <definedName name="_xlnm.Print_Area" localSheetId="30">'比较法-商业租金'!$A$1:$K$54,'比较法-商业租金'!$A$57:$M$131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19">'收益法 （倒）'!$A$1:$I$41</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20">'比较法-商业售价'!$B$116:$M$116</definedName>
    <definedName name="商业层高" localSheetId="19">'[1]比较法-商业'!$B$116:$M$116</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20">'比较法-商业售价'!$B$107:$M$107</definedName>
    <definedName name="商业公共部分装修" localSheetId="19">'[1]比较法-商业'!$B$107:$M$107</definedName>
    <definedName name="商业公共部分装修">'比较法-商业租金'!$B$107:$M$107</definedName>
    <definedName name="商业基础设施水平" localSheetId="20">'比较法-商业售价'!$B$112:$M$112</definedName>
    <definedName name="商业基础设施水平" localSheetId="19">'[1]比较法-商业'!$B$112:$M$112</definedName>
    <definedName name="商业基础设施水平">'比较法-商业租金'!$B$112:$M$112</definedName>
    <definedName name="商业建筑结构" localSheetId="20">'比较法-商业售价'!$B$105:$M$105</definedName>
    <definedName name="商业建筑结构" localSheetId="19">'[1]比较法-商业'!$B$105:$M$105</definedName>
    <definedName name="商业建筑结构">'比较法-商业租金'!$B$105:$M$105</definedName>
    <definedName name="商业交易情况" localSheetId="20">'比较法-商业售价'!$A$61:$M$61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20">'比较法-商业售价'!$B$120:$M$120</definedName>
    <definedName name="商业进深比" localSheetId="19">'[1]比较法-商业'!$B$120:$M$120</definedName>
    <definedName name="商业进深比">'比较法-商业租金'!$B$120:$M$120</definedName>
    <definedName name="商业类型" localSheetId="20">'比较法-商业售价'!$B$100:$M$100</definedName>
    <definedName name="商业类型" localSheetId="19">'[1]比较法-商业'!$B$100:$M$100</definedName>
    <definedName name="商业类型">'比较法-商业租金'!$B$100:$M$100</definedName>
    <definedName name="商业临街状况" localSheetId="20">'比较法-商业售价'!$B$86:$M$86</definedName>
    <definedName name="商业临街状况" localSheetId="19">'[1]比较法-商业'!$B$86:$M$86</definedName>
    <definedName name="商业临街状况">'比较法-商业租金'!$B$86:$M$86</definedName>
    <definedName name="商业楼层" localSheetId="20">'比较法-商业售价'!$B$92:$M$92</definedName>
    <definedName name="商业楼层" localSheetId="19">'[1]比较法-商业'!$B$92:$M$92</definedName>
    <definedName name="商业楼层">'比较法-商业租金'!$B$92:$M$92</definedName>
    <definedName name="商业内部装修" localSheetId="20">'比较法-商业售价'!$B$122:$M$122</definedName>
    <definedName name="商业内部装修" localSheetId="19">'[1]比较法-商业'!$B$122:$M$122</definedName>
    <definedName name="商业内部装修">'比较法-商业租金'!$B$122:$M$122</definedName>
    <definedName name="商业人流量" localSheetId="20">'比较法-商业售价'!$B$90:$M$90</definedName>
    <definedName name="商业人流量" localSheetId="19">'[1]比较法-商业'!$B$90:$M$90</definedName>
    <definedName name="商业人流量">'比较法-商业租金'!$B$90:$M$90</definedName>
    <definedName name="商业业态" localSheetId="20">'比较法-商业售价'!$B$114:$M$114</definedName>
    <definedName name="商业业态" localSheetId="19">'[1]比较法-商业'!$B$114:$M$114</definedName>
    <definedName name="商业业态">'比较法-商业租金'!$B$114:$M$114</definedName>
    <definedName name="商业用途" localSheetId="20">'比较法-商业售价'!$B$63:$M$63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6">'[4]数据-汇总表'!$C$17:$C$26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30" i="81" l="1"/>
  <c r="L38" i="81"/>
  <c r="B14" i="74"/>
  <c r="G10" i="74"/>
  <c r="N38" i="81"/>
  <c r="M37" i="81"/>
  <c r="M38" i="81" s="1"/>
  <c r="O25" i="81"/>
  <c r="E104" i="85"/>
  <c r="F104" i="85"/>
  <c r="G104" i="85" s="1"/>
  <c r="D104" i="85"/>
  <c r="G104" i="33"/>
  <c r="E104" i="33"/>
  <c r="F104" i="33"/>
  <c r="D104" i="33"/>
  <c r="I33" i="85"/>
  <c r="I29" i="85"/>
  <c r="G33" i="85"/>
  <c r="E33" i="85"/>
  <c r="I47" i="85"/>
  <c r="G47" i="85"/>
  <c r="E47" i="85"/>
  <c r="E54" i="85" s="1"/>
  <c r="F54" i="85" s="1"/>
  <c r="I5" i="85"/>
  <c r="G5" i="85"/>
  <c r="E5" i="85"/>
  <c r="L32" i="81"/>
  <c r="O38" i="81"/>
  <c r="M32" i="81"/>
  <c r="B130" i="85"/>
  <c r="B128" i="85"/>
  <c r="B126" i="85"/>
  <c r="D125" i="85"/>
  <c r="E125" i="85" s="1"/>
  <c r="F125" i="85" s="1"/>
  <c r="G125" i="85" s="1"/>
  <c r="I123" i="85"/>
  <c r="J123" i="85" s="1"/>
  <c r="K123" i="85" s="1"/>
  <c r="L123" i="85" s="1"/>
  <c r="M123" i="85" s="1"/>
  <c r="E123" i="85"/>
  <c r="F123" i="85" s="1"/>
  <c r="G123" i="85" s="1"/>
  <c r="H123" i="85" s="1"/>
  <c r="D123" i="85"/>
  <c r="G121" i="85"/>
  <c r="H121" i="85" s="1"/>
  <c r="I121" i="85" s="1"/>
  <c r="J121" i="85" s="1"/>
  <c r="K121" i="85" s="1"/>
  <c r="L121" i="85" s="1"/>
  <c r="M121" i="85" s="1"/>
  <c r="D121" i="85"/>
  <c r="E121" i="85" s="1"/>
  <c r="F121" i="85" s="1"/>
  <c r="D117" i="85"/>
  <c r="E117" i="85" s="1"/>
  <c r="F117" i="85" s="1"/>
  <c r="G117" i="85" s="1"/>
  <c r="E115" i="85"/>
  <c r="F115" i="85" s="1"/>
  <c r="G115" i="85" s="1"/>
  <c r="H115" i="85" s="1"/>
  <c r="I115" i="85" s="1"/>
  <c r="J115" i="85" s="1"/>
  <c r="K115" i="85" s="1"/>
  <c r="L115" i="85" s="1"/>
  <c r="M115" i="85" s="1"/>
  <c r="D115" i="85"/>
  <c r="D113" i="85"/>
  <c r="E113" i="85" s="1"/>
  <c r="E111" i="85"/>
  <c r="D111" i="85"/>
  <c r="G109" i="85"/>
  <c r="F109" i="85"/>
  <c r="E109" i="85"/>
  <c r="D109" i="85"/>
  <c r="C109" i="85"/>
  <c r="L108" i="85"/>
  <c r="M108" i="85" s="1"/>
  <c r="H108" i="85"/>
  <c r="I108" i="85" s="1"/>
  <c r="J108" i="85" s="1"/>
  <c r="K108" i="85" s="1"/>
  <c r="D108" i="85"/>
  <c r="E108" i="85" s="1"/>
  <c r="F108" i="85" s="1"/>
  <c r="G108" i="85" s="1"/>
  <c r="F106" i="85"/>
  <c r="G106" i="85" s="1"/>
  <c r="H106" i="85" s="1"/>
  <c r="I106" i="85" s="1"/>
  <c r="J106" i="85" s="1"/>
  <c r="K106" i="85" s="1"/>
  <c r="L106" i="85" s="1"/>
  <c r="M106" i="85" s="1"/>
  <c r="E106" i="85"/>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F94" i="85"/>
  <c r="E94" i="85"/>
  <c r="J29" i="85" s="1"/>
  <c r="D94" i="85"/>
  <c r="C94" i="85"/>
  <c r="B94" i="85"/>
  <c r="B92" i="85"/>
  <c r="E91" i="85"/>
  <c r="F91" i="85" s="1"/>
  <c r="G91" i="85" s="1"/>
  <c r="H91" i="85" s="1"/>
  <c r="I91" i="85" s="1"/>
  <c r="J91" i="85" s="1"/>
  <c r="K91" i="85" s="1"/>
  <c r="L91" i="85" s="1"/>
  <c r="M91" i="85" s="1"/>
  <c r="D91" i="85"/>
  <c r="B90" i="85"/>
  <c r="B88" i="85"/>
  <c r="I87" i="85"/>
  <c r="J87" i="85" s="1"/>
  <c r="K87" i="85" s="1"/>
  <c r="L87" i="85" s="1"/>
  <c r="M87" i="85" s="1"/>
  <c r="E87" i="85"/>
  <c r="F87" i="85" s="1"/>
  <c r="G87" i="85" s="1"/>
  <c r="H87" i="85" s="1"/>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J69" i="85"/>
  <c r="K69" i="85" s="1"/>
  <c r="L69" i="85" s="1"/>
  <c r="M69" i="85" s="1"/>
  <c r="F69" i="85"/>
  <c r="G69" i="85" s="1"/>
  <c r="H69" i="85" s="1"/>
  <c r="I69" i="85" s="1"/>
  <c r="E69" i="85"/>
  <c r="D69" i="85"/>
  <c r="M67" i="85"/>
  <c r="L67" i="85"/>
  <c r="K67" i="85"/>
  <c r="J67" i="85"/>
  <c r="I67" i="85"/>
  <c r="H67" i="85"/>
  <c r="G67" i="85"/>
  <c r="F67" i="85"/>
  <c r="E67" i="85"/>
  <c r="D67" i="85"/>
  <c r="C67" i="85"/>
  <c r="C63" i="85"/>
  <c r="P49" i="85"/>
  <c r="P48" i="85"/>
  <c r="K48" i="85"/>
  <c r="P47" i="85"/>
  <c r="V47" i="85"/>
  <c r="G54" i="85"/>
  <c r="H54" i="85" s="1"/>
  <c r="I54" i="85"/>
  <c r="J54" i="85" s="1"/>
  <c r="Z46" i="85"/>
  <c r="W46" i="85"/>
  <c r="Q46" i="85"/>
  <c r="J46" i="85"/>
  <c r="AC46" i="85" s="1"/>
  <c r="H46" i="85"/>
  <c r="AB46" i="85" s="1"/>
  <c r="F46" i="85"/>
  <c r="AA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W42" i="85" s="1"/>
  <c r="H42" i="85"/>
  <c r="AB42" i="85" s="1"/>
  <c r="F42" i="85"/>
  <c r="AA42" i="85" s="1"/>
  <c r="AC41" i="85"/>
  <c r="AB41" i="85"/>
  <c r="Q41" i="85"/>
  <c r="Z41" i="85" s="1"/>
  <c r="J41" i="85"/>
  <c r="W41" i="85" s="1"/>
  <c r="H41" i="85"/>
  <c r="U41" i="85" s="1"/>
  <c r="F41" i="85"/>
  <c r="AA41" i="85" s="1"/>
  <c r="AB40" i="85"/>
  <c r="AA40" i="85"/>
  <c r="Q40" i="85"/>
  <c r="Z40" i="85" s="1"/>
  <c r="J40" i="85"/>
  <c r="AC40" i="85" s="1"/>
  <c r="H40" i="85"/>
  <c r="U40" i="85" s="1"/>
  <c r="F40" i="85"/>
  <c r="S40" i="85" s="1"/>
  <c r="AA39" i="85"/>
  <c r="Z39" i="85"/>
  <c r="Q39" i="85"/>
  <c r="J39" i="85"/>
  <c r="AC39" i="85" s="1"/>
  <c r="H39" i="85"/>
  <c r="AB39" i="85" s="1"/>
  <c r="F39" i="85"/>
  <c r="S39" i="85" s="1"/>
  <c r="Z38" i="85"/>
  <c r="W38" i="85"/>
  <c r="Q38" i="85"/>
  <c r="J38" i="85"/>
  <c r="AC38" i="85" s="1"/>
  <c r="H38" i="85"/>
  <c r="AB38" i="85" s="1"/>
  <c r="F38" i="85"/>
  <c r="AA38" i="85" s="1"/>
  <c r="AC37" i="85"/>
  <c r="W37" i="85"/>
  <c r="Q37" i="85"/>
  <c r="Z37" i="85" s="1"/>
  <c r="J37" i="85"/>
  <c r="H37" i="85"/>
  <c r="AB37" i="85" s="1"/>
  <c r="AB36" i="85"/>
  <c r="S36" i="85"/>
  <c r="Q36" i="85"/>
  <c r="Z36" i="85" s="1"/>
  <c r="H36" i="85"/>
  <c r="U36" i="85" s="1"/>
  <c r="F36" i="85"/>
  <c r="AA36" i="85" s="1"/>
  <c r="AB35" i="85"/>
  <c r="Q35" i="85"/>
  <c r="Z35" i="85" s="1"/>
  <c r="J35" i="85"/>
  <c r="AC35" i="85" s="1"/>
  <c r="H35" i="85"/>
  <c r="U35" i="85" s="1"/>
  <c r="F35" i="85"/>
  <c r="AA35" i="85" s="1"/>
  <c r="AC34" i="85"/>
  <c r="Z34" i="85"/>
  <c r="W34" i="85"/>
  <c r="Q34" i="85"/>
  <c r="J34" i="85"/>
  <c r="H34" i="85"/>
  <c r="AB34" i="85" s="1"/>
  <c r="F34" i="85"/>
  <c r="AA34" i="85" s="1"/>
  <c r="Z33" i="85"/>
  <c r="Q33" i="85"/>
  <c r="C33" i="85"/>
  <c r="Q32" i="85"/>
  <c r="Z32" i="85" s="1"/>
  <c r="H32" i="85"/>
  <c r="U32" i="85" s="1"/>
  <c r="F32" i="85"/>
  <c r="S32" i="85" s="1"/>
  <c r="AB31" i="85"/>
  <c r="AA31" i="85"/>
  <c r="U31" i="85"/>
  <c r="S31" i="85"/>
  <c r="Q31" i="85"/>
  <c r="Z31" i="85" s="1"/>
  <c r="H31" i="85"/>
  <c r="F31" i="85"/>
  <c r="AC30" i="85"/>
  <c r="W30" i="85"/>
  <c r="Q30" i="85"/>
  <c r="Z30" i="85" s="1"/>
  <c r="J30" i="85"/>
  <c r="H30" i="85"/>
  <c r="AB30" i="85" s="1"/>
  <c r="F30" i="85"/>
  <c r="S30" i="85" s="1"/>
  <c r="Z29" i="85"/>
  <c r="Q29" i="85"/>
  <c r="H29" i="85"/>
  <c r="AB29" i="85" s="1"/>
  <c r="AA28" i="85"/>
  <c r="Q28" i="85"/>
  <c r="Z28" i="85" s="1"/>
  <c r="J28" i="85"/>
  <c r="AC28" i="85" s="1"/>
  <c r="H28" i="85"/>
  <c r="AB28" i="85" s="1"/>
  <c r="F28" i="85"/>
  <c r="S28" i="85" s="1"/>
  <c r="AB27" i="85"/>
  <c r="AA27" i="85"/>
  <c r="Q27" i="85"/>
  <c r="Z27" i="85" s="1"/>
  <c r="J27" i="85"/>
  <c r="AC27" i="85" s="1"/>
  <c r="H27" i="85"/>
  <c r="U27" i="85" s="1"/>
  <c r="F27" i="85"/>
  <c r="S27" i="85" s="1"/>
  <c r="AC26" i="85"/>
  <c r="W26" i="85"/>
  <c r="Q26" i="85"/>
  <c r="Z26" i="85" s="1"/>
  <c r="J26" i="85"/>
  <c r="H26" i="85"/>
  <c r="AB26" i="85" s="1"/>
  <c r="F26" i="85"/>
  <c r="AA26" i="85" s="1"/>
  <c r="Q25" i="85"/>
  <c r="Z25" i="85" s="1"/>
  <c r="J25" i="85"/>
  <c r="W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U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C8" i="85"/>
  <c r="W8" i="85"/>
  <c r="J8" i="85"/>
  <c r="H8" i="85"/>
  <c r="AB8" i="85" s="1"/>
  <c r="F8" i="85"/>
  <c r="S8" i="85" s="1"/>
  <c r="C7" i="85"/>
  <c r="C58" i="85" s="1"/>
  <c r="D58" i="85" s="1"/>
  <c r="E58" i="85" s="1"/>
  <c r="F58" i="85" s="1"/>
  <c r="G58" i="85" s="1"/>
  <c r="H58" i="85" s="1"/>
  <c r="I58" i="85" s="1"/>
  <c r="J58" i="85" s="1"/>
  <c r="K58" i="85" s="1"/>
  <c r="L58" i="85" s="1"/>
  <c r="M58" i="85" s="1"/>
  <c r="N58" i="85" s="1"/>
  <c r="O58" i="85" s="1"/>
  <c r="D3" i="85"/>
  <c r="B2" i="85"/>
  <c r="I33" i="33"/>
  <c r="G33" i="33"/>
  <c r="I7" i="81"/>
  <c r="E33" i="33"/>
  <c r="I47" i="33"/>
  <c r="G47" i="33"/>
  <c r="E47" i="33"/>
  <c r="I5" i="33"/>
  <c r="G5" i="33"/>
  <c r="E5" i="33"/>
  <c r="N25" i="81"/>
  <c r="M25" i="81"/>
  <c r="O24" i="81"/>
  <c r="N24" i="81"/>
  <c r="M24" i="81"/>
  <c r="M2" i="81"/>
  <c r="N3" i="81" s="1"/>
  <c r="H22" i="81"/>
  <c r="I5" i="81"/>
  <c r="D116" i="43"/>
  <c r="J26" i="43" s="1"/>
  <c r="F94" i="33"/>
  <c r="E94" i="33"/>
  <c r="D94" i="33"/>
  <c r="C94" i="33"/>
  <c r="B21" i="1"/>
  <c r="I8" i="81"/>
  <c r="U3" i="43"/>
  <c r="U2" i="43"/>
  <c r="H9" i="81"/>
  <c r="I11" i="81"/>
  <c r="H15" i="81"/>
  <c r="H14" i="81"/>
  <c r="H28" i="81"/>
  <c r="H27" i="81"/>
  <c r="H26" i="81"/>
  <c r="I17" i="81"/>
  <c r="N20" i="1"/>
  <c r="D3" i="4"/>
  <c r="C36" i="81"/>
  <c r="E24" i="81"/>
  <c r="E28" i="81"/>
  <c r="H25" i="81"/>
  <c r="E25" i="81"/>
  <c r="C22" i="81"/>
  <c r="C20" i="81"/>
  <c r="C19" i="81" s="1"/>
  <c r="F19" i="81"/>
  <c r="F16" i="81"/>
  <c r="E15" i="81"/>
  <c r="C15" i="81"/>
  <c r="M10" i="81"/>
  <c r="P9" i="81"/>
  <c r="O10" i="81" s="1"/>
  <c r="M4" i="81"/>
  <c r="G14" i="73"/>
  <c r="F14" i="73"/>
  <c r="E14" i="73"/>
  <c r="D2" i="85"/>
  <c r="J33" i="85" l="1"/>
  <c r="AC33" i="85" s="1"/>
  <c r="H33" i="85"/>
  <c r="AB33" i="85" s="1"/>
  <c r="J32" i="85"/>
  <c r="AC32" i="85" s="1"/>
  <c r="AB32" i="85"/>
  <c r="AA32" i="85"/>
  <c r="W29" i="85"/>
  <c r="AC29" i="85"/>
  <c r="F29" i="85"/>
  <c r="AA29" i="85" s="1"/>
  <c r="F33" i="85"/>
  <c r="AA33" i="85" s="1"/>
  <c r="U33" i="85"/>
  <c r="B3" i="85"/>
  <c r="S33" i="85"/>
  <c r="S9" i="85"/>
  <c r="W11" i="85"/>
  <c r="S13" i="85"/>
  <c r="U15" i="85"/>
  <c r="U17" i="85"/>
  <c r="U21" i="85"/>
  <c r="U23" i="85"/>
  <c r="S26" i="85"/>
  <c r="W28" i="85"/>
  <c r="S35" i="85"/>
  <c r="H7" i="85"/>
  <c r="U8" i="85"/>
  <c r="S10" i="85"/>
  <c r="U11" i="85"/>
  <c r="W12" i="85"/>
  <c r="S14" i="85"/>
  <c r="S15" i="85"/>
  <c r="S17" i="85"/>
  <c r="S19" i="85"/>
  <c r="S21" i="85"/>
  <c r="S23" i="85"/>
  <c r="U25" i="85"/>
  <c r="AC25" i="85"/>
  <c r="U28" i="85"/>
  <c r="U29" i="85"/>
  <c r="AA30" i="85"/>
  <c r="S34" i="85"/>
  <c r="U37" i="85"/>
  <c r="AC42" i="85"/>
  <c r="S44" i="85"/>
  <c r="U45" i="85"/>
  <c r="AC31" i="85"/>
  <c r="W31" i="85"/>
  <c r="F111" i="85"/>
  <c r="G111" i="85" s="1"/>
  <c r="H111" i="85" s="1"/>
  <c r="I111" i="85" s="1"/>
  <c r="J111" i="85" s="1"/>
  <c r="K111" i="85" s="1"/>
  <c r="L111" i="85" s="1"/>
  <c r="M111" i="85" s="1"/>
  <c r="J36" i="85"/>
  <c r="J7" i="85"/>
  <c r="U10" i="85"/>
  <c r="AB19" i="85"/>
  <c r="AA8" i="85"/>
  <c r="W10" i="85"/>
  <c r="S12" i="85"/>
  <c r="U13" i="85"/>
  <c r="W14" i="85"/>
  <c r="W15" i="85"/>
  <c r="W17" i="85"/>
  <c r="W19" i="85"/>
  <c r="W21" i="85"/>
  <c r="W23" i="85"/>
  <c r="U14" i="85"/>
  <c r="S43" i="85"/>
  <c r="U44" i="85"/>
  <c r="U9" i="85"/>
  <c r="F7" i="85"/>
  <c r="W9" i="85"/>
  <c r="S11" i="85"/>
  <c r="U12" i="85"/>
  <c r="W13" i="85"/>
  <c r="S25" i="85"/>
  <c r="R47" i="85"/>
  <c r="F113" i="85"/>
  <c r="G113" i="85" s="1"/>
  <c r="H113" i="85" s="1"/>
  <c r="I113" i="85" s="1"/>
  <c r="J113" i="85" s="1"/>
  <c r="K113" i="85" s="1"/>
  <c r="L113" i="85" s="1"/>
  <c r="M113" i="85" s="1"/>
  <c r="F37" i="85"/>
  <c r="S38" i="85"/>
  <c r="U39" i="85"/>
  <c r="W40" i="85"/>
  <c r="S42" i="85"/>
  <c r="U43" i="85"/>
  <c r="W44" i="85"/>
  <c r="S46" i="85"/>
  <c r="T47" i="85"/>
  <c r="U26" i="85"/>
  <c r="W27" i="85"/>
  <c r="U30" i="85"/>
  <c r="U34" i="85"/>
  <c r="W35" i="85"/>
  <c r="U38" i="85"/>
  <c r="W39" i="85"/>
  <c r="S41" i="85"/>
  <c r="U42" i="85"/>
  <c r="W43" i="85"/>
  <c r="S45" i="85"/>
  <c r="U46" i="85"/>
  <c r="I12" i="79"/>
  <c r="W33" i="85" l="1"/>
  <c r="W32" i="85"/>
  <c r="S29" i="85"/>
  <c r="T48" i="85"/>
  <c r="G48" i="85" s="1"/>
  <c r="S7" i="85"/>
  <c r="AA7" i="85"/>
  <c r="R48" i="85" s="1"/>
  <c r="AC7" i="85"/>
  <c r="W7" i="85"/>
  <c r="AC36" i="85"/>
  <c r="W36" i="85"/>
  <c r="U7" i="85"/>
  <c r="AB7" i="85"/>
  <c r="AA37" i="85"/>
  <c r="S37" i="85"/>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5" l="1"/>
  <c r="V48" i="85"/>
  <c r="I48" i="85" s="1"/>
  <c r="G53" i="85" s="1"/>
  <c r="H53" i="85" s="1"/>
  <c r="G52" i="85"/>
  <c r="H52" i="85"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3" i="85" l="1"/>
  <c r="J53" i="85" s="1"/>
  <c r="I52" i="85"/>
  <c r="J52" i="85" s="1"/>
  <c r="E53" i="85"/>
  <c r="F53" i="85" s="1"/>
  <c r="E52" i="85"/>
  <c r="F52" i="85" s="1"/>
  <c r="R49" i="85"/>
  <c r="AD33" i="79"/>
  <c r="AR34" i="79"/>
  <c r="AR35" i="79" s="1"/>
  <c r="AR36" i="79" s="1"/>
  <c r="AR8" i="79"/>
  <c r="AD35" i="79"/>
  <c r="C60" i="78"/>
  <c r="D60" i="78" s="1"/>
  <c r="B55" i="78"/>
  <c r="D55" i="78" s="1"/>
  <c r="D53" i="78"/>
  <c r="D52" i="78"/>
  <c r="D51" i="78" s="1"/>
  <c r="B51" i="78"/>
  <c r="B56" i="78" s="1"/>
  <c r="C49" i="85" l="1"/>
  <c r="C48" i="85"/>
  <c r="N31" i="81" s="1"/>
  <c r="D36" i="81"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E11" i="76"/>
  <c r="E13" i="76"/>
  <c r="J15" i="67"/>
  <c r="E10" i="76"/>
  <c r="M22" i="15"/>
  <c r="M9" i="15"/>
  <c r="C76" i="67"/>
  <c r="D35" i="9"/>
  <c r="F6" i="15"/>
  <c r="B9" i="76"/>
  <c r="M24" i="67"/>
  <c r="F40" i="67"/>
  <c r="F43" i="15"/>
  <c r="F38" i="15"/>
  <c r="F26" i="15"/>
  <c r="M9" i="67"/>
  <c r="E2" i="69"/>
  <c r="F16" i="67"/>
  <c r="B10" i="76"/>
  <c r="E8" i="76"/>
  <c r="J15" i="15"/>
  <c r="F13" i="15"/>
  <c r="F36" i="15"/>
  <c r="M24" i="15"/>
  <c r="F9" i="15"/>
  <c r="F38" i="67"/>
  <c r="D34" i="9"/>
  <c r="E2" i="68"/>
  <c r="C19" i="9"/>
  <c r="F40" i="15"/>
  <c r="F3" i="73"/>
  <c r="E9" i="76"/>
  <c r="F37" i="15"/>
  <c r="F42" i="15"/>
  <c r="M26" i="67"/>
  <c r="E12" i="76"/>
  <c r="L47" i="67"/>
  <c r="M8" i="15"/>
  <c r="B8" i="76"/>
  <c r="C76" i="15"/>
  <c r="M22" i="67"/>
  <c r="F8" i="15"/>
  <c r="F6" i="67"/>
  <c r="M23" i="67"/>
  <c r="M23" i="15"/>
  <c r="M26" i="15"/>
  <c r="D20" i="9"/>
  <c r="M29" i="15"/>
  <c r="F20" i="31"/>
  <c r="F16" i="15"/>
  <c r="AO13" i="1"/>
  <c r="M29" i="67"/>
  <c r="F5" i="73"/>
  <c r="M6" i="15"/>
  <c r="F8" i="67"/>
  <c r="F6" i="73"/>
  <c r="B7" i="76"/>
  <c r="L47" i="15"/>
  <c r="F7" i="73"/>
  <c r="C20" i="9"/>
  <c r="F4" i="73"/>
  <c r="E7" i="76"/>
  <c r="B11" i="76"/>
  <c r="B12" i="76"/>
  <c r="F36" i="67"/>
  <c r="F42" i="67"/>
  <c r="D19" i="9"/>
  <c r="F7" i="15"/>
  <c r="B13" i="76"/>
  <c r="M6" i="67"/>
  <c r="F37" i="67"/>
  <c r="M28" i="15"/>
  <c r="D51" i="43" l="1"/>
  <c r="D55" i="43"/>
  <c r="BB5" i="3"/>
  <c r="I3" i="81"/>
  <c r="D33" i="43"/>
  <c r="D1" i="43" s="1"/>
  <c r="C33" i="33"/>
  <c r="G29" i="6"/>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E29" i="6" s="1"/>
  <c r="K15" i="1"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F30" i="6"/>
  <c r="G30" i="6"/>
  <c r="G31" i="6" s="1"/>
  <c r="E28" i="6"/>
  <c r="K14" i="1"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I20" i="81" s="1"/>
  <c r="C21" i="81" s="1"/>
  <c r="E19" i="81" s="1"/>
  <c r="C36" i="69"/>
  <c r="D9" i="69"/>
  <c r="C16" i="15"/>
  <c r="D3" i="73"/>
  <c r="D5" i="73"/>
  <c r="D4" i="73"/>
  <c r="D7" i="73"/>
  <c r="M8" i="67"/>
  <c r="L48" i="15"/>
  <c r="F43" i="67"/>
  <c r="F26" i="67"/>
  <c r="L48" i="67"/>
  <c r="D6" i="73"/>
  <c r="M28" i="67"/>
  <c r="F13" i="67"/>
  <c r="F7" i="67"/>
  <c r="J33" i="33" l="1"/>
  <c r="H33" i="33"/>
  <c r="F33" i="33"/>
  <c r="C8" i="81"/>
  <c r="C11" i="81"/>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F41" i="67"/>
  <c r="G1" i="73"/>
  <c r="F1" i="15" l="1"/>
  <c r="E135" i="3"/>
  <c r="E586" i="3"/>
  <c r="E500" i="3"/>
  <c r="AA33" i="33"/>
  <c r="S33" i="33"/>
  <c r="E119" i="3"/>
  <c r="E278" i="3"/>
  <c r="E217" i="3"/>
  <c r="E89" i="3"/>
  <c r="E133" i="3"/>
  <c r="E503" i="3"/>
  <c r="E508" i="3"/>
  <c r="E269" i="3"/>
  <c r="E518" i="3"/>
  <c r="E366" i="3"/>
  <c r="E274" i="3"/>
  <c r="E304" i="3"/>
  <c r="E257" i="3"/>
  <c r="E259" i="3"/>
  <c r="E460" i="3"/>
  <c r="E534" i="3"/>
  <c r="U33" i="33"/>
  <c r="AB33" i="33"/>
  <c r="E247" i="3"/>
  <c r="E345" i="3"/>
  <c r="E468" i="3"/>
  <c r="E270" i="3"/>
  <c r="E476" i="3"/>
  <c r="E45" i="3"/>
  <c r="E551" i="3"/>
  <c r="E448" i="3"/>
  <c r="E434" i="3"/>
  <c r="E546" i="3"/>
  <c r="E98" i="3"/>
  <c r="E202" i="3"/>
  <c r="E199" i="3"/>
  <c r="AY6" i="3"/>
  <c r="AC33" i="33"/>
  <c r="W33" i="33"/>
  <c r="E142" i="3"/>
  <c r="E148" i="3"/>
  <c r="E335" i="3"/>
  <c r="E572" i="3"/>
  <c r="E74" i="3"/>
  <c r="E228" i="3"/>
  <c r="E528" i="3"/>
  <c r="E343" i="3"/>
  <c r="E279" i="3"/>
  <c r="E382" i="3"/>
  <c r="E480" i="3"/>
  <c r="E429" i="3"/>
  <c r="E418" i="3"/>
  <c r="E168" i="3"/>
  <c r="E47" i="3"/>
  <c r="E101" i="3"/>
  <c r="E522" i="3"/>
  <c r="E423" i="3"/>
  <c r="E201" i="3"/>
  <c r="E28" i="3"/>
  <c r="E106" i="3"/>
  <c r="E124" i="3"/>
  <c r="E538" i="3"/>
  <c r="E27" i="3"/>
  <c r="E458" i="3"/>
  <c r="E294" i="3"/>
  <c r="E581" i="3"/>
  <c r="E262" i="3"/>
  <c r="E29" i="3"/>
  <c r="E136" i="3"/>
  <c r="E57" i="3"/>
  <c r="E137" i="3"/>
  <c r="E435" i="3"/>
  <c r="C10" i="81"/>
  <c r="C9" i="81"/>
  <c r="C12" i="81"/>
  <c r="C13" i="81" s="1"/>
  <c r="C14" i="81" s="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C6" i="69"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15"/>
  <c r="M27" i="67"/>
  <c r="F41" i="15"/>
  <c r="V48" i="33" l="1"/>
  <c r="I48" i="33" s="1"/>
  <c r="I52" i="33" s="1"/>
  <c r="J52" i="33" s="1"/>
  <c r="T48" i="33"/>
  <c r="G48" i="33" s="1"/>
  <c r="G52" i="33" s="1"/>
  <c r="H52" i="33" s="1"/>
  <c r="V2" i="43"/>
  <c r="C7" i="69"/>
  <c r="U10" i="40"/>
  <c r="AA10" i="40"/>
  <c r="W10" i="40"/>
  <c r="AB10" i="39"/>
  <c r="L36" i="43"/>
  <c r="L37" i="43" s="1"/>
  <c r="P37" i="43" s="1"/>
  <c r="I18" i="81"/>
  <c r="F25" i="12"/>
  <c r="C26" i="12" s="1"/>
  <c r="D25" i="12" s="1"/>
  <c r="H6" i="3"/>
  <c r="E6" i="3" s="1"/>
  <c r="AC6" i="3"/>
  <c r="C48" i="67"/>
  <c r="C60" i="67"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C60" i="15"/>
  <c r="C34" i="9"/>
  <c r="D10" i="68"/>
  <c r="D10" i="69"/>
  <c r="C34" i="69"/>
  <c r="C14" i="67"/>
  <c r="C17" i="15"/>
  <c r="C17" i="67"/>
  <c r="R49" i="33" l="1"/>
  <c r="C48" i="33" s="1"/>
  <c r="D35" i="81" s="1"/>
  <c r="J8" i="81" s="1"/>
  <c r="I53" i="33"/>
  <c r="J53" i="33" s="1"/>
  <c r="G53" i="33"/>
  <c r="H53" i="33" s="1"/>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E6" i="76"/>
  <c r="C14" i="15"/>
  <c r="B6" i="76"/>
  <c r="C49" i="3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9" i="1"/>
  <c r="AO6"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29" i="81" l="1"/>
  <c r="C30" i="81" s="1"/>
  <c r="D37" i="81" l="1"/>
  <c r="E10" i="74" s="1"/>
  <c r="G35" i="81"/>
  <c r="J9" i="81"/>
  <c r="E14" i="74" l="1"/>
  <c r="D14" i="74" s="1"/>
  <c r="B10" i="74"/>
  <c r="C38" i="81"/>
  <c r="C39" i="81" s="1"/>
  <c r="J10" i="81"/>
  <c r="E38" i="81"/>
  <c r="E39" i="81" s="1"/>
  <c r="F14" i="74" l="1"/>
  <c r="B5" i="74"/>
  <c r="D5" i="74" s="1"/>
  <c r="E97" i="9" l="1"/>
  <c r="E96" i="9"/>
  <c r="C96" i="9"/>
  <c r="M55" i="9"/>
  <c r="D59" i="9"/>
  <c r="D9" i="52"/>
  <c r="D123" i="9"/>
  <c r="B22" i="72"/>
  <c r="D6" i="53"/>
  <c r="H5" i="52"/>
  <c r="H119" i="9"/>
  <c r="E81" i="9"/>
  <c r="E80" i="9"/>
  <c r="C80" i="9"/>
  <c r="B48" i="72"/>
  <c r="E4" i="52"/>
  <c r="N60" i="9"/>
  <c r="N59" i="9"/>
  <c r="N61" i="9"/>
  <c r="B31" i="72"/>
  <c r="D15" i="53"/>
  <c r="D5" i="53"/>
  <c r="B20" i="72"/>
  <c r="B21" i="72"/>
  <c r="D7" i="53"/>
  <c r="H4" i="52"/>
  <c r="C104" i="9"/>
  <c r="H102" i="9"/>
  <c r="C5" i="74"/>
  <c r="C73" i="9"/>
  <c r="C78" i="9"/>
  <c r="C85" i="9"/>
  <c r="C95" i="9"/>
  <c r="C97" i="9"/>
  <c r="D58" i="9"/>
  <c r="D56" i="9"/>
  <c r="M54" i="9"/>
  <c r="D122" i="9"/>
  <c r="D8" i="52"/>
  <c r="D119" i="9"/>
  <c r="D5" i="52"/>
  <c r="B49" i="72"/>
  <c r="M48" i="9"/>
  <c r="F119" i="9"/>
  <c r="F5" i="52"/>
  <c r="B53" i="72"/>
  <c r="C86" i="9"/>
  <c r="C93" i="9"/>
  <c r="D53" i="9"/>
  <c r="D52" i="9"/>
  <c r="B30" i="72"/>
  <c r="C64" i="9"/>
  <c r="C63" i="9"/>
  <c r="C67" i="9"/>
  <c r="C68" i="9"/>
  <c r="D54" i="9"/>
  <c r="G4" i="52"/>
  <c r="B52" i="72"/>
  <c r="C72" i="9"/>
  <c r="C79" i="9"/>
  <c r="C81" i="9"/>
  <c r="D13" i="53"/>
  <c r="D14" i="53"/>
  <c r="B32" i="72"/>
  <c r="I4" i="52"/>
  <c r="C105" i="9"/>
  <c r="B47" i="72"/>
  <c r="E118" i="9"/>
  <c r="D118" i="9"/>
  <c r="D4" i="52"/>
  <c r="N58" i="9"/>
  <c r="D45" i="9"/>
  <c r="D55" i="9"/>
  <c r="M53" i="9"/>
  <c r="N57" i="9"/>
  <c r="P57" i="9"/>
  <c r="I118" i="9"/>
  <c r="H118" i="9"/>
  <c r="H101" i="9"/>
  <c r="H107" i="9"/>
  <c r="H108" i="9"/>
  <c r="C6" i="74"/>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F1D5526-F87D-4D2D-8C22-4EC2A160AB1D}">
      <text>
        <r>
          <rPr>
            <b/>
            <sz val="9"/>
            <color indexed="81"/>
            <rFont val="宋体"/>
            <family val="3"/>
            <charset val="134"/>
          </rPr>
          <t>权重验证</t>
        </r>
        <r>
          <rPr>
            <sz val="9"/>
            <color indexed="81"/>
            <rFont val="宋体"/>
            <family val="3"/>
            <charset val="134"/>
          </rPr>
          <t xml:space="preserve">
</t>
        </r>
      </text>
    </comment>
    <comment ref="C58" authorId="1" shapeId="0" xr:uid="{DC78A621-C2F7-4460-9C38-B6850D452791}">
      <text>
        <r>
          <rPr>
            <b/>
            <sz val="12"/>
            <color indexed="81"/>
            <rFont val="宋体"/>
            <family val="3"/>
            <charset val="134"/>
          </rPr>
          <t>价值时点所在月度</t>
        </r>
        <r>
          <rPr>
            <sz val="12"/>
            <color indexed="81"/>
            <rFont val="宋体"/>
            <family val="3"/>
            <charset val="134"/>
          </rPr>
          <t xml:space="preserve">
</t>
        </r>
      </text>
    </comment>
    <comment ref="B102" authorId="1" shapeId="0" xr:uid="{EF1D54B1-70C7-41F7-95F3-2EF1479D5A8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<sst xmlns="http://schemas.openxmlformats.org/spreadsheetml/2006/main" count="8460" uniqueCount="3619">
  <si>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</si>
  <si>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</si>
  <si>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</si>
  <si>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</si>
  <si>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</si>
  <si>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</si>
  <si>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</si>
  <si>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</si>
  <si>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</si>
  <si>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</si>
  <si>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</si>
  <si>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</si>
  <si>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</si>
  <si>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</si>
  <si>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</si>
  <si>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</si>
  <si>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</si>
  <si>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</si>
  <si>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</si>
  <si>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</si>
  <si>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</si>
  <si>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</si>
  <si>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</si>
  <si>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</si>
  <si>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</si>
  <si>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</si>
  <si>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</si>
  <si>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</si>
  <si>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</si>
  <si>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</si>
  <si>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</si>
  <si>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</si>
  <si>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</si>
  <si>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</si>
  <si>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</si>
  <si>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</si>
  <si>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</si>
  <si>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</si>
  <si>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</si>
  <si>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</si>
  <si>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</si>
  <si>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</si>
  <si>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</si>
  <si>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</si>
  <si>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</si>
  <si>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</si>
  <si>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</si>
  <si>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</si>
  <si>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</si>
  <si>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</si>
  <si>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</si>
  <si>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</si>
  <si>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</si>
  <si>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</si>
  <si>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</si>
  <si>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</si>
  <si>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</si>
  <si>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</si>
  <si>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</si>
  <si>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</si>
  <si>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</si>
  <si>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</si>
  <si>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</si>
  <si>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</si>
  <si>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</si>
  <si>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</si>
  <si>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</si>
  <si>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</si>
  <si>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</si>
  <si>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</si>
  <si>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</si>
  <si>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</si>
  <si>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</si>
  <si>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</si>
  <si>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</si>
  <si>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</si>
  <si>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</si>
  <si>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</si>
  <si>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</si>
  <si>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</si>
  <si>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</si>
  <si>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</si>
  <si>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</si>
  <si>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</si>
  <si>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</si>
  <si>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</si>
  <si>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</si>
  <si>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</si>
  <si>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</si>
  <si>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</si>
  <si>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</si>
  <si>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</si>
  <si>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</si>
  <si>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</si>
  <si>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</si>
  <si>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</si>
  <si>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</si>
  <si>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</si>
  <si>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</si>
  <si>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</si>
  <si>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</si>
  <si>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</si>
  <si>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</si>
  <si>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</si>
  <si>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</si>
  <si>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</si>
  <si>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</si>
  <si>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</si>
  <si>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</si>
  <si>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</si>
  <si>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</si>
  <si>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</si>
  <si>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</si>
  <si>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</si>
  <si>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</si>
  <si>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</si>
  <si>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</si>
  <si>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</si>
  <si>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</si>
  <si>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</si>
  <si>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</si>
  <si>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</si>
  <si>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</si>
  <si>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</si>
  <si>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</si>
  <si>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</si>
  <si>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</si>
  <si>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</si>
  <si>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</si>
  <si>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</si>
  <si>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</si>
  <si>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</si>
  <si>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</si>
  <si>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</si>
  <si>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</si>
  <si>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</si>
  <si>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</si>
  <si>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</si>
  <si>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</si>
  <si>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</si>
  <si>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</si>
  <si>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</si>
  <si>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</si>
  <si>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</si>
  <si>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</si>
  <si>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</si>
  <si>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</si>
  <si>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</si>
  <si>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</si>
  <si>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</si>
  <si>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</si>
  <si>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</si>
  <si>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</si>
  <si>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</si>
  <si>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</si>
  <si>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</si>
  <si>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</si>
  <si>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</si>
  <si>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</si>
  <si>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</si>
  <si>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</si>
  <si>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</si>
  <si>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</si>
  <si>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</si>
  <si>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</si>
  <si>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</si>
  <si>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</si>
  <si>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</si>
  <si>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</si>
  <si>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</si>
  <si>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</si>
  <si>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</si>
  <si>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</si>
  <si>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</si>
  <si>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</si>
  <si>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</si>
  <si>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</si>
  <si>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</si>
  <si>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</si>
  <si>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</si>
  <si>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</si>
  <si>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</si>
  <si>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</si>
  <si>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</si>
  <si>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</si>
  <si>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</si>
  <si>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</si>
  <si>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</si>
  <si>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</si>
  <si>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</si>
  <si>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</si>
  <si>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</si>
  <si>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</si>
  <si>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</si>
  <si>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</si>
  <si>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</si>
  <si>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</si>
  <si>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</si>
  <si>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</si>
  <si>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</si>
  <si>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</si>
  <si>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</si>
  <si>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</si>
  <si>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</si>
  <si>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</si>
  <si>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</si>
  <si>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</si>
  <si>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</si>
  <si>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</si>
  <si>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</si>
  <si>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</si>
  <si>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</si>
  <si>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</si>
  <si>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</si>
  <si>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</si>
  <si>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</si>
  <si>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</si>
  <si>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</si>
  <si>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</si>
  <si>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</si>
  <si>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</si>
  <si>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</si>
  <si>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</si>
  <si>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</si>
  <si>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</si>
  <si>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</si>
  <si>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</si>
  <si>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</si>
  <si>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</si>
  <si>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</si>
  <si>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</si>
  <si>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</si>
  <si>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</si>
  <si>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</si>
  <si>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</si>
  <si>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</si>
  <si>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</si>
  <si>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</si>
  <si>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</si>
  <si>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</si>
  <si>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</si>
  <si>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</si>
  <si>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</si>
  <si>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</si>
  <si>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</si>
  <si>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</si>
  <si>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</si>
  <si>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</si>
  <si>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</si>
  <si>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</si>
  <si>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</si>
  <si>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</si>
  <si>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</si>
  <si>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</si>
  <si>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</si>
  <si>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</si>
  <si>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</si>
  <si>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</si>
  <si>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</si>
  <si>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</si>
  <si>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</si>
  <si>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</si>
  <si>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</si>
  <si>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</si>
  <si>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</si>
  <si>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</si>
  <si>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</si>
  <si>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</si>
  <si>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</si>
  <si>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</si>
  <si>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</si>
  <si>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</si>
  <si>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</si>
  <si>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</si>
  <si>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</si>
  <si>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</si>
  <si>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</si>
  <si>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</si>
  <si>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</si>
  <si>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</si>
  <si>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</si>
  <si>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</si>
  <si>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</si>
  <si>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</si>
  <si>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</si>
  <si>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</si>
  <si>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</si>
  <si>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</si>
  <si>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</si>
  <si>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</si>
  <si>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</si>
  <si>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</si>
  <si>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</si>
  <si>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</si>
  <si>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</si>
  <si>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</si>
  <si>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</si>
  <si>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</si>
  <si>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</si>
  <si>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</si>
  <si>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</si>
  <si>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</si>
  <si>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</si>
  <si>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</si>
  <si>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</si>
  <si>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</si>
  <si>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</si>
  <si>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</si>
  <si>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</si>
  <si>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</si>
  <si>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</si>
  <si>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</si>
  <si>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</si>
  <si>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</si>
  <si>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</si>
  <si>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</si>
  <si>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</si>
  <si>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</si>
  <si>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</si>
  <si>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</si>
  <si>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</si>
  <si>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</si>
  <si>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</si>
  <si>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</si>
  <si>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</si>
  <si>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</si>
  <si>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</si>
  <si>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</si>
  <si>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</si>
  <si>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</si>
  <si>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</si>
  <si>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</si>
  <si>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</si>
  <si>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</si>
  <si>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</si>
  <si>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</si>
  <si>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</si>
  <si>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</si>
  <si>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</si>
  <si>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</si>
  <si>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</si>
  <si>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</si>
  <si>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</si>
  <si>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</si>
  <si>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</si>
  <si>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</si>
  <si>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</si>
  <si>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</si>
  <si>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</si>
  <si>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</si>
  <si>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</si>
  <si>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</si>
  <si>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</si>
  <si>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</si>
  <si>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</si>
  <si>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</si>
  <si>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</si>
  <si>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</si>
  <si>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</si>
  <si>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</si>
  <si>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</si>
  <si>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</si>
  <si>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</si>
  <si>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</si>
  <si>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</si>
  <si>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</si>
  <si>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</si>
  <si>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</si>
  <si>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</si>
  <si>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</si>
  <si>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</si>
  <si>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</si>
  <si>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</si>
  <si>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</si>
  <si>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</si>
  <si>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</si>
  <si>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</si>
  <si>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</si>
  <si>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</si>
  <si>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</si>
  <si>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</si>
  <si>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</si>
  <si>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</si>
  <si>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</si>
  <si>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</si>
  <si>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</si>
  <si>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</si>
  <si>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</si>
  <si>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</si>
  <si>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</si>
  <si>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</si>
  <si>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</si>
  <si>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</si>
  <si>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</si>
  <si>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</si>
  <si>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</si>
  <si>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</si>
  <si>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</si>
  <si>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</si>
  <si>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</si>
  <si>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</si>
  <si>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</si>
  <si>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</si>
  <si>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</si>
  <si>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</si>
  <si>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</si>
  <si>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</si>
  <si>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</si>
  <si>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</si>
  <si>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</si>
  <si>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</si>
  <si>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</si>
  <si>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</si>
  <si>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</si>
  <si>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</si>
  <si>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</si>
  <si>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</si>
  <si>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</si>
  <si>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</si>
  <si>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</si>
  <si>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</si>
  <si>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</si>
  <si>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</si>
  <si>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</si>
  <si>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</si>
  <si>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</si>
  <si>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</si>
  <si>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</si>
  <si>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</si>
  <si>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</si>
  <si>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</si>
  <si>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</si>
  <si>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</si>
  <si>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</si>
  <si>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</si>
  <si>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</si>
  <si>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</si>
  <si>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</si>
  <si>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</si>
  <si>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</si>
  <si>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</si>
  <si>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</si>
  <si>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</si>
  <si>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</si>
  <si>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</si>
  <si>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</si>
  <si>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</si>
  <si>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</si>
  <si>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</si>
  <si>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</si>
  <si>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</si>
  <si>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</si>
  <si>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</si>
  <si>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</si>
  <si>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</si>
  <si>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</si>
  <si>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</si>
  <si>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</si>
  <si>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</si>
  <si>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</si>
  <si>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</si>
  <si>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</si>
  <si>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</si>
  <si>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</si>
  <si>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</si>
  <si>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</si>
  <si>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</si>
  <si>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</si>
  <si>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</si>
  <si>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</si>
  <si>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</si>
  <si>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</si>
  <si>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</si>
  <si>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</si>
  <si>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</si>
  <si>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</si>
  <si>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</si>
  <si>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</si>
  <si>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</si>
  <si>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</si>
  <si>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</si>
  <si>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</si>
  <si>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</si>
  <si>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</si>
  <si>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</si>
  <si>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</si>
  <si>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</si>
  <si>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</si>
  <si>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</si>
  <si>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</si>
  <si>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</si>
  <si>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</si>
  <si>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</si>
  <si>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</si>
  <si>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</si>
  <si>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</si>
  <si>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</si>
  <si>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</si>
  <si>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</si>
  <si>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</si>
  <si>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</si>
  <si>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</si>
  <si>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</si>
  <si>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</si>
  <si>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</si>
  <si>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</si>
  <si>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</si>
  <si>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</si>
  <si>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</si>
  <si>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</si>
  <si>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</si>
  <si>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</si>
  <si>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</si>
  <si>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</si>
  <si>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</si>
  <si>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</si>
  <si>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</si>
  <si>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</si>
  <si>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</si>
  <si>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</si>
  <si>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</si>
  <si>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</si>
  <si>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</si>
  <si>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</si>
  <si>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</si>
  <si>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</si>
  <si>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</si>
  <si>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</si>
  <si>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</si>
  <si>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</si>
  <si>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</si>
  <si>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</si>
  <si>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</si>
  <si>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</si>
  <si>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</si>
  <si>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</si>
  <si>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</si>
  <si>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</si>
  <si>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</si>
  <si>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</si>
  <si>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</si>
  <si>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</si>
  <si>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</si>
  <si>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</si>
  <si>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</si>
  <si>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</si>
  <si>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</si>
  <si>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</si>
  <si>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</si>
  <si>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</si>
  <si>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</si>
  <si>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</si>
  <si>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</si>
  <si>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</si>
  <si>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</si>
  <si>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</si>
  <si>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</si>
  <si>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</si>
  <si>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</si>
  <si>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</si>
  <si>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</si>
  <si>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</si>
  <si>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</si>
  <si>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</si>
  <si>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</si>
  <si>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</si>
  <si>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</si>
  <si>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</si>
  <si>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</si>
  <si>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</si>
  <si>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</si>
  <si>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</si>
  <si>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</si>
  <si>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</si>
  <si>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</si>
  <si>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</si>
  <si>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</si>
  <si>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</si>
  <si>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</si>
  <si>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</si>
  <si>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</si>
  <si>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</si>
  <si>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</si>
  <si>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</si>
  <si>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</si>
  <si>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</si>
  <si>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</si>
  <si>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</si>
  <si>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</si>
  <si>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</si>
  <si>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</si>
  <si>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</si>
  <si>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</si>
  <si>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</si>
  <si>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</si>
  <si>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</si>
  <si>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</si>
  <si>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</si>
  <si>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</si>
  <si>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</si>
  <si>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</si>
  <si>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</si>
  <si>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</si>
  <si>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</si>
  <si>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</si>
  <si>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</si>
  <si>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</si>
  <si>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</si>
  <si>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</si>
  <si>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</si>
  <si>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</si>
  <si>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</si>
  <si>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</si>
  <si>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</si>
  <si>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</si>
  <si>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</si>
  <si>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</si>
  <si>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</si>
  <si>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</si>
  <si>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</si>
  <si>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</si>
  <si>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</si>
  <si>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</si>
  <si>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</si>
  <si>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</si>
  <si>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</si>
  <si>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</si>
  <si>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</si>
  <si>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</si>
  <si>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</si>
  <si>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</si>
  <si>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</si>
  <si>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</si>
  <si>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</si>
  <si>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</si>
  <si>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</si>
  <si>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</si>
  <si>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</si>
  <si>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</si>
  <si>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</si>
  <si>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</si>
  <si>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</si>
  <si>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</si>
  <si>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</si>
  <si>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</si>
  <si>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</si>
  <si>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</si>
  <si>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</si>
  <si>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</si>
  <si>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</si>
  <si>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</si>
  <si>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</si>
  <si>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</si>
  <si>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</si>
  <si>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</si>
  <si>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</si>
  <si>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</si>
  <si>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</si>
  <si>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</si>
  <si>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</si>
  <si>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</si>
  <si>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</si>
  <si>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</si>
  <si>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</si>
  <si>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</si>
  <si>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</si>
  <si>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</si>
  <si>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</si>
  <si>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</si>
  <si>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</si>
  <si>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</si>
  <si>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</si>
  <si>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</si>
  <si>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</si>
  <si>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</si>
  <si>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</si>
  <si>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</si>
  <si>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</si>
  <si>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</si>
  <si>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</si>
  <si>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</si>
  <si>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</si>
  <si>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</si>
  <si>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</si>
  <si>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</si>
  <si>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</si>
  <si>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</si>
  <si>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</si>
  <si>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</si>
  <si>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</si>
  <si>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</si>
  <si>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</si>
  <si>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</si>
  <si>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</si>
  <si>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</si>
  <si>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</si>
  <si>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</si>
  <si>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</si>
  <si>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</si>
  <si>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</si>
  <si>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</si>
  <si>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</si>
  <si>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</si>
  <si>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</si>
  <si>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</si>
  <si>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</si>
  <si>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</si>
  <si>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</si>
  <si>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</si>
  <si>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</si>
  <si>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</si>
  <si>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</si>
  <si>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</si>
  <si>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</si>
  <si>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</si>
  <si>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</si>
  <si>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</si>
  <si>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</si>
  <si>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</si>
  <si>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</si>
  <si>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</si>
  <si>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</si>
  <si>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</si>
  <si>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</si>
  <si>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</si>
  <si>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</si>
  <si>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</si>
  <si>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</si>
  <si>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</si>
  <si>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</si>
  <si>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</si>
  <si>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</si>
  <si>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</si>
  <si>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</si>
  <si>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</si>
  <si>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</si>
  <si>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</si>
  <si>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</si>
  <si>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</si>
  <si>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</si>
  <si>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</si>
  <si>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</si>
  <si>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</si>
  <si>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</si>
  <si>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</si>
  <si>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</si>
  <si>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</si>
  <si>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</si>
  <si>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</si>
  <si>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</si>
  <si>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</si>
  <si>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</si>
  <si>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</si>
  <si>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</si>
  <si>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</si>
  <si>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</si>
  <si>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</si>
  <si>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</si>
  <si>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</si>
  <si>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</si>
  <si>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</si>
  <si>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</si>
  <si>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</si>
  <si>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</si>
  <si>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</si>
  <si>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</si>
  <si>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</si>
  <si>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</si>
  <si>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</si>
  <si>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</si>
  <si>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</si>
  <si>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</si>
  <si>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</si>
  <si>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</si>
  <si>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</si>
  <si>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</si>
  <si>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</si>
  <si>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</si>
  <si>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</si>
  <si>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</si>
  <si>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</si>
  <si>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</si>
  <si>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</si>
  <si>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</si>
  <si>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</si>
  <si>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</si>
  <si>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</si>
  <si>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</si>
  <si>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</si>
  <si>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</si>
  <si>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</si>
  <si>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</si>
  <si>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</si>
  <si>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</si>
  <si>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</si>
  <si>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</si>
  <si>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</si>
  <si>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</si>
  <si>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</si>
  <si>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</si>
  <si>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</si>
  <si>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</si>
  <si>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</si>
  <si>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</si>
  <si>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</si>
  <si>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</si>
  <si>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</si>
  <si>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</si>
  <si>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</si>
  <si>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</si>
  <si>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</si>
  <si>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</si>
  <si>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</si>
  <si>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</si>
  <si>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</si>
  <si>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</si>
  <si>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</si>
  <si>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</si>
  <si>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</si>
  <si>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</si>
  <si>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</si>
  <si>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</si>
  <si>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</si>
  <si>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</si>
  <si>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</si>
  <si>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</si>
  <si>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</si>
  <si>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</si>
  <si>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</si>
  <si>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</si>
  <si>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</si>
  <si>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</si>
  <si>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</si>
  <si>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</si>
  <si>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</si>
  <si>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</si>
  <si>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</si>
  <si>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</si>
  <si>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</si>
  <si>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</si>
  <si>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</si>
  <si>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</si>
  <si>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</si>
  <si>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</si>
  <si>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</si>
  <si>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</si>
  <si>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</si>
  <si>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</si>
  <si>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</si>
  <si>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</si>
  <si>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</si>
  <si>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</si>
  <si>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</si>
  <si>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</si>
  <si>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</si>
  <si>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</si>
  <si>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</si>
  <si>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</si>
  <si>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</si>
  <si>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</si>
  <si>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</si>
  <si>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</si>
  <si>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</si>
  <si>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</si>
  <si>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</si>
  <si>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</si>
  <si>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</si>
  <si>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</si>
  <si>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</si>
  <si>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</si>
  <si>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</si>
  <si>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</si>
  <si>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</si>
  <si>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</si>
  <si>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</si>
  <si>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</si>
  <si>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</si>
  <si>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</si>
  <si>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</si>
  <si>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</si>
  <si>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</si>
  <si>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</si>
  <si>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</si>
  <si>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</si>
  <si>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</si>
  <si>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</si>
  <si>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</si>
  <si>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</si>
  <si>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</si>
  <si>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</si>
  <si>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</si>
  <si>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</si>
  <si>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</si>
  <si>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</si>
  <si>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</si>
  <si>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</si>
  <si>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</si>
  <si>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</si>
  <si>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</si>
  <si>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</si>
  <si>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</si>
  <si>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</si>
  <si>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</si>
  <si>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</si>
  <si>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</si>
  <si>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</si>
  <si>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</si>
  <si>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</si>
  <si>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</si>
  <si>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</si>
  <si>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</si>
  <si>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</si>
  <si>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</si>
  <si>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</si>
  <si>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</si>
  <si>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</si>
  <si>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</si>
  <si>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</si>
  <si>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</si>
  <si>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</si>
  <si>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</si>
  <si>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</si>
  <si>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</si>
  <si>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</si>
  <si>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</si>
  <si>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</si>
  <si>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</si>
  <si>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</si>
  <si>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</si>
  <si>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</si>
  <si>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</si>
  <si>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</si>
  <si>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</si>
  <si>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</si>
  <si>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</si>
  <si>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</si>
  <si>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</si>
  <si>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</si>
  <si>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</si>
  <si>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</si>
  <si>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</si>
  <si>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</si>
  <si>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</si>
  <si>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</si>
  <si>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</si>
  <si>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</si>
  <si>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</si>
  <si>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</si>
  <si>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</si>
  <si>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</si>
  <si>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</si>
  <si>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</si>
  <si>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</si>
  <si>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</si>
  <si>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</si>
  <si>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</si>
  <si>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</si>
  <si>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</si>
  <si>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</si>
  <si>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</si>
  <si>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</si>
  <si>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</si>
  <si>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</si>
  <si>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</si>
  <si>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</si>
  <si>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</si>
  <si>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</si>
  <si>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</si>
  <si>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</si>
  <si>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</si>
  <si>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</si>
  <si>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</si>
  <si>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</si>
  <si>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</si>
  <si>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</si>
  <si>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</si>
  <si>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</si>
  <si>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</si>
  <si>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</si>
  <si>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</si>
  <si>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</si>
  <si>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</si>
  <si>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</si>
  <si>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</si>
  <si>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</si>
  <si>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</si>
  <si>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</si>
  <si>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</si>
  <si>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</si>
  <si>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</si>
  <si>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</si>
  <si>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</si>
  <si>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</si>
  <si>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</si>
  <si>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</si>
  <si>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</si>
  <si>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</si>
  <si>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</si>
  <si>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</si>
  <si>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</si>
  <si>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</si>
  <si>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</si>
  <si>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</si>
  <si>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</si>
  <si>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</si>
  <si>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</si>
  <si>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</si>
  <si>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</si>
  <si>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</si>
  <si>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</si>
  <si>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</si>
  <si>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</si>
  <si>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</si>
  <si>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</si>
  <si>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</si>
  <si>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</si>
  <si>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</si>
  <si>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</si>
  <si>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</si>
  <si>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</si>
  <si>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</si>
  <si>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</si>
  <si>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</si>
  <si>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</si>
  <si>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</si>
  <si>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</si>
  <si>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</si>
  <si>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</si>
  <si>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</si>
  <si>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</si>
  <si>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</si>
  <si>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</si>
  <si>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</si>
  <si>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</si>
  <si>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</si>
  <si>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</si>
  <si>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</si>
  <si>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</si>
  <si>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</si>
  <si>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</si>
  <si>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</si>
  <si>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</si>
  <si>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</si>
  <si>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</si>
  <si>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</si>
  <si>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</si>
  <si>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</si>
  <si>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</si>
  <si>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</si>
  <si>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</si>
  <si>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</si>
  <si>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</si>
  <si>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</si>
  <si>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</si>
  <si>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</si>
  <si>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</si>
  <si>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</si>
  <si>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</si>
  <si>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</si>
  <si>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</si>
  <si>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</si>
  <si>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</si>
  <si>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</si>
  <si>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</si>
  <si>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</si>
  <si>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</si>
  <si>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</si>
  <si>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</si>
  <si>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</si>
  <si>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</si>
  <si>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</si>
  <si>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</si>
  <si>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</si>
  <si>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</si>
  <si>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</si>
  <si>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</si>
  <si>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</si>
  <si>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</si>
  <si>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</si>
  <si>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</si>
  <si>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</si>
  <si>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</si>
  <si>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</si>
  <si>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</si>
  <si>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</si>
  <si>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</si>
  <si>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</si>
  <si>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</si>
  <si>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</si>
  <si>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</si>
  <si>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</si>
  <si>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</si>
  <si>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</si>
  <si>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</si>
  <si>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</si>
  <si>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</si>
  <si>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</si>
  <si>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</si>
  <si>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</si>
  <si>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</si>
  <si>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</si>
  <si>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</si>
  <si>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</si>
  <si>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</si>
  <si>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</si>
  <si>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</si>
  <si>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</si>
  <si>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</si>
  <si>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</si>
  <si>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</si>
  <si>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</si>
  <si>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</si>
  <si>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</si>
  <si>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</si>
  <si>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</si>
  <si>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</si>
  <si>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</si>
  <si>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</si>
  <si>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</si>
  <si>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</si>
  <si>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</si>
  <si>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</si>
  <si>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</si>
  <si>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</si>
  <si>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</si>
  <si>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</si>
  <si>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</si>
  <si>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</si>
  <si>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</si>
  <si>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</si>
  <si>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</si>
  <si>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</si>
  <si>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</si>
  <si>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</si>
  <si>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</si>
  <si>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</si>
  <si>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</si>
  <si>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</si>
  <si>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</si>
  <si>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</si>
  <si>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</si>
  <si>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</si>
  <si>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</si>
  <si>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</si>
  <si>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</si>
  <si>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</si>
  <si>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</si>
  <si>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</si>
  <si>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</si>
  <si>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</si>
  <si>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</si>
  <si>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</si>
  <si>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</si>
  <si>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</si>
  <si>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</si>
  <si>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</si>
  <si>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</si>
  <si>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</si>
  <si>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</si>
  <si>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</si>
  <si>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</si>
  <si>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</si>
  <si>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</si>
  <si>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</si>
  <si>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</si>
  <si>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</si>
  <si>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</si>
  <si>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</si>
  <si>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</si>
  <si>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</si>
  <si>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</si>
  <si>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</si>
  <si>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</si>
  <si>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</si>
  <si>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</si>
  <si>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</si>
  <si>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</si>
  <si>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</si>
  <si>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</si>
  <si>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</si>
  <si>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</si>
  <si>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</si>
  <si>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</si>
  <si>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</si>
  <si>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</si>
  <si>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</si>
  <si>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</si>
  <si>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</si>
  <si>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</si>
  <si>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</si>
  <si>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</si>
  <si>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</si>
  <si>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</si>
  <si>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</si>
  <si>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</si>
  <si>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</si>
  <si>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</si>
  <si>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</si>
  <si>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</si>
  <si>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</si>
  <si>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</si>
  <si>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</si>
  <si>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</si>
  <si>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</si>
  <si>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</si>
  <si>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</si>
  <si>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</si>
  <si>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</si>
  <si>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</si>
  <si>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</si>
  <si>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</si>
  <si>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</si>
  <si>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</si>
  <si>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</si>
  <si>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</si>
  <si>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</si>
  <si>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</si>
  <si>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</si>
  <si>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</si>
  <si>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</si>
  <si>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</si>
  <si>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</si>
  <si>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</si>
  <si>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</si>
  <si>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</si>
  <si>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</si>
  <si>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</si>
  <si>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</si>
  <si>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</si>
  <si>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</si>
  <si>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</si>
  <si>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</si>
  <si>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</si>
  <si>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</si>
  <si>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</si>
  <si>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</si>
  <si>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</si>
  <si>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</si>
  <si>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</si>
  <si>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</si>
  <si>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</si>
  <si>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</si>
  <si>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</si>
  <si>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</si>
  <si>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</si>
  <si>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</si>
  <si>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</si>
  <si>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</si>
  <si>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</si>
  <si>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</si>
  <si>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</si>
  <si>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</si>
  <si>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</si>
  <si>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</si>
  <si>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</si>
  <si>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</si>
  <si>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</si>
  <si>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</si>
  <si>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</si>
  <si>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</si>
  <si>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</si>
  <si>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</si>
  <si>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</si>
  <si>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</si>
  <si>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</si>
  <si>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</si>
  <si>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</si>
  <si>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</si>
  <si>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</si>
  <si>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</si>
  <si>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</si>
  <si>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</si>
  <si>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</si>
  <si>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</si>
  <si>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</si>
  <si>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</si>
  <si>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</si>
  <si>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</si>
  <si>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</si>
  <si>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</si>
  <si>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</si>
  <si>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</si>
  <si>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</si>
  <si>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</si>
  <si>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</si>
  <si>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</si>
  <si>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</si>
  <si>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</si>
  <si>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</si>
  <si>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</si>
  <si>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</si>
  <si>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</si>
  <si>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</si>
  <si>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</si>
  <si>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</si>
  <si>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</si>
  <si>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</si>
  <si>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</si>
  <si>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</si>
  <si>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</si>
  <si>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</si>
  <si>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</si>
  <si>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</si>
  <si>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</si>
  <si>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</si>
  <si>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</si>
  <si>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</si>
  <si>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</si>
  <si>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</si>
  <si>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</si>
  <si>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</si>
  <si>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</si>
  <si>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</si>
  <si>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</si>
  <si>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</si>
  <si>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</si>
  <si>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</si>
  <si>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</si>
  <si>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</si>
  <si>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</si>
  <si>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</si>
  <si>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</si>
  <si>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</si>
  <si>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</si>
  <si>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</si>
  <si>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</si>
  <si>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</si>
  <si>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</si>
  <si>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</si>
  <si>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</si>
  <si>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</si>
  <si>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</si>
  <si>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</si>
  <si>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</si>
  <si>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</si>
  <si>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</si>
  <si>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</si>
  <si>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</si>
  <si>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</si>
  <si>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</si>
  <si>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</si>
  <si>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</si>
  <si>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</si>
  <si>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</si>
  <si>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</si>
  <si>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</si>
  <si>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</si>
  <si>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</si>
  <si>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</si>
  <si>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</si>
  <si>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</si>
  <si>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</si>
  <si>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</si>
  <si>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</si>
  <si>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</si>
  <si>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</si>
  <si>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</si>
  <si>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</si>
  <si>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</si>
  <si>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</si>
  <si>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</si>
  <si>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</si>
  <si>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</si>
  <si>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</si>
  <si>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</si>
  <si>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</si>
  <si>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</si>
  <si>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</si>
  <si>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</si>
  <si>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</si>
  <si>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</si>
  <si>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</si>
  <si>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</si>
  <si>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</si>
  <si>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</si>
  <si>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</si>
  <si>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</si>
  <si>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</si>
  <si>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</si>
  <si>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</si>
  <si>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</si>
  <si>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</si>
  <si>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</si>
  <si>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</si>
  <si>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</si>
  <si>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</si>
  <si>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</si>
  <si>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</si>
  <si>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</si>
  <si>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</si>
  <si>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</si>
  <si>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</si>
  <si>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</si>
  <si>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</si>
  <si>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</si>
  <si>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</si>
  <si>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</si>
  <si>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</si>
  <si>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</si>
  <si>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</si>
  <si>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</si>
  <si>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</si>
  <si>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</si>
  <si>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</si>
  <si>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</si>
  <si>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</si>
  <si>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</si>
  <si>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</si>
  <si>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</si>
  <si>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</si>
  <si>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</si>
  <si>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</si>
  <si>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</si>
  <si>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</si>
  <si>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</si>
  <si>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</si>
  <si>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</si>
  <si>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</si>
  <si>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</si>
  <si>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</si>
  <si>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</si>
  <si>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</si>
  <si>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</si>
  <si>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</si>
  <si>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</si>
  <si>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</si>
  <si>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</si>
  <si>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</si>
  <si>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</si>
  <si>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</si>
  <si>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</si>
  <si>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</si>
  <si>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</si>
  <si>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</si>
  <si>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</si>
  <si>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</si>
  <si>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</si>
  <si>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</si>
  <si>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</si>
  <si>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</si>
  <si>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</si>
  <si>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</si>
  <si>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</si>
  <si>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</si>
  <si>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</si>
  <si>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</si>
  <si>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</si>
  <si>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</si>
  <si>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</si>
  <si>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</si>
  <si>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</si>
  <si>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</si>
  <si>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</si>
  <si>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</si>
  <si>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</si>
  <si>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</si>
  <si>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</si>
  <si>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</si>
  <si>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</si>
  <si>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</si>
  <si>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</si>
  <si>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</si>
  <si>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</si>
  <si>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</si>
  <si>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</si>
  <si>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</si>
  <si>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</si>
  <si>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</si>
  <si>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</si>
  <si>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</si>
  <si>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</si>
  <si>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</si>
  <si>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</si>
  <si>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</si>
  <si>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</si>
  <si>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</si>
  <si>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</si>
  <si>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</si>
  <si>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</si>
  <si>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</si>
  <si>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</si>
  <si>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</si>
  <si>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</si>
  <si>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</si>
  <si>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</si>
  <si>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</si>
  <si>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</si>
  <si>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</si>
  <si>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</si>
  <si>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</si>
  <si>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</si>
  <si>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</si>
  <si>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</si>
  <si>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</si>
  <si>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</si>
  <si>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</si>
  <si>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</si>
  <si>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</si>
  <si>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</si>
  <si>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</si>
  <si>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</si>
  <si>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</si>
  <si>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</si>
  <si>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</si>
  <si>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</si>
  <si>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</si>
  <si>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</si>
  <si>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</si>
  <si>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</si>
  <si>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</si>
  <si>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</si>
  <si>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</si>
  <si>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</si>
  <si>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</si>
  <si>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</si>
  <si>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</si>
  <si>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</si>
  <si>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</si>
  <si>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</si>
  <si>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</si>
  <si>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</si>
  <si>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</si>
  <si>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</si>
  <si>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</si>
  <si>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</si>
  <si>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</si>
  <si>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</si>
  <si>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</si>
  <si>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</si>
  <si>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</si>
  <si>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</si>
  <si>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</si>
  <si>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</si>
  <si>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</si>
  <si>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</si>
  <si>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</si>
  <si>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</si>
  <si>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</si>
  <si>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</si>
  <si>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</si>
  <si>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</si>
  <si>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</si>
  <si>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</si>
  <si>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</si>
  <si>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</si>
  <si>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</si>
  <si>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</si>
  <si>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</si>
  <si>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</si>
  <si>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</si>
  <si>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</si>
  <si>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</si>
  <si>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</si>
  <si>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</si>
  <si>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</si>
  <si>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</si>
  <si>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</si>
  <si>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</si>
  <si>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</si>
  <si>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</si>
  <si>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</si>
  <si>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</si>
  <si>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</si>
  <si>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</si>
  <si>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</si>
  <si>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</si>
  <si>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</si>
  <si>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</si>
  <si>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</si>
  <si>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</si>
  <si>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</si>
  <si>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</si>
  <si>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</si>
  <si>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</si>
  <si>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</si>
  <si>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</si>
  <si>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</si>
  <si>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</si>
  <si>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</si>
  <si>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</si>
  <si>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</si>
  <si>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</si>
  <si>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</si>
  <si>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</si>
  <si>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</si>
  <si>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</si>
  <si>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</si>
  <si>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</si>
  <si>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</si>
  <si>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</si>
  <si>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</si>
  <si>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</si>
  <si>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</si>
  <si>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</si>
  <si>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</si>
  <si>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</si>
  <si>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</si>
  <si>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</si>
  <si>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</si>
  <si>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</si>
  <si>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</si>
  <si>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</si>
  <si>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</si>
  <si>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</si>
  <si>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</si>
  <si>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</si>
  <si>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</si>
  <si>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</si>
  <si>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</si>
  <si>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</si>
  <si>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</si>
  <si>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</si>
  <si>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</si>
  <si>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</si>
  <si>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</si>
  <si>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</si>
  <si>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</si>
  <si>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</si>
  <si>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</si>
  <si>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</si>
  <si>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</si>
  <si>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</si>
  <si>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</si>
  <si>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</si>
  <si>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</si>
  <si>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</si>
  <si>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</si>
  <si>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</si>
  <si>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</si>
  <si>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</si>
  <si>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</si>
  <si>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</si>
  <si>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</si>
  <si>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</si>
  <si>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</si>
  <si>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</si>
  <si>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</si>
  <si>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</si>
  <si>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</si>
  <si>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</si>
  <si>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</si>
  <si>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</si>
  <si>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</si>
  <si>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</si>
  <si>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</si>
  <si>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</si>
  <si>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</si>
  <si>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</si>
  <si>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</si>
  <si>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</si>
  <si>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</si>
  <si>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</si>
  <si>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</si>
  <si>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</si>
  <si>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</si>
  <si>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</si>
  <si>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</si>
  <si>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</si>
  <si>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</si>
  <si>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</si>
  <si>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</si>
  <si>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</si>
  <si>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</si>
  <si>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</si>
  <si>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</si>
  <si>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</si>
  <si>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</si>
  <si>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</si>
  <si>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</si>
  <si>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</si>
  <si>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</si>
  <si>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</si>
  <si>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</si>
  <si>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</si>
  <si>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</si>
  <si>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</si>
  <si>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</si>
  <si>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</si>
  <si>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</si>
  <si>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</si>
  <si>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</si>
  <si>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</si>
  <si>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</si>
  <si>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</si>
  <si>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</si>
  <si>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</si>
  <si>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</si>
  <si>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</si>
  <si>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</si>
  <si>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</si>
  <si>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</si>
  <si>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</si>
  <si>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</si>
  <si>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</si>
  <si>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</si>
  <si>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</si>
  <si>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</si>
  <si>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</si>
  <si>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</si>
  <si>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</si>
  <si>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</si>
  <si>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</si>
  <si>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</si>
  <si>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</si>
  <si>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</si>
  <si>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</si>
  <si>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</si>
  <si>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</si>
  <si>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</si>
  <si>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</si>
  <si>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</si>
  <si>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</si>
  <si>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</si>
  <si>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</si>
  <si>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</si>
  <si>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</si>
  <si>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</si>
  <si>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</si>
  <si>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</si>
  <si>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</si>
  <si>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</si>
  <si>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</si>
  <si>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</si>
  <si>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</si>
  <si>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</si>
  <si>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</si>
  <si>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</si>
  <si>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</si>
  <si>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</si>
  <si>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</si>
  <si>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</si>
  <si>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</si>
  <si>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</si>
  <si>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</si>
  <si>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</si>
  <si>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</si>
  <si>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</si>
  <si>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</si>
  <si>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</si>
  <si>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</si>
  <si>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</si>
  <si>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</si>
  <si>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</si>
  <si>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</si>
  <si>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</si>
  <si>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</si>
  <si>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</si>
  <si>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</si>
  <si>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</si>
  <si>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</si>
  <si>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</si>
  <si>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</si>
  <si>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</si>
  <si>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</si>
  <si>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</si>
  <si>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</si>
  <si>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</si>
  <si>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</si>
  <si>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</si>
  <si>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</si>
  <si>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</si>
  <si>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</si>
  <si>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</si>
  <si>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</si>
  <si>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</si>
  <si>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</si>
  <si>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</si>
  <si>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</si>
  <si>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</si>
  <si>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</si>
  <si>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</si>
  <si>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</si>
  <si>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</si>
  <si>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</si>
  <si>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</si>
  <si>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</si>
  <si>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</si>
  <si>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</si>
  <si>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</si>
  <si>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</si>
  <si>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</si>
  <si>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</si>
  <si>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</si>
  <si>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</si>
  <si>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</si>
  <si>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</si>
  <si>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</si>
  <si>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</si>
  <si>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</si>
  <si>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</si>
  <si>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</si>
  <si>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</si>
  <si>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</si>
  <si>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</si>
  <si>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</si>
  <si>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</si>
  <si>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</si>
  <si>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</si>
  <si>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</si>
  <si>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</si>
  <si>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</si>
  <si>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</si>
  <si>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</si>
  <si>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</si>
  <si>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</si>
  <si>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</si>
  <si>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</si>
  <si>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</si>
  <si>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</si>
  <si>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</si>
  <si>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</si>
  <si>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</si>
  <si>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</si>
  <si>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</si>
  <si>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</si>
  <si>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</si>
  <si>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</si>
  <si>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</si>
  <si>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</si>
  <si>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</si>
  <si>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</si>
  <si>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</si>
  <si>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</si>
  <si>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</si>
  <si>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</si>
  <si>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</si>
  <si>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</si>
  <si>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</si>
  <si>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</si>
  <si>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</si>
  <si>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</si>
  <si>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</si>
  <si>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</si>
  <si>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</si>
  <si>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</si>
  <si>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</si>
  <si>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</si>
  <si>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</si>
  <si>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</si>
  <si>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</si>
  <si>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</si>
  <si>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</si>
  <si>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</si>
  <si>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</si>
  <si>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</si>
  <si>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</si>
  <si>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</si>
  <si>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</si>
  <si>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</si>
  <si>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</si>
  <si>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</si>
  <si>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</si>
  <si>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</si>
  <si>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</si>
  <si>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</si>
  <si>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</si>
  <si>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</si>
  <si>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</si>
  <si>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</si>
  <si>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</si>
  <si>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</si>
  <si>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</si>
  <si>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</si>
  <si>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</si>
  <si>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</si>
  <si>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</si>
  <si>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</si>
  <si>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</si>
  <si>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</si>
  <si>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</si>
  <si>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</si>
  <si>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</si>
  <si>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</si>
  <si>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</si>
  <si>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</si>
  <si>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</si>
  <si>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</si>
  <si>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</si>
  <si>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</si>
  <si>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</si>
  <si>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</si>
  <si>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</si>
  <si>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</si>
  <si>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</si>
  <si>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</si>
  <si>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</si>
  <si>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</si>
  <si>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</si>
  <si>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</si>
  <si>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</si>
  <si>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</si>
  <si>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</si>
  <si>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</si>
  <si>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</si>
  <si>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</si>
  <si>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</si>
  <si>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</si>
  <si>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</si>
  <si>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</si>
  <si>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</si>
  <si>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</si>
  <si>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</si>
  <si>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</si>
  <si>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</si>
  <si>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</si>
  <si>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</si>
  <si>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</si>
  <si>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</si>
  <si>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</si>
  <si>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</si>
  <si>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</si>
  <si>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</si>
  <si>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</si>
  <si>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</si>
  <si>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</si>
  <si>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</si>
  <si>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</si>
  <si>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</si>
  <si>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</si>
  <si>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</si>
  <si>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</si>
  <si>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</si>
  <si>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</si>
  <si>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</si>
  <si>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</si>
  <si>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</si>
  <si>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</si>
  <si>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</si>
  <si>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</si>
  <si>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</si>
  <si>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</si>
  <si>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</si>
  <si>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</si>
  <si>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</si>
  <si>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</si>
  <si>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</si>
  <si>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</si>
  <si>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</si>
  <si>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</si>
  <si>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</si>
  <si>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</si>
  <si>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</si>
  <si>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</si>
  <si>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</si>
  <si>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</si>
  <si>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</si>
  <si>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</si>
  <si>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</si>
  <si>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</si>
  <si>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</si>
  <si>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</si>
  <si>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</si>
  <si>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</si>
  <si>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</si>
  <si>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</si>
  <si>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</si>
  <si>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</si>
  <si>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</si>
  <si>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</si>
  <si>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</si>
  <si>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</si>
  <si>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</si>
  <si>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</si>
  <si>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</si>
  <si>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</si>
  <si>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</si>
  <si>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</si>
  <si>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</si>
  <si>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</si>
  <si>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</si>
  <si>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</si>
  <si>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</si>
  <si>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</si>
  <si>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</si>
  <si>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</si>
  <si>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</si>
  <si>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</si>
  <si>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</si>
  <si>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</si>
  <si>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</si>
  <si>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</si>
  <si>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</si>
  <si>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</si>
  <si>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</si>
  <si>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</si>
  <si>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</si>
  <si>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</si>
  <si>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</si>
  <si>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</si>
  <si>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</si>
  <si>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</si>
  <si>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</si>
  <si>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</si>
  <si>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</si>
  <si>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</si>
  <si>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</si>
  <si>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</si>
  <si>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</si>
  <si>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</si>
  <si>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</si>
  <si>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</si>
  <si>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</si>
  <si>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</si>
  <si>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</si>
  <si>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</si>
  <si>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</si>
  <si>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</si>
  <si>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</si>
  <si>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</si>
  <si>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</si>
  <si>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</si>
  <si>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</si>
  <si>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</si>
  <si>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</si>
  <si>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</si>
  <si>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</si>
  <si>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</si>
  <si>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</si>
  <si>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</si>
  <si>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</si>
  <si>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</si>
  <si>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</si>
  <si>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</si>
  <si>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</si>
  <si>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</si>
  <si>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</si>
  <si>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</si>
  <si>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</si>
  <si>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</si>
  <si>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</si>
  <si>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</si>
  <si>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</si>
  <si>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</si>
  <si>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</si>
  <si>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</si>
  <si>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</si>
  <si>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</si>
  <si>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</si>
  <si>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</si>
  <si>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</si>
  <si>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</si>
  <si>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</si>
  <si>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</si>
  <si>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</si>
  <si>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</si>
  <si>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</si>
  <si>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</si>
  <si>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</si>
  <si>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</si>
  <si>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</si>
  <si>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</si>
  <si>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</si>
  <si>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</si>
  <si>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</si>
  <si>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</si>
  <si>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</si>
  <si>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</si>
  <si>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</si>
  <si>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</si>
  <si>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</si>
  <si>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</si>
  <si>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</si>
  <si>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</si>
  <si>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</si>
  <si>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</si>
  <si>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</si>
  <si>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</si>
  <si>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</si>
  <si>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</si>
  <si>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</si>
  <si>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</si>
  <si>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</si>
  <si>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</si>
  <si>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</si>
  <si>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</si>
  <si>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</si>
  <si>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</si>
  <si>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</si>
  <si>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</si>
  <si>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</si>
  <si>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</si>
  <si>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</si>
  <si>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</si>
  <si>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</si>
  <si>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</si>
  <si>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</si>
  <si>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</si>
  <si>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</si>
  <si>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</si>
  <si>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</si>
  <si>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</si>
  <si>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</si>
  <si>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</si>
  <si>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</si>
  <si>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</si>
  <si>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</si>
  <si>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</si>
  <si>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</si>
  <si>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</si>
  <si>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</si>
  <si>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</si>
  <si>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</si>
  <si>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</si>
  <si>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</si>
  <si>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</si>
  <si>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</si>
  <si>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</si>
  <si>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</si>
  <si>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</si>
  <si>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</si>
  <si>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</si>
  <si>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</si>
  <si>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</si>
  <si>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</si>
  <si>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</si>
  <si>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</si>
  <si>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</si>
  <si>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</si>
  <si>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</si>
  <si>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</si>
  <si>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</si>
  <si>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</si>
  <si>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</si>
  <si>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</si>
  <si>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</si>
  <si>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</si>
  <si>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</si>
  <si>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</si>
  <si>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</si>
  <si>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</si>
  <si>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</si>
  <si>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</si>
  <si>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</si>
  <si>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</si>
  <si>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</si>
  <si>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</si>
  <si>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</si>
  <si>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</si>
  <si>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</si>
  <si>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</si>
  <si>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</si>
  <si>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</si>
  <si>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</si>
  <si>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</si>
  <si>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</si>
  <si>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</si>
  <si>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</si>
  <si>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</si>
  <si>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</si>
  <si>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</si>
  <si>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</si>
  <si>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</si>
  <si>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</si>
  <si>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</si>
  <si>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</si>
  <si>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</si>
  <si>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</si>
  <si>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</si>
  <si>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</si>
  <si>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</si>
  <si>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</si>
  <si>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</si>
  <si>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</si>
  <si>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</si>
  <si>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</si>
  <si>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</si>
  <si>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</si>
  <si>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</si>
  <si>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</si>
  <si>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</si>
  <si>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</si>
  <si>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</si>
  <si>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</si>
  <si>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</si>
  <si>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</si>
  <si>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</si>
  <si>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</si>
  <si>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</si>
  <si>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</si>
  <si>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</si>
  <si>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</si>
  <si>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</si>
  <si>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</si>
  <si>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</si>
  <si>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</si>
  <si>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</si>
  <si>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</si>
  <si>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</si>
  <si>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</si>
  <si>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</si>
  <si>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</si>
  <si>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</si>
  <si>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</si>
  <si>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</si>
  <si>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</si>
  <si>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</si>
  <si>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</si>
  <si>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</si>
  <si>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</si>
  <si>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</si>
  <si>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</si>
  <si>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</si>
  <si>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</si>
  <si>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</si>
  <si>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</si>
  <si>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</si>
  <si>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</si>
  <si>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</si>
  <si>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</si>
  <si>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</si>
  <si>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</si>
  <si>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</si>
  <si>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</si>
  <si>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</si>
  <si>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</si>
  <si>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</si>
  <si>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</si>
  <si>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</si>
  <si>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</si>
  <si>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</si>
  <si>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</si>
  <si>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</si>
  <si>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</si>
  <si>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</si>
  <si>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</si>
  <si>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</si>
  <si>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</si>
  <si>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</si>
  <si>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</si>
  <si>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</si>
  <si>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</si>
  <si>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</si>
  <si>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</si>
  <si>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</si>
  <si>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</si>
  <si>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</si>
  <si>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</si>
  <si>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</si>
  <si>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</si>
  <si>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</si>
  <si>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</si>
  <si>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</si>
  <si>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</si>
  <si>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</si>
  <si>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</si>
  <si>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</si>
  <si>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</si>
  <si>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</si>
  <si>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</si>
  <si>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</si>
  <si>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</si>
  <si>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</si>
  <si>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</si>
  <si>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</si>
  <si>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</si>
  <si>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</si>
  <si>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</si>
  <si>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</si>
  <si>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</si>
  <si>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</si>
  <si>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</si>
  <si>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</si>
  <si>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</si>
  <si>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</si>
  <si>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</si>
  <si>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</si>
  <si>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</si>
  <si>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</si>
  <si>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</si>
  <si>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</si>
  <si>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</si>
  <si>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</si>
  <si>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</si>
  <si>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</si>
  <si>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</si>
  <si>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</si>
  <si>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</si>
  <si>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</si>
  <si>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</si>
  <si>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</si>
  <si>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</si>
  <si>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</si>
  <si>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</si>
  <si>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</si>
  <si>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</si>
  <si>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</si>
  <si>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</si>
  <si>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</si>
  <si>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</si>
  <si>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</si>
  <si>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</si>
  <si>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</si>
  <si>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</si>
  <si>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</si>
  <si>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</si>
  <si>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</si>
  <si>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</si>
  <si>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</si>
  <si>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</si>
  <si>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</si>
  <si>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</si>
  <si>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</si>
  <si>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</si>
  <si>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</si>
  <si>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</si>
  <si>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</si>
  <si>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</si>
  <si>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</si>
  <si>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</si>
  <si>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</si>
  <si>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</si>
  <si>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</si>
  <si>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</si>
  <si>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</si>
  <si>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</si>
  <si>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</si>
  <si>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</si>
  <si>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</si>
  <si>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</si>
  <si>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</si>
  <si>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</si>
  <si>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</si>
  <si>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</si>
  <si>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</si>
  <si>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</si>
  <si>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</si>
  <si>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</si>
  <si>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</si>
  <si>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</si>
  <si>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</si>
  <si>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</si>
  <si>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</si>
  <si>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</si>
  <si>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</si>
  <si>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</si>
  <si>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</si>
  <si>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</si>
  <si>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</si>
  <si>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</si>
  <si>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</si>
  <si>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</si>
  <si>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</si>
  <si>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</si>
  <si>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</si>
  <si>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</si>
  <si>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</si>
  <si>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</si>
  <si>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</si>
  <si>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</si>
  <si>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</si>
  <si>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</si>
  <si>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</si>
  <si>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</si>
  <si>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</si>
  <si>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</si>
  <si>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</si>
  <si>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</si>
  <si>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</si>
  <si>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</si>
  <si>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</si>
  <si>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</si>
  <si>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</si>
  <si>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</si>
  <si>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</si>
  <si>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</si>
  <si>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</si>
  <si>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</si>
  <si>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</si>
  <si>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</si>
  <si>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</si>
  <si>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</si>
  <si>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</si>
  <si>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</si>
  <si>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</si>
  <si>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</si>
  <si>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</si>
  <si>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</si>
  <si>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</si>
  <si>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</si>
  <si>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</si>
  <si>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</si>
  <si>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</si>
  <si>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</si>
  <si>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</si>
  <si>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</si>
  <si>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</si>
  <si>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</si>
  <si>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</si>
  <si>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</si>
  <si>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</si>
  <si>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</si>
  <si>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</si>
  <si>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</si>
  <si>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</si>
  <si>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</si>
  <si>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</si>
  <si>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</si>
  <si>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</si>
  <si>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</si>
  <si>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</si>
  <si>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</si>
  <si>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</si>
  <si>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</si>
  <si>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</si>
  <si>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</si>
  <si>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</si>
  <si>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</si>
  <si>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</si>
  <si>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</si>
  <si>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</si>
  <si>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</si>
  <si>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</si>
  <si>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</si>
  <si>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</si>
  <si>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</si>
  <si>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</si>
  <si>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</si>
  <si>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</si>
  <si>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</si>
  <si>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</si>
  <si>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</si>
  <si>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</si>
  <si>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</si>
  <si>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</si>
  <si>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</si>
  <si>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</si>
  <si>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</si>
  <si>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</si>
  <si>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</si>
  <si>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</si>
  <si>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</si>
  <si>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</si>
  <si>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</si>
  <si>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</si>
  <si>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</si>
  <si>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</si>
  <si>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</si>
  <si>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</si>
  <si>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</si>
  <si>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</si>
  <si>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</si>
  <si>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</si>
  <si>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</si>
  <si>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</si>
  <si>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</si>
  <si>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</si>
  <si>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</si>
  <si>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</si>
  <si>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</si>
  <si>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</si>
  <si>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</si>
  <si>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</si>
  <si>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</si>
  <si>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</si>
  <si>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</si>
  <si>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</si>
  <si>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</si>
  <si>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</si>
  <si>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</si>
  <si>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</si>
  <si>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</si>
  <si>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</si>
  <si>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</si>
  <si>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</si>
  <si>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</si>
  <si>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</si>
  <si>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</si>
  <si>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</si>
  <si>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</si>
  <si>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</si>
  <si>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</si>
  <si>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</si>
  <si>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</si>
  <si>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</si>
  <si>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</si>
  <si>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</si>
  <si>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</si>
  <si>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</si>
  <si>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</si>
  <si>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</si>
  <si>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</si>
  <si>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</si>
  <si>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</si>
  <si>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</si>
  <si>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</si>
  <si>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</si>
  <si>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</si>
  <si>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</si>
  <si>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</si>
  <si>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</si>
  <si>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</si>
  <si>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</si>
  <si>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</si>
  <si>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</si>
  <si>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</si>
  <si>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</si>
  <si>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</si>
  <si>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</si>
  <si>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</si>
  <si>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</si>
  <si>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</si>
  <si>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</si>
  <si>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</si>
  <si>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</si>
  <si>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</si>
  <si>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</si>
  <si>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</si>
  <si>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</si>
  <si>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</si>
  <si>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</si>
  <si>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</si>
  <si>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</si>
  <si>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</si>
  <si>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</si>
  <si>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</si>
  <si>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</si>
  <si>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</si>
  <si>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</si>
  <si>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</si>
  <si>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</si>
  <si>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</si>
  <si>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</si>
  <si>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</si>
  <si>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</si>
  <si>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</si>
  <si>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</si>
  <si>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</si>
  <si>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</si>
  <si>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</si>
  <si>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</si>
  <si>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</si>
  <si>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</si>
  <si>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</si>
  <si>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</si>
  <si>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</si>
  <si>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</si>
  <si>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</si>
  <si>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</si>
  <si>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</si>
  <si>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</si>
  <si>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</si>
  <si>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</si>
  <si>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</si>
  <si>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</si>
  <si>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</si>
  <si>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</si>
  <si>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</si>
  <si>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</si>
  <si>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</si>
  <si>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</si>
  <si>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</si>
  <si>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</si>
  <si>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</si>
  <si>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</si>
  <si>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</si>
  <si>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</si>
  <si>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</si>
  <si>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</si>
  <si>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</si>
  <si>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</si>
  <si>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</si>
  <si>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</si>
  <si>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</si>
  <si>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</si>
  <si>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</si>
  <si>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</si>
  <si>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</si>
  <si>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</si>
  <si>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</si>
  <si>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</si>
  <si>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</si>
  <si>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</si>
  <si>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</si>
  <si>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</si>
  <si>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</si>
  <si>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</si>
  <si>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</si>
  <si>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</si>
  <si>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</si>
  <si>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</si>
  <si>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</si>
  <si>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</si>
  <si>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</si>
  <si>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</si>
  <si>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</si>
  <si>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</si>
  <si>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</si>
  <si>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</si>
  <si>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</si>
  <si>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</si>
  <si>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</si>
  <si>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</si>
  <si>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</si>
  <si>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</si>
  <si>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</si>
  <si>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</si>
  <si>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</si>
  <si>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</si>
  <si>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</si>
  <si>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</si>
  <si>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</si>
  <si>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</si>
  <si>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</si>
  <si>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</si>
  <si>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</si>
  <si>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</si>
  <si>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</si>
  <si>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</si>
  <si>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</si>
  <si>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</si>
  <si>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</si>
  <si>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</si>
  <si>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</si>
  <si>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</si>
  <si>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</si>
  <si>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</si>
  <si>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</si>
  <si>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</si>
  <si>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</si>
  <si>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</si>
  <si>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</si>
  <si>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</si>
  <si>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</si>
  <si>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</si>
  <si>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</si>
  <si>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</si>
  <si>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</si>
  <si>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</si>
  <si>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</si>
  <si>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</si>
  <si>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</si>
  <si>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</si>
  <si>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</si>
  <si>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</si>
  <si>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</si>
  <si>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</si>
  <si>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</si>
  <si>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</si>
  <si>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</si>
  <si>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</si>
  <si>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</si>
  <si>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</si>
  <si>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</si>
  <si>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</si>
  <si>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</si>
  <si>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</si>
  <si>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</si>
  <si>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</si>
  <si>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</si>
  <si>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</si>
  <si>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</si>
  <si>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</si>
  <si>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</si>
  <si>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</si>
  <si>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</si>
  <si>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</si>
  <si>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</si>
  <si>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</si>
  <si>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</si>
  <si>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</si>
  <si>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</si>
  <si>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</si>
  <si>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</si>
  <si>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</si>
  <si>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</si>
  <si>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</si>
  <si>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</si>
  <si>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</si>
  <si>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</si>
  <si>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</si>
  <si>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</si>
  <si>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</si>
  <si>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</si>
  <si>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</si>
  <si>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</si>
  <si>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</si>
  <si>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</si>
  <si>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</si>
  <si>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</si>
  <si>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</si>
  <si>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</si>
  <si>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</si>
  <si>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</si>
  <si>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</si>
  <si>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</si>
  <si>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</si>
  <si>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</si>
  <si>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</si>
  <si>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</si>
  <si>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</si>
  <si>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</si>
  <si>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</si>
  <si>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</si>
  <si>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</si>
  <si>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</si>
  <si>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</si>
  <si>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</si>
  <si>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</si>
  <si>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</si>
  <si>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</si>
  <si>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</si>
  <si>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</si>
  <si>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</si>
  <si>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</si>
  <si>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</si>
  <si>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</si>
  <si>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</si>
  <si>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</si>
  <si>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</si>
  <si>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</si>
  <si>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</si>
  <si>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</si>
  <si>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</si>
  <si>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</si>
  <si>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</si>
  <si>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</si>
  <si>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</si>
  <si>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</si>
  <si>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</si>
  <si>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</si>
  <si>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</si>
  <si>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</si>
  <si>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</si>
  <si>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</si>
  <si>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</si>
  <si>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</si>
  <si>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</si>
  <si>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</si>
  <si>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</si>
  <si>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</si>
  <si>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</si>
  <si>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</si>
  <si>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</si>
  <si>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</si>
  <si>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</si>
  <si>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</si>
  <si>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</si>
  <si>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</si>
  <si>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</si>
  <si>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</si>
  <si>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</si>
  <si>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</si>
  <si>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</si>
  <si>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</si>
  <si>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</si>
  <si>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</si>
  <si>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</si>
  <si>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</si>
  <si>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</si>
  <si>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</si>
  <si>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</si>
  <si>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</si>
  <si>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</si>
  <si>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</si>
  <si>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</si>
  <si>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</si>
  <si>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</si>
  <si>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</si>
  <si>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</si>
  <si>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</si>
  <si>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</si>
  <si>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</si>
  <si>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</si>
  <si>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</si>
  <si>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</si>
  <si>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</si>
  <si>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</si>
  <si>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</si>
  <si>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</si>
  <si>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</si>
  <si>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</si>
  <si>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</si>
  <si>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</si>
  <si>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</si>
  <si>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</si>
  <si>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</si>
  <si>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</si>
  <si>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</si>
  <si>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</si>
  <si>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</si>
  <si>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</si>
  <si>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</si>
  <si>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</si>
  <si>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</si>
  <si>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</si>
  <si>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</si>
  <si>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</si>
  <si>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</si>
  <si>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</si>
  <si>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</si>
  <si>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</si>
  <si>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</si>
  <si>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</si>
  <si>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</si>
  <si>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</si>
  <si>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</si>
  <si>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</si>
  <si>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</si>
  <si>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</si>
  <si>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</si>
  <si>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</si>
  <si>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</si>
  <si>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</si>
  <si>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</si>
  <si>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</si>
  <si>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</si>
  <si>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</si>
  <si>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</si>
  <si>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</si>
  <si>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</si>
  <si>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</si>
  <si>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</si>
  <si>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</si>
  <si>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</si>
  <si>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</si>
  <si>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</si>
  <si>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</si>
  <si>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</si>
  <si>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</si>
  <si>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</si>
  <si>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</si>
  <si>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</si>
  <si>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</si>
  <si>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</si>
  <si>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</si>
  <si>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</si>
  <si>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</si>
  <si>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</si>
  <si>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</si>
  <si>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</si>
  <si>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</si>
  <si>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</si>
  <si>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</si>
  <si>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</si>
  <si>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</si>
  <si>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</si>
  <si>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</si>
  <si>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</si>
  <si>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</si>
  <si>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</si>
  <si>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</si>
  <si>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</si>
  <si>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</si>
  <si>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</si>
  <si>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</si>
  <si>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</si>
  <si>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</si>
  <si>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</si>
  <si>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</si>
  <si>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</si>
  <si>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</si>
  <si>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</si>
  <si>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</si>
  <si>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</si>
  <si>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</si>
  <si>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</si>
  <si>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</si>
  <si>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</si>
  <si>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</si>
  <si>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</si>
  <si>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</si>
  <si>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</si>
  <si>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</si>
  <si>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</si>
  <si>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</si>
  <si>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</si>
  <si>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</si>
  <si>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</si>
  <si>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</si>
  <si>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</si>
  <si>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</si>
  <si>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</si>
  <si>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</si>
  <si>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</si>
  <si>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</si>
  <si>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</si>
  <si>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</si>
  <si>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</si>
  <si>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</si>
  <si>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</si>
  <si>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</si>
  <si>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</si>
  <si>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</si>
  <si>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</si>
  <si>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</si>
  <si>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</si>
  <si>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</si>
  <si>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</si>
  <si>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</si>
  <si>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</si>
  <si>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</si>
  <si>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</si>
  <si>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</si>
  <si>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</si>
  <si>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</si>
  <si>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</si>
  <si>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</si>
  <si>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</si>
  <si>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</si>
  <si>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</si>
  <si>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</si>
  <si>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</si>
  <si>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</si>
  <si>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</si>
  <si>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</si>
  <si>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</si>
  <si>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</si>
  <si>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</si>
  <si>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</si>
  <si>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</si>
  <si>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</si>
  <si>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</si>
  <si>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</si>
  <si>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</si>
  <si>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</si>
  <si>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</si>
  <si>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</si>
  <si>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</si>
  <si>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</si>
  <si>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</si>
  <si>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</si>
  <si>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</si>
  <si>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</si>
  <si>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</si>
  <si>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</si>
  <si>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</si>
  <si>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</si>
  <si>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</si>
  <si>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</si>
  <si>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</si>
  <si>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</si>
  <si>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</si>
  <si>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</si>
  <si>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</si>
  <si>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</si>
  <si>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</si>
  <si>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</si>
  <si>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</si>
  <si>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</si>
  <si>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</si>
  <si>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</si>
  <si>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</si>
  <si>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</si>
  <si>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</si>
  <si>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</si>
  <si>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</si>
  <si>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</si>
  <si>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</si>
  <si>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</si>
  <si>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</si>
  <si>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</si>
  <si>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</si>
  <si>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</si>
  <si>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</si>
  <si>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</si>
  <si>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</si>
  <si>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</si>
  <si>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</si>
  <si>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</si>
  <si>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</si>
  <si>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</si>
  <si>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</si>
  <si>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</si>
  <si>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</si>
  <si>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</si>
  <si>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</si>
  <si>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</si>
  <si>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</si>
  <si>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</si>
  <si>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</si>
  <si>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</si>
  <si>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</si>
  <si>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</si>
  <si>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</si>
  <si>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</si>
  <si>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</si>
  <si>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</si>
  <si>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</si>
  <si>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</si>
  <si>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</si>
  <si>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</si>
  <si>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</si>
  <si>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</si>
  <si>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</si>
  <si>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</si>
  <si>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</si>
  <si>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</si>
  <si>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</si>
  <si>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</si>
  <si>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</si>
  <si>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</si>
  <si>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</si>
  <si>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</si>
  <si>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</si>
  <si>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</si>
  <si>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</si>
  <si>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</si>
  <si>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</si>
  <si>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</si>
  <si>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</si>
  <si>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</si>
  <si>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</si>
  <si>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</si>
  <si>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</si>
  <si>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</si>
  <si>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</si>
  <si>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</si>
  <si>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</si>
  <si>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</si>
  <si>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</si>
  <si>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</si>
  <si>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</si>
  <si>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</si>
  <si>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</si>
  <si>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</si>
  <si>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</si>
  <si>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</si>
  <si>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</si>
  <si>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</si>
  <si>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</si>
  <si>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</si>
  <si>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</si>
  <si>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</si>
  <si>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</si>
  <si>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</si>
  <si>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</si>
  <si>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</si>
  <si>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</si>
  <si>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</si>
  <si>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</si>
  <si>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</si>
  <si>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</si>
  <si>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</si>
  <si>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</si>
  <si>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</si>
  <si>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</si>
  <si>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</si>
  <si>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</si>
  <si>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</si>
  <si>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</si>
  <si>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</si>
  <si>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</si>
  <si>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</si>
  <si>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</si>
  <si>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</si>
  <si>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</si>
  <si>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</si>
  <si>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</si>
  <si>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</si>
  <si>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</si>
  <si>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</si>
  <si>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</si>
  <si>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</si>
  <si>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</si>
  <si>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</si>
  <si>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</si>
  <si>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</si>
  <si>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</si>
  <si>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</si>
  <si>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</si>
  <si>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</si>
  <si>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</si>
  <si>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</si>
  <si>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</si>
  <si>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</si>
  <si>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</si>
  <si>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</si>
  <si>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</si>
  <si>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</si>
  <si>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</si>
  <si>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</si>
  <si>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</si>
  <si>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</si>
  <si>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</si>
  <si>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</si>
  <si>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</si>
  <si>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</si>
  <si>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</si>
  <si>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</si>
  <si>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</si>
  <si>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</si>
  <si>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</si>
  <si>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</si>
  <si>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</si>
  <si>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</si>
  <si>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</si>
  <si>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</si>
  <si>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</si>
  <si>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</si>
  <si>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</si>
  <si>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</si>
  <si>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</si>
  <si>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</si>
  <si>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</si>
  <si>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</si>
  <si>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</si>
  <si>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</si>
  <si>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</si>
  <si>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</si>
  <si>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</si>
  <si>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</si>
  <si>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</si>
  <si>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</si>
  <si>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</si>
  <si>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</si>
  <si>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</si>
  <si>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</si>
  <si>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</si>
  <si>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</si>
  <si>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</si>
  <si>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</si>
  <si>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</si>
  <si>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</si>
  <si>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</si>
  <si>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</si>
  <si>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</si>
  <si>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</si>
  <si>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</si>
  <si>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</si>
  <si>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</si>
  <si>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</si>
  <si>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</si>
  <si>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</si>
  <si>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</si>
  <si>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</si>
  <si>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</si>
  <si>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</si>
  <si>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</si>
  <si>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</si>
  <si>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</si>
  <si>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</si>
  <si>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</si>
  <si>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</si>
  <si>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</si>
  <si>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</si>
  <si>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</si>
  <si>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</si>
  <si>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</si>
  <si>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</si>
  <si>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</si>
  <si>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</si>
  <si>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</si>
  <si>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</si>
  <si>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</si>
  <si>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</si>
  <si>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</si>
  <si>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</si>
  <si>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</si>
  <si>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</si>
  <si>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</si>
  <si>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</si>
  <si>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</si>
  <si>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</si>
  <si>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</si>
  <si>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</si>
  <si>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</si>
  <si>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</si>
  <si>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</si>
  <si>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</si>
  <si>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</si>
  <si>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</si>
  <si>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</si>
  <si>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</si>
  <si>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</si>
  <si>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</si>
  <si>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</si>
  <si>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</si>
  <si>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</si>
  <si>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</si>
  <si>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</si>
  <si>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</si>
  <si>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</si>
  <si>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</si>
  <si>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</si>
  <si>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</si>
  <si>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</si>
  <si>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</si>
  <si>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</si>
  <si>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</si>
  <si>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</si>
  <si>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</si>
  <si>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</si>
  <si>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</si>
  <si>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</si>
  <si>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</si>
  <si>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</si>
  <si>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</si>
  <si>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</si>
  <si>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</si>
  <si>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</si>
  <si>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</si>
  <si>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</si>
  <si>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</si>
  <si>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</si>
  <si>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</si>
  <si>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</si>
  <si>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</si>
  <si>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</si>
  <si>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</si>
  <si>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</si>
  <si>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</si>
  <si>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</si>
  <si>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</si>
  <si>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</si>
  <si>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</si>
  <si>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</si>
  <si>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</si>
  <si>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</si>
  <si>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</si>
  <si>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</si>
  <si>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</si>
  <si>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</si>
  <si>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</si>
  <si>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</si>
  <si>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</si>
  <si>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</si>
  <si>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</si>
  <si>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</si>
  <si>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</si>
  <si>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</si>
  <si>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</si>
  <si>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</si>
  <si>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</si>
  <si>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</si>
  <si>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</si>
  <si>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</si>
  <si>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</si>
  <si>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</si>
  <si>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</si>
  <si>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</si>
  <si>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</si>
  <si>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</si>
  <si>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</si>
  <si>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</si>
  <si>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</si>
  <si>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</si>
  <si>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</si>
  <si>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</si>
  <si>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</si>
  <si>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</si>
  <si>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</si>
  <si>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</si>
  <si>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</si>
  <si>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</si>
  <si>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</si>
  <si>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</si>
  <si>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</si>
  <si>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</si>
  <si>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</si>
  <si>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</si>
  <si>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</si>
  <si>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</si>
  <si>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</si>
  <si>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</si>
  <si>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</si>
  <si>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</si>
  <si>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</si>
  <si>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</si>
  <si>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</si>
  <si>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</si>
  <si>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</si>
  <si>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</si>
  <si>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</si>
  <si>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</si>
  <si>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</si>
  <si>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</si>
  <si>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</si>
  <si>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</si>
  <si>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</si>
  <si>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</si>
  <si>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</si>
  <si>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</si>
  <si>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</si>
  <si>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</si>
  <si>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</si>
  <si>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</si>
  <si>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</si>
  <si>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</si>
  <si>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</si>
  <si>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</si>
  <si>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</si>
  <si>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</si>
  <si>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</si>
  <si>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</si>
  <si>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</si>
  <si>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</si>
  <si>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</si>
  <si>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</si>
  <si>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</si>
  <si>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</si>
  <si>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</si>
  <si>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</si>
  <si>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</si>
  <si>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</si>
  <si>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</si>
  <si>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</si>
  <si>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</si>
  <si>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</si>
  <si>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</si>
  <si>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</si>
  <si>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</si>
  <si>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</si>
  <si>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</si>
  <si>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</si>
  <si>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</si>
  <si>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</si>
  <si>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</si>
  <si>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</si>
  <si>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</si>
  <si>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</si>
  <si>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</si>
  <si>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</si>
  <si>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</si>
  <si>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</si>
  <si>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</si>
  <si>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</si>
  <si>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</si>
  <si>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</si>
  <si>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</si>
  <si>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</si>
  <si>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</si>
  <si>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</si>
  <si>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</si>
  <si>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</si>
  <si>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</si>
  <si>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</si>
  <si>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</si>
  <si>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</si>
  <si>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</si>
  <si>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</si>
  <si>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</si>
  <si>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</si>
  <si>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</si>
  <si>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</si>
  <si>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</si>
  <si>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</si>
  <si>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</si>
  <si>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</si>
  <si>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</si>
  <si>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</si>
  <si>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</si>
  <si>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</si>
  <si>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</si>
  <si>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</si>
  <si>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</si>
  <si>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</si>
  <si>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</si>
  <si>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</si>
  <si>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</si>
  <si>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</si>
  <si>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</si>
  <si>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</si>
  <si>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</si>
  <si>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</si>
  <si>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</si>
  <si>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</si>
  <si>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</si>
  <si>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</si>
  <si>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</si>
  <si>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</si>
  <si>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</si>
  <si>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</si>
  <si>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</si>
  <si>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</si>
  <si>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</si>
  <si>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</si>
  <si>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</si>
  <si>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</si>
  <si>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</si>
  <si>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</si>
  <si>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</si>
  <si>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</si>
  <si>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</si>
  <si>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</si>
  <si>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</si>
  <si>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</si>
  <si>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</si>
  <si>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</si>
  <si>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</si>
  <si>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</si>
  <si>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</si>
  <si>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</si>
  <si>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</si>
  <si>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</si>
  <si>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</si>
  <si>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</si>
  <si>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</si>
  <si>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</si>
  <si>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</si>
  <si>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</si>
  <si>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</si>
  <si>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</si>
  <si>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</si>
  <si>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</si>
  <si>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</si>
  <si>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</si>
  <si>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</si>
  <si>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</si>
  <si>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</si>
  <si>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</si>
  <si>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</si>
  <si>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</si>
  <si>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</si>
  <si>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</si>
  <si>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</si>
  <si>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</si>
  <si>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</si>
  <si>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</si>
  <si>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</si>
  <si>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</si>
  <si>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</si>
  <si>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</si>
  <si>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</si>
  <si>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</si>
  <si>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</si>
  <si>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</si>
  <si>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</si>
  <si>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</si>
  <si>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</si>
  <si>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</si>
  <si>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</si>
  <si>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</si>
  <si>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</si>
  <si>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</si>
  <si>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</si>
  <si>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</si>
  <si>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</si>
  <si>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</si>
  <si>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</si>
  <si>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</si>
  <si>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</si>
  <si>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</si>
  <si>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</si>
  <si>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</si>
  <si>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</si>
  <si>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</si>
  <si>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</si>
  <si>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</si>
  <si>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</si>
  <si>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</si>
  <si>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</si>
  <si>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</si>
  <si>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</si>
  <si>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</si>
  <si>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</si>
  <si>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</si>
  <si>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</si>
  <si>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</si>
  <si>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</si>
  <si>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</si>
  <si>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</si>
  <si>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</si>
  <si>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</si>
  <si>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</si>
  <si>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</si>
  <si>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</si>
  <si>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</si>
  <si>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</si>
  <si>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</si>
  <si>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</si>
  <si>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</si>
  <si>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</si>
  <si>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</si>
  <si>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</si>
  <si>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</si>
  <si>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</si>
  <si>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</si>
  <si>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</si>
  <si>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</si>
  <si>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</si>
  <si>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</si>
  <si>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</si>
  <si>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</si>
  <si>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</si>
  <si>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</si>
  <si>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</si>
  <si>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</si>
  <si>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</si>
  <si>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</si>
  <si>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</si>
  <si>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</si>
  <si>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</si>
  <si>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</si>
  <si>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</si>
  <si>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</si>
  <si>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</si>
  <si>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</si>
  <si>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</si>
  <si>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</si>
  <si>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</si>
  <si>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</si>
  <si>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</si>
  <si>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</si>
  <si>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</si>
  <si>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</si>
  <si>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</si>
  <si>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</si>
  <si>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</si>
  <si>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</si>
  <si>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</si>
  <si>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</si>
  <si>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</si>
  <si>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</si>
  <si>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</si>
  <si>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</si>
  <si>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</si>
  <si>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</si>
  <si>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</si>
  <si>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</si>
  <si>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</si>
  <si>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</si>
  <si>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</si>
  <si>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</si>
  <si>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</si>
  <si>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</si>
  <si>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</si>
  <si>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</si>
  <si>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</si>
  <si>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</si>
  <si>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</si>
  <si>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</si>
  <si>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</si>
  <si>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</si>
  <si>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</si>
  <si>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</si>
  <si>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</si>
  <si>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</si>
  <si>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</si>
  <si>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</si>
  <si>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</si>
  <si>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</si>
  <si>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</si>
  <si>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</si>
  <si>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</si>
  <si>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</si>
  <si>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</si>
  <si>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</si>
  <si>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</si>
  <si>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</si>
  <si>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</si>
  <si>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</si>
  <si>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与级别开发程度不一致</t>
  </si>
  <si>
    <t>通路</t>
  </si>
  <si>
    <t>通电</t>
  </si>
  <si>
    <t>通讯</t>
  </si>
  <si>
    <t>通上水</t>
  </si>
  <si>
    <t>通下水</t>
  </si>
  <si>
    <t>平整</t>
  </si>
  <si>
    <t>较好</t>
  </si>
  <si>
    <t>好</t>
  </si>
  <si>
    <t>未包含在土地购买价格中</t>
  </si>
  <si>
    <t>已包含在土地取得成本中</t>
  </si>
  <si>
    <t>正常</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</si>
  <si>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</si>
  <si>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</si>
  <si>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</si>
  <si>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</si>
  <si>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</si>
  <si>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</si>
  <si>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</si>
  <si>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</si>
  <si>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不临65条商业街</t>
  </si>
  <si>
    <t>出让</t>
  </si>
  <si>
    <t>一般</t>
  </si>
  <si>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</si>
  <si>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</si>
  <si>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</si>
  <si>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</si>
  <si>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</si>
  <si>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</si>
  <si>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</si>
  <si>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</si>
  <si>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</si>
  <si>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</si>
  <si>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</si>
  <si>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</si>
  <si>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</si>
  <si>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</si>
  <si>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</si>
  <si>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</si>
  <si>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t>标准层高</t>
  </si>
  <si>
    <t>标准层高</t>
    <phoneticPr fontId="30" type="noConversion"/>
  </si>
  <si>
    <t>现有租约租金</t>
    <phoneticPr fontId="134" type="noConversion"/>
  </si>
  <si>
    <t>商务金融用地</t>
  </si>
  <si>
    <t>1层</t>
    <phoneticPr fontId="7" type="noConversion"/>
  </si>
  <si>
    <t>估价对象容积率</t>
  </si>
  <si>
    <t>容积率修正</t>
  </si>
  <si>
    <t>2016.1.20-2019.1.19</t>
    <phoneticPr fontId="134" type="noConversion"/>
  </si>
  <si>
    <t>2019.1.20-2022-1.19</t>
    <phoneticPr fontId="134" type="noConversion"/>
  </si>
  <si>
    <t>2022.1.20-2026.1.19</t>
    <phoneticPr fontId="134" type="noConversion"/>
  </si>
  <si>
    <t>CBD总部公寓三期光华北一街商铺出租·办公室租赁(优选商铺)国贸建外SOHO特价把角旺铺 咖啡服装等业态-北京商铺_房天下</t>
  </si>
  <si>
    <t>建外SOHO</t>
    <phoneticPr fontId="134" type="noConversion"/>
  </si>
  <si>
    <t>北京华贸商业街商铺出租·办公室租赁李乃滨推荐华贸商业街980平招服装，诊所，箱包，医美-北京商铺_房天下</t>
  </si>
  <si>
    <t>世贸天阶商铺商铺出租·办公室租赁世贸天阶一二层底商500平招租-北京商铺_房天下</t>
  </si>
  <si>
    <t>华贸商业街</t>
    <phoneticPr fontId="134" type="noConversion"/>
  </si>
  <si>
    <t>世贸天阶</t>
    <phoneticPr fontId="134" type="noConversion"/>
  </si>
  <si>
    <t>1-2层</t>
    <phoneticPr fontId="134" type="noConversion"/>
  </si>
  <si>
    <t>建外SOHO商铺商铺出租·办公室租赁临街底商 旺铺 南向 5平米 可注册 数码维修-北京商铺_房天下</t>
  </si>
  <si>
    <t>世贸天阶商铺商铺出租·办公室租赁李乃滨推荐世贸天阶1300平米底商招汽车，珠宝，服装，奢侈品-北京商铺_房天下</t>
  </si>
  <si>
    <t>世贸天阶商铺商铺出租·办公室租赁李乃滨推荐世贸天阶一二层630平招服装，机器人，化妆品，汽车-北京商铺_房天下</t>
  </si>
  <si>
    <t>中环世贸</t>
    <phoneticPr fontId="3" type="noConversion"/>
  </si>
  <si>
    <t>城市支路</t>
    <phoneticPr fontId="30" type="noConversion"/>
  </si>
  <si>
    <r>
      <rPr>
        <sz val="11"/>
        <rFont val="宋体"/>
        <family val="3"/>
        <charset val="134"/>
      </rPr>
      <t>城市主干道</t>
    </r>
    <r>
      <rPr>
        <sz val="11"/>
        <rFont val="Arial"/>
        <family val="2"/>
      </rPr>
      <t>-</t>
    </r>
    <r>
      <rPr>
        <sz val="11"/>
        <rFont val="宋体"/>
        <family val="3"/>
        <charset val="134"/>
      </rPr>
      <t>建国门外大街</t>
    </r>
    <phoneticPr fontId="30" type="noConversion"/>
  </si>
  <si>
    <t>城市次干道-景恒街</t>
    <phoneticPr fontId="30" type="noConversion"/>
  </si>
  <si>
    <t>城市主干道-西大望路</t>
    <phoneticPr fontId="30" type="noConversion"/>
  </si>
  <si>
    <t>【万达广场公寓138.2平低楼层近地铁简装朝南/面积138.2m²/价格1700万元/简装/】-北京贝壳商业地产</t>
  </si>
  <si>
    <t>【万达广场公寓西区216.24平低楼层近地铁精装朝东/面积216.24m²/价格2500万元/精装/】-北京贝壳商业地产</t>
  </si>
  <si>
    <t>【万科大都会2328.29平低楼层近地铁精装朝南/面积2328.29m²/价格16296万元/精装/】-北京贝壳商业地产</t>
  </si>
  <si>
    <t>【建外soho东区43平低楼层精装朝南/面积43m²/价格600万元/精装/】-北京贝壳商业地产</t>
  </si>
  <si>
    <t>万达广场</t>
    <phoneticPr fontId="134" type="noConversion"/>
  </si>
  <si>
    <t>万科大都会</t>
    <phoneticPr fontId="134" type="noConversion"/>
  </si>
  <si>
    <t>【华贸公寓888平低楼层近地铁精装朝南/面积888m²/价格15000万元/精装/】-北京贝壳商业地产</t>
  </si>
  <si>
    <t>【华贸公寓930.01平低楼层近地铁精装朝南/面积930.01m²/价格12000万元/精装/】-北京贝壳商业地产</t>
  </si>
  <si>
    <t>华贸公寓</t>
    <phoneticPr fontId="134" type="noConversion"/>
  </si>
  <si>
    <t>售价</t>
  </si>
  <si>
    <t>城市主干道-建国路</t>
    <phoneticPr fontId="30" type="noConversion"/>
  </si>
  <si>
    <t>合生国际花园</t>
    <phoneticPr fontId="134" type="noConversion"/>
  </si>
  <si>
    <t>写字楼配套</t>
  </si>
  <si>
    <t>写字楼配套</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</si>
</sst>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1"/>
      <color rgb="FFFF0000"/>
      <name val="宋体"/>
      <family val="3"/>
      <charset val="134"/>
      <scheme val="minor"/>
    </font>
    <font>
      <sz val="11"/>
      <color rgb="FFEE0000"/>
      <name val="宋体"/>
      <family val="3"/>
      <charset val="134"/>
      <scheme val="minor"/>
    </font>
    <font>
      <sz val="11"/>
      <color rgb="FFFFC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79998168889431442"/>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95" fillId="0" borderId="0" xfId="10" applyAlignment="1">
      <alignment horizontal="center" vertical="center" wrapText="1" shrinkToFit="1"/>
    </xf>
    <xf numFmtId="0" fontId="288" fillId="0" borderId="0" xfId="10" applyFont="1">
      <alignment vertical="center"/>
    </xf>
    <xf numFmtId="0" fontId="288" fillId="5" borderId="0" xfId="10" applyFont="1" applyFill="1">
      <alignment vertical="center"/>
    </xf>
    <xf numFmtId="0" fontId="94" fillId="0" borderId="37" xfId="0" applyFont="1" applyBorder="1" applyAlignment="1" applyProtection="1">
      <alignment horizontal="center" vertical="center" wrapText="1"/>
      <protection locked="0"/>
    </xf>
    <xf numFmtId="0" fontId="46" fillId="24" borderId="63" xfId="0" applyFont="1" applyFill="1" applyBorder="1" applyAlignment="1">
      <alignment vertical="center" wrapText="1"/>
    </xf>
    <xf numFmtId="0" fontId="46" fillId="24" borderId="64" xfId="0" applyFont="1" applyFill="1" applyBorder="1" applyAlignment="1">
      <alignment vertical="center" wrapText="1"/>
    </xf>
    <xf numFmtId="49" fontId="44" fillId="24" borderId="26" xfId="0" applyNumberFormat="1" applyFont="1" applyFill="1" applyBorder="1" applyAlignment="1" applyProtection="1">
      <alignment horizontal="center" vertical="center" wrapText="1"/>
      <protection locked="0"/>
    </xf>
    <xf numFmtId="0" fontId="44" fillId="24" borderId="67" xfId="0" applyFont="1" applyFill="1" applyBorder="1" applyAlignment="1">
      <alignment horizontal="center" vertical="center" wrapText="1"/>
    </xf>
    <xf numFmtId="0" fontId="44" fillId="24" borderId="34" xfId="0" applyFont="1" applyFill="1" applyBorder="1" applyAlignment="1">
      <alignment horizontal="center" vertical="center" wrapText="1"/>
    </xf>
    <xf numFmtId="0" fontId="44" fillId="24" borderId="3" xfId="0" applyFont="1" applyFill="1" applyBorder="1" applyAlignment="1">
      <alignment horizontal="center" vertical="center" wrapText="1"/>
    </xf>
    <xf numFmtId="0" fontId="289" fillId="0" borderId="0" xfId="0" applyFont="1">
      <alignment vertical="center"/>
    </xf>
    <xf numFmtId="0" fontId="290" fillId="25" borderId="0" xfId="10" applyFont="1" applyFill="1" applyAlignment="1">
      <alignment vertical="center" wrapText="1" shrinkToFit="1"/>
    </xf>
    <xf numFmtId="181" fontId="290" fillId="25" borderId="0" xfId="17" applyNumberFormat="1" applyFont="1" applyFill="1" applyAlignment="1">
      <alignment vertical="center" wrapText="1" shrinkToFit="1"/>
    </xf>
    <xf numFmtId="0" fontId="95" fillId="0" borderId="0" xfId="10" applyAlignment="1">
      <alignment horizontal="center" vertical="center"/>
    </xf>
    <xf numFmtId="10" fontId="95" fillId="0" borderId="0" xfId="17" applyNumberFormat="1" applyFont="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190501</xdr:colOff>
      <xdr:row>0</xdr:row>
      <xdr:rowOff>0</xdr:rowOff>
    </xdr:from>
    <xdr:to>
      <xdr:col>19</xdr:col>
      <xdr:colOff>394881</xdr:colOff>
      <xdr:row>7</xdr:row>
      <xdr:rowOff>91402</xdr:rowOff>
    </xdr:to>
    <xdr:pic>
      <xdr:nvPicPr>
        <xdr:cNvPr id="2" name="图片 1">
          <a:extLst>
            <a:ext uri="{FF2B5EF4-FFF2-40B4-BE49-F238E27FC236}">
              <a16:creationId xmlns:a16="http://schemas.microsoft.com/office/drawing/2014/main" id="{5FA8E5A7-6CEA-D776-CABA-706A74E59757}"/>
            </a:ext>
          </a:extLst>
        </xdr:cNvPr>
        <xdr:cNvPicPr>
          <a:picLocks noChangeAspect="1"/>
        </xdr:cNvPicPr>
      </xdr:nvPicPr>
      <xdr:blipFill>
        <a:blip xmlns:r="http://schemas.openxmlformats.org/officeDocument/2006/relationships" r:embed="rId1"/>
        <a:stretch>
          <a:fillRect/>
        </a:stretch>
      </xdr:blipFill>
      <xdr:spPr>
        <a:xfrm>
          <a:off x="11451982" y="0"/>
          <a:ext cx="6190476" cy="1476190"/>
        </a:xfrm>
        <a:prstGeom prst="rect">
          <a:avLst/>
        </a:prstGeom>
      </xdr:spPr>
    </xdr:pic>
    <xdr:clientData/>
  </xdr:twoCellAnchor>
  <xdr:twoCellAnchor editAs="oneCell">
    <xdr:from>
      <xdr:col>13</xdr:col>
      <xdr:colOff>256443</xdr:colOff>
      <xdr:row>5</xdr:row>
      <xdr:rowOff>183174</xdr:rowOff>
    </xdr:from>
    <xdr:to>
      <xdr:col>19</xdr:col>
      <xdr:colOff>194156</xdr:colOff>
      <xdr:row>16</xdr:row>
      <xdr:rowOff>147679</xdr:rowOff>
    </xdr:to>
    <xdr:pic>
      <xdr:nvPicPr>
        <xdr:cNvPr id="4" name="图片 3">
          <a:extLst>
            <a:ext uri="{FF2B5EF4-FFF2-40B4-BE49-F238E27FC236}">
              <a16:creationId xmlns:a16="http://schemas.microsoft.com/office/drawing/2014/main" id="{DBD99C4F-2A78-8721-F4E6-1B11E82F6532}"/>
            </a:ext>
          </a:extLst>
        </xdr:cNvPr>
        <xdr:cNvPicPr>
          <a:picLocks noChangeAspect="1"/>
        </xdr:cNvPicPr>
      </xdr:nvPicPr>
      <xdr:blipFill>
        <a:blip xmlns:r="http://schemas.openxmlformats.org/officeDocument/2006/relationships" r:embed="rId2"/>
        <a:stretch>
          <a:fillRect/>
        </a:stretch>
      </xdr:blipFill>
      <xdr:spPr>
        <a:xfrm>
          <a:off x="11517924" y="1113693"/>
          <a:ext cx="5923809" cy="2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38100</xdr:rowOff>
    </xdr:from>
    <xdr:to>
      <xdr:col>8</xdr:col>
      <xdr:colOff>465424</xdr:colOff>
      <xdr:row>36</xdr:row>
      <xdr:rowOff>74961</xdr:rowOff>
    </xdr:to>
    <xdr:pic>
      <xdr:nvPicPr>
        <xdr:cNvPr id="2" name="图片 1">
          <a:extLst>
            <a:ext uri="{FF2B5EF4-FFF2-40B4-BE49-F238E27FC236}">
              <a16:creationId xmlns:a16="http://schemas.microsoft.com/office/drawing/2014/main" id="{DA110255-8843-1BF3-FB46-C55B8B934428}"/>
            </a:ext>
          </a:extLst>
        </xdr:cNvPr>
        <xdr:cNvPicPr>
          <a:picLocks noChangeAspect="1"/>
        </xdr:cNvPicPr>
      </xdr:nvPicPr>
      <xdr:blipFill>
        <a:blip xmlns:r="http://schemas.openxmlformats.org/officeDocument/2006/relationships" r:embed="rId1"/>
        <a:stretch>
          <a:fillRect/>
        </a:stretch>
      </xdr:blipFill>
      <xdr:spPr>
        <a:xfrm>
          <a:off x="152400" y="723900"/>
          <a:ext cx="5799424" cy="5523261"/>
        </a:xfrm>
        <a:prstGeom prst="rect">
          <a:avLst/>
        </a:prstGeom>
      </xdr:spPr>
    </xdr:pic>
    <xdr:clientData/>
  </xdr:twoCellAnchor>
  <xdr:twoCellAnchor editAs="oneCell">
    <xdr:from>
      <xdr:col>12</xdr:col>
      <xdr:colOff>190499</xdr:colOff>
      <xdr:row>1</xdr:row>
      <xdr:rowOff>86044</xdr:rowOff>
    </xdr:from>
    <xdr:to>
      <xdr:col>22</xdr:col>
      <xdr:colOff>227388</xdr:colOff>
      <xdr:row>42</xdr:row>
      <xdr:rowOff>46398</xdr:rowOff>
    </xdr:to>
    <xdr:pic>
      <xdr:nvPicPr>
        <xdr:cNvPr id="3" name="图片 2">
          <a:extLst>
            <a:ext uri="{FF2B5EF4-FFF2-40B4-BE49-F238E27FC236}">
              <a16:creationId xmlns:a16="http://schemas.microsoft.com/office/drawing/2014/main" id="{CD60F91F-01E9-A1FD-701D-082FCBCCAAD3}"/>
            </a:ext>
          </a:extLst>
        </xdr:cNvPr>
        <xdr:cNvPicPr>
          <a:picLocks noChangeAspect="1"/>
        </xdr:cNvPicPr>
      </xdr:nvPicPr>
      <xdr:blipFill>
        <a:blip xmlns:r="http://schemas.openxmlformats.org/officeDocument/2006/relationships" r:embed="rId2"/>
        <a:stretch>
          <a:fillRect/>
        </a:stretch>
      </xdr:blipFill>
      <xdr:spPr>
        <a:xfrm>
          <a:off x="8420099" y="257494"/>
          <a:ext cx="6894889" cy="6989804"/>
        </a:xfrm>
        <a:prstGeom prst="rect">
          <a:avLst/>
        </a:prstGeom>
      </xdr:spPr>
    </xdr:pic>
    <xdr:clientData/>
  </xdr:twoCellAnchor>
  <xdr:twoCellAnchor editAs="oneCell">
    <xdr:from>
      <xdr:col>24</xdr:col>
      <xdr:colOff>333375</xdr:colOff>
      <xdr:row>2</xdr:row>
      <xdr:rowOff>73403</xdr:rowOff>
    </xdr:from>
    <xdr:to>
      <xdr:col>34</xdr:col>
      <xdr:colOff>260783</xdr:colOff>
      <xdr:row>41</xdr:row>
      <xdr:rowOff>152400</xdr:rowOff>
    </xdr:to>
    <xdr:pic>
      <xdr:nvPicPr>
        <xdr:cNvPr id="4" name="图片 3">
          <a:extLst>
            <a:ext uri="{FF2B5EF4-FFF2-40B4-BE49-F238E27FC236}">
              <a16:creationId xmlns:a16="http://schemas.microsoft.com/office/drawing/2014/main" id="{DF6115AC-F950-5287-2C6B-05EBBC203306}"/>
            </a:ext>
          </a:extLst>
        </xdr:cNvPr>
        <xdr:cNvPicPr>
          <a:picLocks noChangeAspect="1"/>
        </xdr:cNvPicPr>
      </xdr:nvPicPr>
      <xdr:blipFill>
        <a:blip xmlns:r="http://schemas.openxmlformats.org/officeDocument/2006/relationships" r:embed="rId3"/>
        <a:stretch>
          <a:fillRect/>
        </a:stretch>
      </xdr:blipFill>
      <xdr:spPr>
        <a:xfrm>
          <a:off x="16792575" y="416303"/>
          <a:ext cx="6785408" cy="6765547"/>
        </a:xfrm>
        <a:prstGeom prst="rect">
          <a:avLst/>
        </a:prstGeom>
      </xdr:spPr>
    </xdr:pic>
    <xdr:clientData/>
  </xdr:twoCellAnchor>
  <xdr:twoCellAnchor editAs="oneCell">
    <xdr:from>
      <xdr:col>0</xdr:col>
      <xdr:colOff>228600</xdr:colOff>
      <xdr:row>44</xdr:row>
      <xdr:rowOff>28575</xdr:rowOff>
    </xdr:from>
    <xdr:to>
      <xdr:col>11</xdr:col>
      <xdr:colOff>481587</xdr:colOff>
      <xdr:row>88</xdr:row>
      <xdr:rowOff>74967</xdr:rowOff>
    </xdr:to>
    <xdr:pic>
      <xdr:nvPicPr>
        <xdr:cNvPr id="5" name="图片 4">
          <a:extLst>
            <a:ext uri="{FF2B5EF4-FFF2-40B4-BE49-F238E27FC236}">
              <a16:creationId xmlns:a16="http://schemas.microsoft.com/office/drawing/2014/main" id="{89FA2DEC-39FA-B125-0E98-CC9FB704CC37}"/>
            </a:ext>
          </a:extLst>
        </xdr:cNvPr>
        <xdr:cNvPicPr>
          <a:picLocks noChangeAspect="1"/>
        </xdr:cNvPicPr>
      </xdr:nvPicPr>
      <xdr:blipFill>
        <a:blip xmlns:r="http://schemas.openxmlformats.org/officeDocument/2006/relationships" r:embed="rId4"/>
        <a:stretch>
          <a:fillRect/>
        </a:stretch>
      </xdr:blipFill>
      <xdr:spPr>
        <a:xfrm>
          <a:off x="228600" y="7572375"/>
          <a:ext cx="7949187" cy="7590192"/>
        </a:xfrm>
        <a:prstGeom prst="rect">
          <a:avLst/>
        </a:prstGeom>
      </xdr:spPr>
    </xdr:pic>
    <xdr:clientData/>
  </xdr:twoCellAnchor>
  <xdr:twoCellAnchor editAs="oneCell">
    <xdr:from>
      <xdr:col>12</xdr:col>
      <xdr:colOff>198529</xdr:colOff>
      <xdr:row>46</xdr:row>
      <xdr:rowOff>47624</xdr:rowOff>
    </xdr:from>
    <xdr:to>
      <xdr:col>23</xdr:col>
      <xdr:colOff>513046</xdr:colOff>
      <xdr:row>90</xdr:row>
      <xdr:rowOff>46373</xdr:rowOff>
    </xdr:to>
    <xdr:pic>
      <xdr:nvPicPr>
        <xdr:cNvPr id="6" name="图片 5">
          <a:extLst>
            <a:ext uri="{FF2B5EF4-FFF2-40B4-BE49-F238E27FC236}">
              <a16:creationId xmlns:a16="http://schemas.microsoft.com/office/drawing/2014/main" id="{C50ABE69-124A-23A6-94F2-C47F92BF3CD7}"/>
            </a:ext>
          </a:extLst>
        </xdr:cNvPr>
        <xdr:cNvPicPr>
          <a:picLocks noChangeAspect="1"/>
        </xdr:cNvPicPr>
      </xdr:nvPicPr>
      <xdr:blipFill>
        <a:blip xmlns:r="http://schemas.openxmlformats.org/officeDocument/2006/relationships" r:embed="rId5"/>
        <a:stretch>
          <a:fillRect/>
        </a:stretch>
      </xdr:blipFill>
      <xdr:spPr>
        <a:xfrm>
          <a:off x="8580529" y="7934324"/>
          <a:ext cx="7858317" cy="7542549"/>
        </a:xfrm>
        <a:prstGeom prst="rect">
          <a:avLst/>
        </a:prstGeom>
      </xdr:spPr>
    </xdr:pic>
    <xdr:clientData/>
  </xdr:twoCellAnchor>
  <xdr:twoCellAnchor editAs="oneCell">
    <xdr:from>
      <xdr:col>25</xdr:col>
      <xdr:colOff>161925</xdr:colOff>
      <xdr:row>45</xdr:row>
      <xdr:rowOff>161058</xdr:rowOff>
    </xdr:from>
    <xdr:to>
      <xdr:col>34</xdr:col>
      <xdr:colOff>398807</xdr:colOff>
      <xdr:row>83</xdr:row>
      <xdr:rowOff>122569</xdr:rowOff>
    </xdr:to>
    <xdr:pic>
      <xdr:nvPicPr>
        <xdr:cNvPr id="7" name="图片 6">
          <a:extLst>
            <a:ext uri="{FF2B5EF4-FFF2-40B4-BE49-F238E27FC236}">
              <a16:creationId xmlns:a16="http://schemas.microsoft.com/office/drawing/2014/main" id="{645B76D6-71B4-8476-CCB4-219D6DB9A85D}"/>
            </a:ext>
          </a:extLst>
        </xdr:cNvPr>
        <xdr:cNvPicPr>
          <a:picLocks noChangeAspect="1"/>
        </xdr:cNvPicPr>
      </xdr:nvPicPr>
      <xdr:blipFill>
        <a:blip xmlns:r="http://schemas.openxmlformats.org/officeDocument/2006/relationships" r:embed="rId6"/>
        <a:stretch>
          <a:fillRect/>
        </a:stretch>
      </xdr:blipFill>
      <xdr:spPr>
        <a:xfrm>
          <a:off x="17459325" y="7876308"/>
          <a:ext cx="6409082" cy="64766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647700</xdr:colOff>
      <xdr:row>1</xdr:row>
      <xdr:rowOff>28575</xdr:rowOff>
    </xdr:from>
    <xdr:to>
      <xdr:col>36</xdr:col>
      <xdr:colOff>142338</xdr:colOff>
      <xdr:row>24</xdr:row>
      <xdr:rowOff>151892</xdr:rowOff>
    </xdr:to>
    <xdr:pic>
      <xdr:nvPicPr>
        <xdr:cNvPr id="7" name="图片 6">
          <a:extLst>
            <a:ext uri="{FF2B5EF4-FFF2-40B4-BE49-F238E27FC236}">
              <a16:creationId xmlns:a16="http://schemas.microsoft.com/office/drawing/2014/main" id="{D8CAC90A-C0FD-DCAA-8D07-0BD1EC97976E}"/>
            </a:ext>
          </a:extLst>
        </xdr:cNvPr>
        <xdr:cNvPicPr>
          <a:picLocks noChangeAspect="1"/>
        </xdr:cNvPicPr>
      </xdr:nvPicPr>
      <xdr:blipFill>
        <a:blip xmlns:r="http://schemas.openxmlformats.org/officeDocument/2006/relationships" r:embed="rId1"/>
        <a:stretch>
          <a:fillRect/>
        </a:stretch>
      </xdr:blipFill>
      <xdr:spPr>
        <a:xfrm>
          <a:off x="20535900" y="200025"/>
          <a:ext cx="4295238" cy="4066667"/>
        </a:xfrm>
        <a:prstGeom prst="rect">
          <a:avLst/>
        </a:prstGeom>
      </xdr:spPr>
    </xdr:pic>
    <xdr:clientData/>
  </xdr:twoCellAnchor>
  <xdr:twoCellAnchor editAs="oneCell">
    <xdr:from>
      <xdr:col>1</xdr:col>
      <xdr:colOff>314325</xdr:colOff>
      <xdr:row>1</xdr:row>
      <xdr:rowOff>157162</xdr:rowOff>
    </xdr:from>
    <xdr:to>
      <xdr:col>11</xdr:col>
      <xdr:colOff>504825</xdr:colOff>
      <xdr:row>32</xdr:row>
      <xdr:rowOff>128587</xdr:rowOff>
    </xdr:to>
    <xdr:pic>
      <xdr:nvPicPr>
        <xdr:cNvPr id="8" name="图片 7">
          <a:extLst>
            <a:ext uri="{FF2B5EF4-FFF2-40B4-BE49-F238E27FC236}">
              <a16:creationId xmlns:a16="http://schemas.microsoft.com/office/drawing/2014/main" id="{609C97A7-A1DF-350B-392C-4AA59B97D13E}"/>
            </a:ext>
          </a:extLst>
        </xdr:cNvPr>
        <xdr:cNvPicPr>
          <a:picLocks noChangeAspect="1"/>
        </xdr:cNvPicPr>
      </xdr:nvPicPr>
      <xdr:blipFill>
        <a:blip xmlns:r="http://schemas.openxmlformats.org/officeDocument/2006/relationships" r:embed="rId2"/>
        <a:stretch>
          <a:fillRect/>
        </a:stretch>
      </xdr:blipFill>
      <xdr:spPr>
        <a:xfrm>
          <a:off x="1000125" y="328612"/>
          <a:ext cx="7048500" cy="5286375"/>
        </a:xfrm>
        <a:prstGeom prst="rect">
          <a:avLst/>
        </a:prstGeom>
      </xdr:spPr>
    </xdr:pic>
    <xdr:clientData/>
  </xdr:twoCellAnchor>
  <xdr:twoCellAnchor editAs="oneCell">
    <xdr:from>
      <xdr:col>0</xdr:col>
      <xdr:colOff>430265</xdr:colOff>
      <xdr:row>35</xdr:row>
      <xdr:rowOff>123366</xdr:rowOff>
    </xdr:from>
    <xdr:to>
      <xdr:col>11</xdr:col>
      <xdr:colOff>361950</xdr:colOff>
      <xdr:row>69</xdr:row>
      <xdr:rowOff>94117</xdr:rowOff>
    </xdr:to>
    <xdr:pic>
      <xdr:nvPicPr>
        <xdr:cNvPr id="9" name="图片 8">
          <a:extLst>
            <a:ext uri="{FF2B5EF4-FFF2-40B4-BE49-F238E27FC236}">
              <a16:creationId xmlns:a16="http://schemas.microsoft.com/office/drawing/2014/main" id="{253E17F9-582B-E397-5740-2EEA917D6619}"/>
            </a:ext>
          </a:extLst>
        </xdr:cNvPr>
        <xdr:cNvPicPr>
          <a:picLocks noChangeAspect="1"/>
        </xdr:cNvPicPr>
      </xdr:nvPicPr>
      <xdr:blipFill>
        <a:blip xmlns:r="http://schemas.openxmlformats.org/officeDocument/2006/relationships" r:embed="rId3"/>
        <a:stretch>
          <a:fillRect/>
        </a:stretch>
      </xdr:blipFill>
      <xdr:spPr>
        <a:xfrm>
          <a:off x="430265" y="6124116"/>
          <a:ext cx="7475485" cy="5800051"/>
        </a:xfrm>
        <a:prstGeom prst="rect">
          <a:avLst/>
        </a:prstGeom>
      </xdr:spPr>
    </xdr:pic>
    <xdr:clientData/>
  </xdr:twoCellAnchor>
  <xdr:twoCellAnchor editAs="oneCell">
    <xdr:from>
      <xdr:col>0</xdr:col>
      <xdr:colOff>152400</xdr:colOff>
      <xdr:row>43</xdr:row>
      <xdr:rowOff>13379</xdr:rowOff>
    </xdr:from>
    <xdr:to>
      <xdr:col>6</xdr:col>
      <xdr:colOff>611090</xdr:colOff>
      <xdr:row>56</xdr:row>
      <xdr:rowOff>152400</xdr:rowOff>
    </xdr:to>
    <xdr:pic>
      <xdr:nvPicPr>
        <xdr:cNvPr id="10" name="图片 9">
          <a:extLst>
            <a:ext uri="{FF2B5EF4-FFF2-40B4-BE49-F238E27FC236}">
              <a16:creationId xmlns:a16="http://schemas.microsoft.com/office/drawing/2014/main" id="{832121B9-E161-7863-10B2-126E2A538C2F}"/>
            </a:ext>
          </a:extLst>
        </xdr:cNvPr>
        <xdr:cNvPicPr>
          <a:picLocks noChangeAspect="1"/>
        </xdr:cNvPicPr>
      </xdr:nvPicPr>
      <xdr:blipFill>
        <a:blip xmlns:r="http://schemas.openxmlformats.org/officeDocument/2006/relationships" r:embed="rId4"/>
        <a:stretch>
          <a:fillRect/>
        </a:stretch>
      </xdr:blipFill>
      <xdr:spPr>
        <a:xfrm>
          <a:off x="152400" y="7385729"/>
          <a:ext cx="4573490" cy="2367871"/>
        </a:xfrm>
        <a:prstGeom prst="rect">
          <a:avLst/>
        </a:prstGeom>
      </xdr:spPr>
    </xdr:pic>
    <xdr:clientData/>
  </xdr:twoCellAnchor>
  <xdr:twoCellAnchor editAs="oneCell">
    <xdr:from>
      <xdr:col>0</xdr:col>
      <xdr:colOff>0</xdr:colOff>
      <xdr:row>72</xdr:row>
      <xdr:rowOff>91534</xdr:rowOff>
    </xdr:from>
    <xdr:to>
      <xdr:col>11</xdr:col>
      <xdr:colOff>600075</xdr:colOff>
      <xdr:row>107</xdr:row>
      <xdr:rowOff>75061</xdr:rowOff>
    </xdr:to>
    <xdr:pic>
      <xdr:nvPicPr>
        <xdr:cNvPr id="11" name="图片 10">
          <a:extLst>
            <a:ext uri="{FF2B5EF4-FFF2-40B4-BE49-F238E27FC236}">
              <a16:creationId xmlns:a16="http://schemas.microsoft.com/office/drawing/2014/main" id="{D52278CE-FB89-AD4B-C87F-EB04560F6EB8}"/>
            </a:ext>
          </a:extLst>
        </xdr:cNvPr>
        <xdr:cNvPicPr>
          <a:picLocks noChangeAspect="1"/>
        </xdr:cNvPicPr>
      </xdr:nvPicPr>
      <xdr:blipFill>
        <a:blip xmlns:r="http://schemas.openxmlformats.org/officeDocument/2006/relationships" r:embed="rId5"/>
        <a:stretch>
          <a:fillRect/>
        </a:stretch>
      </xdr:blipFill>
      <xdr:spPr>
        <a:xfrm>
          <a:off x="0" y="12435934"/>
          <a:ext cx="8143875" cy="5984277"/>
        </a:xfrm>
        <a:prstGeom prst="rect">
          <a:avLst/>
        </a:prstGeom>
      </xdr:spPr>
    </xdr:pic>
    <xdr:clientData/>
  </xdr:twoCellAnchor>
  <xdr:twoCellAnchor editAs="oneCell">
    <xdr:from>
      <xdr:col>0</xdr:col>
      <xdr:colOff>78921</xdr:colOff>
      <xdr:row>110</xdr:row>
      <xdr:rowOff>0</xdr:rowOff>
    </xdr:from>
    <xdr:to>
      <xdr:col>10</xdr:col>
      <xdr:colOff>322296</xdr:colOff>
      <xdr:row>140</xdr:row>
      <xdr:rowOff>75058</xdr:rowOff>
    </xdr:to>
    <xdr:pic>
      <xdr:nvPicPr>
        <xdr:cNvPr id="13" name="图片 12">
          <a:extLst>
            <a:ext uri="{FF2B5EF4-FFF2-40B4-BE49-F238E27FC236}">
              <a16:creationId xmlns:a16="http://schemas.microsoft.com/office/drawing/2014/main" id="{B4762700-4093-8458-3967-C6EF88BFBDA9}"/>
            </a:ext>
          </a:extLst>
        </xdr:cNvPr>
        <xdr:cNvPicPr>
          <a:picLocks noChangeAspect="1"/>
        </xdr:cNvPicPr>
      </xdr:nvPicPr>
      <xdr:blipFill>
        <a:blip xmlns:r="http://schemas.openxmlformats.org/officeDocument/2006/relationships" r:embed="rId6"/>
        <a:stretch>
          <a:fillRect/>
        </a:stretch>
      </xdr:blipFill>
      <xdr:spPr>
        <a:xfrm>
          <a:off x="78921" y="18859500"/>
          <a:ext cx="7101375" cy="5218558"/>
        </a:xfrm>
        <a:prstGeom prst="rect">
          <a:avLst/>
        </a:prstGeom>
      </xdr:spPr>
    </xdr:pic>
    <xdr:clientData/>
  </xdr:twoCellAnchor>
  <xdr:twoCellAnchor editAs="oneCell">
    <xdr:from>
      <xdr:col>20</xdr:col>
      <xdr:colOff>257174</xdr:colOff>
      <xdr:row>2</xdr:row>
      <xdr:rowOff>153439</xdr:rowOff>
    </xdr:from>
    <xdr:to>
      <xdr:col>28</xdr:col>
      <xdr:colOff>207977</xdr:colOff>
      <xdr:row>25</xdr:row>
      <xdr:rowOff>65561</xdr:rowOff>
    </xdr:to>
    <xdr:pic>
      <xdr:nvPicPr>
        <xdr:cNvPr id="14" name="图片 13">
          <a:extLst>
            <a:ext uri="{FF2B5EF4-FFF2-40B4-BE49-F238E27FC236}">
              <a16:creationId xmlns:a16="http://schemas.microsoft.com/office/drawing/2014/main" id="{664ACCBF-2BC8-79F7-3B6C-A0D710CF3C27}"/>
            </a:ext>
          </a:extLst>
        </xdr:cNvPr>
        <xdr:cNvPicPr>
          <a:picLocks noChangeAspect="1"/>
        </xdr:cNvPicPr>
      </xdr:nvPicPr>
      <xdr:blipFill>
        <a:blip xmlns:r="http://schemas.openxmlformats.org/officeDocument/2006/relationships" r:embed="rId7"/>
        <a:stretch>
          <a:fillRect/>
        </a:stretch>
      </xdr:blipFill>
      <xdr:spPr>
        <a:xfrm>
          <a:off x="13973174" y="496339"/>
          <a:ext cx="5437203" cy="3855472"/>
        </a:xfrm>
        <a:prstGeom prst="rect">
          <a:avLst/>
        </a:prstGeom>
      </xdr:spPr>
    </xdr:pic>
    <xdr:clientData/>
  </xdr:twoCellAnchor>
  <xdr:twoCellAnchor editAs="oneCell">
    <xdr:from>
      <xdr:col>21</xdr:col>
      <xdr:colOff>154450</xdr:colOff>
      <xdr:row>33</xdr:row>
      <xdr:rowOff>28575</xdr:rowOff>
    </xdr:from>
    <xdr:to>
      <xdr:col>32</xdr:col>
      <xdr:colOff>93781</xdr:colOff>
      <xdr:row>67</xdr:row>
      <xdr:rowOff>122662</xdr:rowOff>
    </xdr:to>
    <xdr:pic>
      <xdr:nvPicPr>
        <xdr:cNvPr id="15" name="图片 14">
          <a:extLst>
            <a:ext uri="{FF2B5EF4-FFF2-40B4-BE49-F238E27FC236}">
              <a16:creationId xmlns:a16="http://schemas.microsoft.com/office/drawing/2014/main" id="{CAD83E5C-BB9B-32C2-55C0-B6BB46C01F3F}"/>
            </a:ext>
          </a:extLst>
        </xdr:cNvPr>
        <xdr:cNvPicPr>
          <a:picLocks noChangeAspect="1"/>
        </xdr:cNvPicPr>
      </xdr:nvPicPr>
      <xdr:blipFill>
        <a:blip xmlns:r="http://schemas.openxmlformats.org/officeDocument/2006/relationships" r:embed="rId8"/>
        <a:stretch>
          <a:fillRect/>
        </a:stretch>
      </xdr:blipFill>
      <xdr:spPr>
        <a:xfrm>
          <a:off x="14556250" y="5686425"/>
          <a:ext cx="7483131" cy="5923387"/>
        </a:xfrm>
        <a:prstGeom prst="rect">
          <a:avLst/>
        </a:prstGeom>
      </xdr:spPr>
    </xdr:pic>
    <xdr:clientData/>
  </xdr:twoCellAnchor>
  <xdr:twoCellAnchor editAs="oneCell">
    <xdr:from>
      <xdr:col>11</xdr:col>
      <xdr:colOff>590550</xdr:colOff>
      <xdr:row>42</xdr:row>
      <xdr:rowOff>28575</xdr:rowOff>
    </xdr:from>
    <xdr:to>
      <xdr:col>25</xdr:col>
      <xdr:colOff>570302</xdr:colOff>
      <xdr:row>51</xdr:row>
      <xdr:rowOff>76001</xdr:rowOff>
    </xdr:to>
    <xdr:pic>
      <xdr:nvPicPr>
        <xdr:cNvPr id="2" name="图片 1">
          <a:extLst>
            <a:ext uri="{FF2B5EF4-FFF2-40B4-BE49-F238E27FC236}">
              <a16:creationId xmlns:a16="http://schemas.microsoft.com/office/drawing/2014/main" id="{267F3C0B-20C8-8A55-3DC4-247E41EDBEB3}"/>
            </a:ext>
          </a:extLst>
        </xdr:cNvPr>
        <xdr:cNvPicPr>
          <a:picLocks noChangeAspect="1"/>
        </xdr:cNvPicPr>
      </xdr:nvPicPr>
      <xdr:blipFill>
        <a:blip xmlns:r="http://schemas.openxmlformats.org/officeDocument/2006/relationships" r:embed="rId9"/>
        <a:stretch>
          <a:fillRect/>
        </a:stretch>
      </xdr:blipFill>
      <xdr:spPr>
        <a:xfrm>
          <a:off x="8134350" y="7229475"/>
          <a:ext cx="9580952"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hangye.lianjia.com/bj/sp_buy/101113641524.html?tags=%E8%BF%91%E5%9C%B0%E9%93%81%2C%E5%8F%AF%E6%98%8E%E7%81%AB%2C%E6%9C%89%E4%BE%9B%E6%9A%96%2C%E7%B2%BE%E8%A3%85%E4%BF%AE%2C%E5%8F%AF%E6%B3%A8%E5%86%8C%2C%E4%B8%8B%E6%B0%B4%2C%E4%B8%8A%E6%B0%B4%2C%E6%8E%92%E7%83%9F%E7%AE%A1%E9%81%93%2C%E5%AE%A2%E6%A2%AF%2C%E8%B4%A7%E6%A2%AF%2C380v%2C%E7%AE%A1%E9%81%93%E7%85%A4%E6%B0%94" TargetMode="External"/><Relationship Id="rId7" Type="http://schemas.openxmlformats.org/officeDocument/2006/relationships/drawing" Target="../drawings/drawing2.xml"/><Relationship Id="rId2" Type="http://schemas.openxmlformats.org/officeDocument/2006/relationships/hyperlink" Target="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TargetMode="External"/><Relationship Id="rId1" Type="http://schemas.openxmlformats.org/officeDocument/2006/relationships/hyperlink" Target="https://shangye.lianjia.com/bj/sp_buy/101124145226.html?tags=%E8%BF%91%E5%9C%B0%E9%93%81%2C%E6%9C%89%E4%BE%9B%E6%9A%96%2C%E4%B8%8B%E6%B0%B4%2C%E4%B8%8A%E6%B0%B4%2C380v" TargetMode="External"/><Relationship Id="rId6" Type="http://schemas.openxmlformats.org/officeDocument/2006/relationships/hyperlink" Target="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TargetMode="External"/><Relationship Id="rId5" Type="http://schemas.openxmlformats.org/officeDocument/2006/relationships/hyperlink" Target="https://shangye.lianjia.com/bj/sp_buy/101116487731.html?tags=%E8%BF%91%E5%9C%B0%E9%93%81%2C%E5%8F%AF%E6%98%8E%E7%81%AB%2C%E6%9C%89%E4%BE%9B%E6%9A%96%2C%E5%8F%AF%E5%A2%9E%E5%AE%B9%E7%94%B5%E5%8A%9B%2C%E7%B2%BE%E8%A3%85%E4%BF%AE%2C%E5%8F%AF%E6%B3%A8%E5%86%8C%2C%E4%B8%8B%E6%B0%B4%2C%E4%B8%8A%E6%B0%B4%2C%E6%8E%92%E7%83%9F%E7%AE%A1%E9%81%93%2C380v%2C%E7%AE%A1%E9%81%93%E7%85%A4%E6%B0%94" TargetMode="External"/><Relationship Id="rId4" Type="http://schemas.openxmlformats.org/officeDocument/2006/relationships/hyperlink" Target="https://shangye.lianjia.com/bj/sp_buy/101113633785.html?tags=%E6%9C%89%E4%BE%9B%E6%9A%96%2C%E5%8F%AF%E5%A2%9E%E5%AE%B9%E7%94%B5%E5%8A%9B%2C%E7%B2%BE%E8%A3%85%E4%BF%AE%2C%E5%8F%AF%E6%B3%A8%E5%86%8C%2C%E4%B8%8A%E6%B0%B4%2C380v"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s://shop.fang.com/zu/3_474641929.html?channel=1,16" TargetMode="External"/><Relationship Id="rId7" Type="http://schemas.openxmlformats.org/officeDocument/2006/relationships/drawing" Target="../drawings/drawing3.xml"/><Relationship Id="rId2" Type="http://schemas.openxmlformats.org/officeDocument/2006/relationships/hyperlink" Target="https://shop.fang.com/zu/3_473321307.html?channel=1,16" TargetMode="External"/><Relationship Id="rId1" Type="http://schemas.openxmlformats.org/officeDocument/2006/relationships/hyperlink" Target="https://shop.fang.com/zu/3_476798519.html?channel=1,16" TargetMode="External"/><Relationship Id="rId6" Type="http://schemas.openxmlformats.org/officeDocument/2006/relationships/hyperlink" Target="https://shop.fang.com/zu/3_483784633.html?channel=1,16" TargetMode="External"/><Relationship Id="rId5" Type="http://schemas.openxmlformats.org/officeDocument/2006/relationships/hyperlink" Target="https://shop.fang.com/zu/3_474641904.html?channel=1,16" TargetMode="External"/><Relationship Id="rId4" Type="http://schemas.openxmlformats.org/officeDocument/2006/relationships/hyperlink" Target="https://shop.fang.com/zu/3_483880241.html?channel=1,16"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估价对象为北京市房地产，为所有。根据《国有土地使用证》[]，估价对象（分摊）出让国有建设用地使用权面积为41.13平方米，建筑面积为579.38平方米。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估价对象为北京市房地产,属开发建设的，该项目尚在开发建设中。根据《国有土地使用证》[]，估价对象（分摊）出让国有建设用地使用权面积为41.13平方米，规划建筑面积为579.38平方米。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579.38</v>
      </c>
    </row>
    <row r="44" spans="1:2">
      <c r="A44" s="1119" t="s">
        <v>575</v>
      </c>
      <c r="B44" s="1120" t="str">
        <f>'预评函-3'!C2</f>
        <v>(分摊)土地面积</v>
      </c>
    </row>
    <row r="45" spans="1:2">
      <c r="A45" s="1119" t="s">
        <v>547</v>
      </c>
      <c r="B45" s="1120">
        <f>'预评函-3'!C4</f>
        <v>41.13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447" t="s">
        <v>385</v>
      </c>
      <c r="C54" s="1445" t="s">
        <v>583</v>
      </c>
    </row>
    <row r="55" spans="1:4">
      <c r="A55" s="3292"/>
      <c r="B55" s="1447" t="s">
        <v>386</v>
      </c>
      <c r="C55" s="1445" t="s">
        <v>584</v>
      </c>
    </row>
    <row r="56" spans="1:4">
      <c r="A56" s="3292"/>
      <c r="B56" s="1447" t="s">
        <v>387</v>
      </c>
      <c r="C56" s="1445" t="s">
        <v>588</v>
      </c>
    </row>
    <row r="57" spans="1:4">
      <c r="A57" s="32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93" t="s">
        <v>2580</v>
      </c>
      <c r="J2" s="3293"/>
      <c r="K2" s="3293"/>
      <c r="L2" s="3293"/>
      <c r="M2" s="3293"/>
      <c r="N2" s="3293"/>
      <c r="O2" s="3293"/>
      <c r="P2" s="3293"/>
      <c r="Q2" s="3293"/>
      <c r="R2" s="3293"/>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4" t="str">
        <f>IF(B10="北京市","北京市",C10)&amp;F10&amp;IF(结果表!G1="在建","出让国有建设用地使用权及在建建筑物",IF(结果表!G1="土地","出让国有建设用地使用权",))&amp;B9&amp;"预评估"</f>
        <v>北京市房地产市场价值预评估</v>
      </c>
      <c r="C1" s="3295"/>
      <c r="D1" s="3295"/>
      <c r="E1" s="3295"/>
      <c r="F1" s="3295"/>
      <c r="G1" s="3295"/>
      <c r="H1" s="3295"/>
      <c r="I1" s="32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97"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98"/>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3562</v>
      </c>
      <c r="B13" s="2218" t="s">
        <v>2190</v>
      </c>
      <c r="C13" s="803"/>
      <c r="D13" s="803"/>
      <c r="E13" s="803">
        <v>55971</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27.81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04"/>
      <c r="C16" s="3305"/>
      <c r="D16" s="3306"/>
      <c r="E16" s="2222" t="s">
        <v>2194</v>
      </c>
      <c r="F16" s="3307"/>
      <c r="G16" s="3308"/>
      <c r="H16" s="3308"/>
      <c r="I16" s="3309"/>
      <c r="J16" s="2245"/>
      <c r="K16" s="2403"/>
      <c r="L16" s="1670"/>
      <c r="M16" s="1670"/>
      <c r="N16" s="2245"/>
      <c r="O16" s="1670"/>
      <c r="P16" s="2245"/>
      <c r="Q16" s="2245"/>
      <c r="R16" s="2245"/>
    </row>
    <row r="17" spans="1:28">
      <c r="A17" s="305" t="s">
        <v>2195</v>
      </c>
      <c r="B17" s="294" t="s">
        <v>2196</v>
      </c>
      <c r="C17" s="8">
        <f>'数据-汇总表'!E3</f>
        <v>579.38</v>
      </c>
      <c r="D17" s="1256" t="s">
        <v>2197</v>
      </c>
      <c r="E17" s="3310" t="s">
        <v>2198</v>
      </c>
      <c r="F17" s="3311"/>
      <c r="G17" s="3311"/>
      <c r="H17" s="3311"/>
      <c r="I17" s="33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41.13</v>
      </c>
      <c r="D18" s="1029" t="s">
        <v>2201</v>
      </c>
      <c r="E18" s="3313" t="s">
        <v>2202</v>
      </c>
      <c r="F18" s="3314"/>
      <c r="G18" s="3314"/>
      <c r="H18" s="3314"/>
      <c r="I18" s="33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0" t="s">
        <v>2206</v>
      </c>
      <c r="C20" s="3301"/>
      <c r="D20" s="3302" t="s">
        <v>2207</v>
      </c>
      <c r="E20" s="3303"/>
      <c r="F20" s="2430" t="s">
        <v>1056</v>
      </c>
      <c r="G20" s="2442"/>
      <c r="H20" s="2442"/>
      <c r="I20" s="2442"/>
      <c r="J20" s="2245"/>
      <c r="K20" s="32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8"/>
      <c r="B30" s="294" t="s">
        <v>2218</v>
      </c>
      <c r="C30" s="3319"/>
      <c r="D30" s="3320"/>
      <c r="E30" s="2442"/>
      <c r="F30" s="2442"/>
      <c r="G30" s="2442"/>
      <c r="H30" s="2442"/>
      <c r="I30" s="2442"/>
      <c r="J30" s="2245"/>
      <c r="K30" s="2402"/>
      <c r="L30" s="2399"/>
      <c r="M30" s="2399"/>
      <c r="N30" s="2245"/>
      <c r="O30" s="1670"/>
      <c r="P30" s="2245"/>
      <c r="Q30" s="2245"/>
      <c r="R30" s="2245"/>
      <c r="S30" s="2245"/>
      <c r="T30" s="2245"/>
      <c r="U30" s="2245"/>
      <c r="V30" s="2245"/>
    </row>
    <row r="31" spans="1:28">
      <c r="A31" s="332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16" t="s">
        <v>2228</v>
      </c>
      <c r="T34" s="315" t="str">
        <f>NUMBERSTRING(7-K34,1)&amp;"通"</f>
        <v>七通</v>
      </c>
      <c r="U34" s="2245"/>
      <c r="V34" s="2245"/>
    </row>
    <row r="35" spans="1:30">
      <c r="A35" s="2236"/>
      <c r="B35" s="3316" t="s">
        <v>2229</v>
      </c>
      <c r="C35" s="3316"/>
      <c r="D35" s="3316"/>
      <c r="E35" s="33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41.13</v>
      </c>
      <c r="B3" s="11">
        <f>IF(C3="否",G5-AT5,G5)</f>
        <v>579.38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579.38</v>
      </c>
      <c r="H5" s="13">
        <f t="shared" ref="H5:AT5" si="0">SUM(H13:H656)</f>
        <v>579.38</v>
      </c>
      <c r="I5" s="13">
        <f t="shared" si="0"/>
        <v>579.38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579.38</v>
      </c>
      <c r="BA5" s="15">
        <f t="shared" si="1"/>
        <v>579.38</v>
      </c>
      <c r="BB5" s="15">
        <f t="shared" si="1"/>
        <v>579.38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41.13</v>
      </c>
      <c r="F6" s="13" t="s">
        <v>0</v>
      </c>
      <c r="G6" s="13" t="s">
        <v>1</v>
      </c>
      <c r="H6" s="17">
        <f>SUMIF(I$12:AB$12,"总值",I6:AB6)</f>
        <v>41.13</v>
      </c>
      <c r="I6" s="13">
        <f t="shared" ref="I6:AB6" si="2">ROUND($A$3*I5/$B$3,2)</f>
        <v>41.13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41.13</v>
      </c>
      <c r="AZ6" s="13" t="s">
        <v>2</v>
      </c>
      <c r="BA6" s="13">
        <f>ROUND($AY$6*BA5/$AZ$5,2)</f>
        <v>41.13</v>
      </c>
      <c r="BB6" s="13">
        <f>ROUND($AY$6*BB5/$AZ$5,2)</f>
        <v>41.13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41.13</v>
      </c>
      <c r="F13" s="29"/>
      <c r="G13" s="30">
        <f>H13+AC13+AT13</f>
        <v>579.38</v>
      </c>
      <c r="H13" s="17">
        <f>SUMIF(I$12:AB$12,"总值",I13:AB13)</f>
        <v>579.38</v>
      </c>
      <c r="I13" s="1514">
        <v>579.38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41.13</v>
      </c>
      <c r="AZ13" s="13">
        <f>BA13+BL13</f>
        <v>579.38</v>
      </c>
      <c r="BA13" s="13">
        <f>SUM(BB13:BK13)</f>
        <v>579.38</v>
      </c>
      <c r="BB13" s="13">
        <f>IF($D13="是",I13-J13,0)</f>
        <v>579.38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2" t="s">
        <v>1131</v>
      </c>
      <c r="B2" s="3332"/>
      <c r="C2" s="3332"/>
      <c r="D2" s="748" t="s">
        <v>1107</v>
      </c>
      <c r="E2" s="1523" t="s">
        <v>1108</v>
      </c>
      <c r="F2" s="2439"/>
      <c r="G2" s="2432"/>
      <c r="H2" s="2433"/>
      <c r="I2" s="2146" t="s">
        <v>1132</v>
      </c>
      <c r="J2" s="2439"/>
      <c r="K2" s="2439"/>
      <c r="L2" s="2439"/>
      <c r="M2" s="2439"/>
      <c r="N2" s="2440"/>
      <c r="O2" s="2439"/>
      <c r="P2" s="2439"/>
    </row>
    <row r="3" spans="1:16" ht="15.75" thickBot="1">
      <c r="A3" s="3333" t="s">
        <v>1105</v>
      </c>
      <c r="B3" s="3333"/>
      <c r="C3" s="3333"/>
      <c r="D3" s="41">
        <f>'数据-基础表'!AY6</f>
        <v>41.13</v>
      </c>
      <c r="E3" s="41">
        <f>'数据-基础表'!AZ5</f>
        <v>579.38</v>
      </c>
      <c r="F3" s="2439"/>
      <c r="G3" s="42"/>
      <c r="H3" s="43" t="s">
        <v>1106</v>
      </c>
      <c r="I3" s="802">
        <f>ROUND('数据-基础表'!B3/'数据-基础表'!A3,2)</f>
        <v>14.09</v>
      </c>
      <c r="J3" s="2439"/>
      <c r="K3" s="2439"/>
      <c r="L3" s="2439"/>
      <c r="M3" s="2439"/>
      <c r="N3" s="2440"/>
      <c r="O3" s="2439"/>
      <c r="P3" s="2439"/>
    </row>
    <row r="4" spans="1:16" ht="15">
      <c r="A4" s="3334"/>
      <c r="B4" s="3335"/>
      <c r="C4" s="3336"/>
      <c r="D4" s="1524" t="s">
        <v>1107</v>
      </c>
      <c r="E4" s="1525" t="s">
        <v>1108</v>
      </c>
      <c r="F4" s="2439"/>
      <c r="G4" s="2434" t="s">
        <v>1133</v>
      </c>
      <c r="H4" s="43" t="s">
        <v>1113</v>
      </c>
      <c r="I4" s="802">
        <f>ROUND(SUMIF('数据-基础表'!I9:AS9,"地上",'数据-基础表'!I5:AS5)/'数据-基础表'!A3,2)</f>
        <v>14.09</v>
      </c>
      <c r="J4" s="2439"/>
      <c r="K4" s="2439"/>
      <c r="L4" s="2439"/>
      <c r="M4" s="2439"/>
      <c r="N4" s="2440"/>
      <c r="O4" s="2439"/>
      <c r="P4" s="2439"/>
    </row>
    <row r="5" spans="1:16">
      <c r="A5" s="42" t="s">
        <v>1109</v>
      </c>
      <c r="B5" s="3337" t="s">
        <v>1110</v>
      </c>
      <c r="C5" s="3337"/>
      <c r="D5" s="43">
        <f>ROUND($D$3*E5/$E$3,2)</f>
        <v>0</v>
      </c>
      <c r="E5" s="44">
        <f>SUMIF('数据-基础表'!$11:$11,"住宅",'数据-基础表'!$5:$5)</f>
        <v>0</v>
      </c>
      <c r="F5" s="2439"/>
      <c r="G5" s="42"/>
      <c r="H5" s="43" t="s">
        <v>1106</v>
      </c>
      <c r="I5" s="802">
        <f>ROUND(E31/D31,2)</f>
        <v>14.09</v>
      </c>
      <c r="J5" s="2439"/>
      <c r="K5" s="2439"/>
      <c r="L5" s="2439"/>
      <c r="M5" s="2439"/>
      <c r="N5" s="2439"/>
      <c r="O5" s="2439"/>
      <c r="P5" s="2439"/>
    </row>
    <row r="6" spans="1:16" ht="15" thickBot="1">
      <c r="A6" s="1527"/>
      <c r="B6" s="3337" t="s">
        <v>1111</v>
      </c>
      <c r="C6" s="3337"/>
      <c r="D6" s="43">
        <f>ROUND($D$3*E6/$E$3,2)</f>
        <v>41.13</v>
      </c>
      <c r="E6" s="44">
        <f>E3-E5</f>
        <v>579.38</v>
      </c>
      <c r="F6" s="2439"/>
      <c r="G6" s="1529" t="s">
        <v>1112</v>
      </c>
      <c r="H6" s="45" t="s">
        <v>1113</v>
      </c>
      <c r="I6" s="2435">
        <f>ROUND(F31/D31,2)</f>
        <v>14.09</v>
      </c>
      <c r="J6" s="2439"/>
      <c r="K6" s="2439"/>
      <c r="L6" s="2439"/>
      <c r="M6" s="2439"/>
      <c r="N6" s="2439"/>
      <c r="O6" s="2439"/>
      <c r="P6" s="2439"/>
    </row>
    <row r="7" spans="1:16" ht="15.75" thickBot="1">
      <c r="A7" s="3329"/>
      <c r="B7" s="3330"/>
      <c r="C7" s="333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41.13</v>
      </c>
      <c r="E8" s="46">
        <f>SUMIF('数据-基础表'!BB10:BK10,"地上",'数据-基础表'!BB5:BK5)</f>
        <v>579.38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41.13</v>
      </c>
      <c r="E16" s="48">
        <f>SUM(E8:E15)</f>
        <v>579.38</v>
      </c>
      <c r="F16" s="2439"/>
      <c r="G16" s="2439"/>
      <c r="H16" s="1531" t="s">
        <v>1135</v>
      </c>
      <c r="I16" s="1532"/>
      <c r="J16" s="1071"/>
      <c r="K16" s="3326" t="s">
        <v>1135</v>
      </c>
      <c r="L16" s="3327"/>
      <c r="M16" s="3327"/>
      <c r="N16" s="3327"/>
      <c r="O16" s="3327"/>
      <c r="P16" s="3328"/>
    </row>
    <row r="17" spans="1:19" ht="15">
      <c r="A17" s="1533" t="s">
        <v>1136</v>
      </c>
      <c r="B17" s="1534" t="s">
        <v>1137</v>
      </c>
      <c r="C17" s="1535" t="s">
        <v>1138</v>
      </c>
      <c r="D17" s="1536" t="s">
        <v>1126</v>
      </c>
      <c r="E17" s="1537" t="s">
        <v>1127</v>
      </c>
      <c r="F17" s="1538"/>
      <c r="G17" s="1539"/>
      <c r="H17" s="1540" t="s">
        <v>1139</v>
      </c>
      <c r="I17" s="1541" t="s">
        <v>1124</v>
      </c>
      <c r="J17" s="1071"/>
      <c r="K17" s="3323" t="s">
        <v>1140</v>
      </c>
      <c r="L17" s="3324"/>
      <c r="M17" s="3325"/>
      <c r="N17" s="3323" t="s">
        <v>1141</v>
      </c>
      <c r="O17" s="3324"/>
      <c r="P17" s="33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3584</v>
      </c>
      <c r="D19" s="43">
        <f>ROUND($D$3*E19/$E$3,2)</f>
        <v>41.13</v>
      </c>
      <c r="E19" s="51">
        <f t="shared" ref="E19:E26" si="1">SUM(F19:G19)</f>
        <v>579.38</v>
      </c>
      <c r="F19" s="2558">
        <f>'数据-基础表'!I5</f>
        <v>579.38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41.13</v>
      </c>
      <c r="S19" s="51">
        <f t="shared" si="5"/>
        <v>579.38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41.13</v>
      </c>
      <c r="E27" s="1073">
        <f>IF(SUM(E19:E26)='数据-基础表'!BA5,SUM(E19:E26),IF(F27="地上面积有误","面积有误","地下面积有误"))</f>
        <v>579.38</v>
      </c>
      <c r="F27" s="1072">
        <f>IF(SUM(F19:F26)=E8,SUM(F19:F26),"地上面积有误")</f>
        <v>579.38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41.13</v>
      </c>
      <c r="S27" s="43">
        <f>IF(SUM(S19:S26)=$E$3,SUM(S19:S26),SUM(S19:S26)&amp;"误差"&amp;ROUND(SUM(S19:S26)-E3,2))</f>
        <v>579.38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41.13</v>
      </c>
      <c r="E31" s="643">
        <f>E27+E30</f>
        <v>579.38</v>
      </c>
      <c r="F31" s="644">
        <f>F27+F30</f>
        <v>579.38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27.81</v>
      </c>
      <c r="G6" s="62">
        <f>IF(ISERROR(ROUND(POWER(1+H6,D6-F6)*(POWER(1+H6,F6)-1)/(POWER(1+H6,D6)-1),3)),0,ROUND(POWER(1+H6,D6-F6)*(POWER(1+H6,F6)-1)/(POWER(1+H6,D6)-1),3))</f>
        <v>0.83199999999999996</v>
      </c>
      <c r="H6" s="691">
        <v>5.5E-2</v>
      </c>
      <c r="I6" s="691">
        <v>0.06</v>
      </c>
      <c r="J6" s="63">
        <v>6.5000000000000002E-2</v>
      </c>
      <c r="K6" s="970">
        <f>SUMIF('数据-汇总表'!C$19:C$33,A6,'数据-汇总表'!E$19:E$33)</f>
        <v>579.38</v>
      </c>
      <c r="L6" s="692">
        <v>3500</v>
      </c>
      <c r="M6" s="64">
        <f t="shared" ref="M6:M14" si="0">ROUND(K6*L6/10000,0)</f>
        <v>203</v>
      </c>
      <c r="N6" s="690">
        <v>0.7</v>
      </c>
      <c r="O6" s="64" t="str">
        <f>IF($N$5="成新度","——",ROUND(M6*N6,0))</f>
        <v>——</v>
      </c>
      <c r="P6" s="65" t="str">
        <f>IF($N$5="成新度","——",M6-O6)</f>
        <v>——</v>
      </c>
      <c r="Q6" s="693">
        <v>0.15</v>
      </c>
      <c r="R6" s="66">
        <f ca="1">SUMIF('数据-汇总表'!C$19:C$33,A6,'数据-汇总表'!R$19:R$27)</f>
        <v>41.13</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5.5E-2</v>
      </c>
      <c r="I16" s="85"/>
      <c r="J16" s="85"/>
      <c r="K16" s="86">
        <f>SUM(K6:K15)</f>
        <v>579.38</v>
      </c>
      <c r="L16" s="87">
        <f>ROUND(M16*10000/SUM(K6:K14),0)</f>
        <v>3504</v>
      </c>
      <c r="M16" s="87">
        <f>SUM(M6:M14)</f>
        <v>203</v>
      </c>
      <c r="N16" s="88">
        <f>ROUND(SUMPRODUCT(M6:M14,N6:N14)/M16,3)</f>
        <v>0.7</v>
      </c>
      <c r="O16" s="87">
        <f>SUM(O6:O14)</f>
        <v>0</v>
      </c>
      <c r="P16" s="87">
        <f>SUM(P6:P14)</f>
        <v>0</v>
      </c>
      <c r="Q16" s="89">
        <f>ROUND(SUMPRODUCT(Q6:Q13,K6:K13)/SUMPRODUCT((Q6:Q13&gt;0)*(K6:K13)),2)</f>
        <v>0.15</v>
      </c>
      <c r="R16" s="974">
        <f ca="1">SUM(R6:R13)</f>
        <v>41.13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0.66666666666666674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8" t="s">
        <v>2286</v>
      </c>
      <c r="B1" s="3339"/>
      <c r="C1" s="3339"/>
      <c r="D1" s="3339"/>
      <c r="E1" s="3339"/>
      <c r="F1" s="3339"/>
      <c r="G1" s="33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579.38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7604.9418799999994</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7605</v>
      </c>
      <c r="C10" s="2300" t="s">
        <v>3354</v>
      </c>
      <c r="D10" s="2300" t="s">
        <v>3355</v>
      </c>
      <c r="E10" s="3137">
        <f>'收益法 （倒）'!D37</f>
        <v>28.05</v>
      </c>
      <c r="F10" s="3141" t="s">
        <v>3356</v>
      </c>
      <c r="G10" s="3138">
        <f>'收益法 （倒）'!N32</f>
        <v>7.8E-2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579.38</v>
      </c>
      <c r="C14" s="2306"/>
      <c r="D14" s="2306">
        <f>B14*E14/10000</f>
        <v>7604.9418799999994</v>
      </c>
      <c r="E14" s="2306">
        <f>ROUND(E10/G10*365,0)</f>
        <v>131260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7" t="str">
        <f>项目基本情况!S2</f>
        <v>北京市房地产</v>
      </c>
      <c r="B2" s="3408"/>
      <c r="C2" s="3408"/>
      <c r="D2" s="3408"/>
      <c r="E2" s="3408"/>
      <c r="F2" s="3408"/>
      <c r="G2" s="3408"/>
      <c r="H2" s="3408"/>
      <c r="I2" s="3409"/>
    </row>
    <row r="3" spans="1:12" ht="12.75">
      <c r="A3" s="3411" t="s">
        <v>1264</v>
      </c>
      <c r="B3" s="3412"/>
      <c r="C3" s="3412"/>
      <c r="D3" s="3412"/>
      <c r="E3" s="3412"/>
      <c r="F3" s="3412"/>
      <c r="G3" s="3412"/>
      <c r="H3" s="3412"/>
      <c r="I3" s="3412"/>
    </row>
    <row r="4" spans="1:12" ht="14.25">
      <c r="A4" s="1624" t="s">
        <v>1265</v>
      </c>
      <c r="B4" s="1625" t="s">
        <v>1266</v>
      </c>
      <c r="C4" s="1626"/>
      <c r="D4" s="1626"/>
      <c r="E4" s="3416" t="s">
        <v>1267</v>
      </c>
      <c r="F4" s="3417"/>
      <c r="G4" s="3417"/>
      <c r="H4" s="3417"/>
      <c r="I4" s="341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5" t="s">
        <v>1268</v>
      </c>
      <c r="B5" s="3410">
        <v>25</v>
      </c>
      <c r="C5" s="3413"/>
      <c r="D5" s="3401"/>
      <c r="E5" s="123" t="s">
        <v>1269</v>
      </c>
      <c r="F5" s="1627"/>
      <c r="G5" s="1627"/>
      <c r="H5" s="1627"/>
      <c r="I5" s="1281"/>
    </row>
    <row r="6" spans="1:12" ht="12.75">
      <c r="A6" s="3355"/>
      <c r="B6" s="3410"/>
      <c r="C6" s="3415"/>
      <c r="D6" s="3401"/>
      <c r="E6" s="123" t="s">
        <v>1270</v>
      </c>
      <c r="F6" s="1627"/>
      <c r="G6" s="1627"/>
      <c r="H6" s="1627"/>
      <c r="I6" s="1281"/>
    </row>
    <row r="7" spans="1:12" ht="12.75">
      <c r="A7" s="3355"/>
      <c r="B7" s="3410"/>
      <c r="C7" s="3414"/>
      <c r="D7" s="3401"/>
      <c r="E7" s="123" t="s">
        <v>1271</v>
      </c>
      <c r="F7" s="1627"/>
      <c r="G7" s="1627"/>
      <c r="H7" s="1627"/>
      <c r="I7" s="1281"/>
    </row>
    <row r="8" spans="1:12" ht="12.75">
      <c r="A8" s="3355" t="s">
        <v>1272</v>
      </c>
      <c r="B8" s="3410">
        <v>15</v>
      </c>
      <c r="C8" s="3413"/>
      <c r="D8" s="3401"/>
      <c r="E8" s="123" t="s">
        <v>1273</v>
      </c>
      <c r="F8" s="1627"/>
      <c r="G8" s="1627"/>
      <c r="H8" s="1627"/>
      <c r="I8" s="1281"/>
    </row>
    <row r="9" spans="1:12" ht="12.75">
      <c r="A9" s="3355"/>
      <c r="B9" s="3410"/>
      <c r="C9" s="3414"/>
      <c r="D9" s="3401"/>
      <c r="E9" s="123" t="s">
        <v>1274</v>
      </c>
      <c r="F9" s="1627"/>
      <c r="G9" s="1627"/>
      <c r="H9" s="1627"/>
      <c r="I9" s="1281"/>
    </row>
    <row r="10" spans="1:12" ht="12.75">
      <c r="A10" s="3355" t="s">
        <v>1275</v>
      </c>
      <c r="B10" s="3410">
        <v>15</v>
      </c>
      <c r="C10" s="3413"/>
      <c r="D10" s="3401"/>
      <c r="E10" s="123" t="s">
        <v>1276</v>
      </c>
      <c r="F10" s="1627"/>
      <c r="G10" s="1627"/>
      <c r="H10" s="1627"/>
      <c r="I10" s="1281"/>
    </row>
    <row r="11" spans="1:12" ht="12.75">
      <c r="A11" s="3355"/>
      <c r="B11" s="3410"/>
      <c r="C11" s="3414"/>
      <c r="D11" s="3401"/>
      <c r="E11" s="123" t="s">
        <v>1277</v>
      </c>
      <c r="F11" s="1627"/>
      <c r="G11" s="1627"/>
      <c r="H11" s="1627"/>
      <c r="I11" s="1281"/>
    </row>
    <row r="12" spans="1:12" ht="12.75">
      <c r="A12" s="3355" t="s">
        <v>1278</v>
      </c>
      <c r="B12" s="3410">
        <v>15</v>
      </c>
      <c r="C12" s="3413"/>
      <c r="D12" s="3401"/>
      <c r="E12" s="123" t="s">
        <v>1279</v>
      </c>
      <c r="F12" s="1627"/>
      <c r="G12" s="1627"/>
      <c r="H12" s="1627"/>
      <c r="I12" s="1281"/>
    </row>
    <row r="13" spans="1:12" ht="12.75">
      <c r="A13" s="3355"/>
      <c r="B13" s="3410"/>
      <c r="C13" s="3414"/>
      <c r="D13" s="3401"/>
      <c r="E13" s="123" t="s">
        <v>1280</v>
      </c>
      <c r="F13" s="1627"/>
      <c r="G13" s="1627"/>
      <c r="H13" s="1627"/>
      <c r="I13" s="1281"/>
    </row>
    <row r="14" spans="1:12" ht="12.75">
      <c r="A14" s="3355" t="s">
        <v>1281</v>
      </c>
      <c r="B14" s="3410">
        <v>30</v>
      </c>
      <c r="C14" s="3413"/>
      <c r="D14" s="3401"/>
      <c r="E14" s="123" t="s">
        <v>1282</v>
      </c>
      <c r="F14" s="1627"/>
      <c r="G14" s="1627"/>
      <c r="H14" s="1627"/>
      <c r="I14" s="1281"/>
    </row>
    <row r="15" spans="1:12" ht="12.75">
      <c r="A15" s="3355"/>
      <c r="B15" s="3410"/>
      <c r="C15" s="3415"/>
      <c r="D15" s="3401"/>
      <c r="E15" s="123" t="s">
        <v>1283</v>
      </c>
      <c r="F15" s="1627"/>
      <c r="G15" s="1627"/>
      <c r="H15" s="1627"/>
      <c r="I15" s="1281"/>
    </row>
    <row r="16" spans="1:12" ht="12.75">
      <c r="A16" s="3355"/>
      <c r="B16" s="3410"/>
      <c r="C16" s="3414"/>
      <c r="D16" s="340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32" t="s">
        <v>2131</v>
      </c>
      <c r="F18" s="3433"/>
      <c r="G18" s="3433"/>
      <c r="H18" s="3433"/>
      <c r="I18" s="3433"/>
      <c r="K18" s="294" t="s">
        <v>1289</v>
      </c>
      <c r="L18" s="294">
        <f>IF(C1="",'数据-汇总表'!E3,SUMIF(项目类型,C1,'数据-汇总表'!E17:E26)+SUMIF(项目类型,C1,'数据-汇总表'!I17:I26))</f>
        <v>579.38</v>
      </c>
      <c r="M18" s="294">
        <f>IF(C1="",'数据-汇总表'!E3,SUMIF(项目类型,C1,'数据-汇总表'!E17:E26))</f>
        <v>579.38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41.13</v>
      </c>
      <c r="M19" s="294">
        <f>IF(C1="",'数据-汇总表'!D3,SUMIF(项目类型,C1,'数据-汇总表'!D17:D26))</f>
        <v>41.13</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25" t="s">
        <v>1299</v>
      </c>
      <c r="B24" s="1631" t="s">
        <v>1291</v>
      </c>
      <c r="C24" s="128">
        <f>IF(B30=0,0,D30)</f>
        <v>0</v>
      </c>
      <c r="D24" s="1637"/>
      <c r="E24" s="121"/>
      <c r="F24" s="121"/>
      <c r="G24" s="121"/>
      <c r="H24" s="121"/>
      <c r="I24" s="121"/>
    </row>
    <row r="25" spans="1:36" ht="14.25">
      <c r="A25" s="342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2" t="s">
        <v>1312</v>
      </c>
      <c r="B36" s="1652" t="s">
        <v>1313</v>
      </c>
      <c r="C36" s="137"/>
      <c r="D36" s="1653"/>
      <c r="E36" s="1567"/>
      <c r="F36" s="1654"/>
      <c r="G36" s="121"/>
      <c r="H36" s="121"/>
      <c r="I36" s="121"/>
    </row>
    <row r="37" spans="1:15" ht="15.75" thickBot="1">
      <c r="A37" s="3403"/>
      <c r="B37" s="1555" t="s">
        <v>1314</v>
      </c>
      <c r="C37" s="139"/>
      <c r="D37" s="1071"/>
      <c r="E37" s="1071"/>
      <c r="F37" s="1654"/>
      <c r="G37" s="121"/>
      <c r="H37" s="121"/>
      <c r="I37" s="121"/>
    </row>
    <row r="38" spans="1:15" ht="15.75" thickBot="1">
      <c r="A38" s="34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2" t="s">
        <v>1326</v>
      </c>
      <c r="B45" s="3423"/>
      <c r="C45" s="3424"/>
      <c r="D45" s="147" t="e">
        <f ca="1">ROUND(H101*F45,0)</f>
        <v>#REF!</v>
      </c>
      <c r="E45" s="148" t="s">
        <v>1327</v>
      </c>
      <c r="F45" s="149">
        <v>1</v>
      </c>
      <c r="G45" s="150" t="s">
        <v>1328</v>
      </c>
      <c r="H45" s="121"/>
      <c r="I45" s="121"/>
      <c r="J45" s="3342" t="s">
        <v>1329</v>
      </c>
      <c r="K45" s="3342"/>
      <c r="L45" s="3342"/>
      <c r="M45" s="3342"/>
      <c r="N45" s="3342"/>
      <c r="O45" s="3342"/>
    </row>
    <row r="46" spans="1:15" ht="14.25" customHeight="1">
      <c r="A46" s="3419" t="s">
        <v>1330</v>
      </c>
      <c r="B46" s="3420"/>
      <c r="C46" s="3420"/>
      <c r="D46" s="3420"/>
      <c r="E46" s="3420"/>
      <c r="F46" s="3420"/>
      <c r="G46" s="3421"/>
      <c r="H46" s="1668"/>
      <c r="I46" s="151"/>
      <c r="J46" s="2310">
        <v>1</v>
      </c>
      <c r="K46" s="3343" t="s">
        <v>1331</v>
      </c>
      <c r="L46" s="3343"/>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43" t="s">
        <v>1337</v>
      </c>
      <c r="L47" s="3343"/>
      <c r="M47" s="3345">
        <f>'数据-取费表'!B2</f>
        <v>45819</v>
      </c>
      <c r="N47" s="3345"/>
      <c r="O47" s="3345"/>
    </row>
    <row r="48" spans="1:15" ht="25.5">
      <c r="A48" s="3405" t="s">
        <v>1338</v>
      </c>
      <c r="B48" s="3406"/>
      <c r="C48" s="340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43" t="s">
        <v>1340</v>
      </c>
      <c r="L48" s="3343"/>
      <c r="M48" s="3346" t="e">
        <f ca="1">H101</f>
        <v>#REF!</v>
      </c>
      <c r="N48" s="3346"/>
      <c r="O48" s="3346"/>
    </row>
    <row r="49" spans="1:35" ht="25.5" customHeight="1">
      <c r="A49" s="2152" t="s">
        <v>1341</v>
      </c>
      <c r="B49" s="3391" t="s">
        <v>1342</v>
      </c>
      <c r="C49" s="3391"/>
      <c r="D49" s="1478">
        <v>0</v>
      </c>
      <c r="E49" s="316" t="s">
        <v>1343</v>
      </c>
      <c r="F49" s="2233" t="s">
        <v>28</v>
      </c>
      <c r="G49" s="3374"/>
      <c r="H49" s="2134" t="s">
        <v>2134</v>
      </c>
      <c r="I49" s="2135"/>
      <c r="J49" s="2310">
        <v>4</v>
      </c>
      <c r="K49" s="3343" t="str">
        <f>IF(项目基本情况!E8="房地产抵押价值","房地产抵押价值","抵押担保权已注销时的房地产抵押价值")</f>
        <v>抵押担保权已注销时的房地产抵押价值</v>
      </c>
      <c r="L49" s="3343"/>
      <c r="M49" s="3346" t="str">
        <f>IF(项目基本情况!E8="房地产抵押价值",H107,H109)</f>
        <v>——</v>
      </c>
      <c r="N49" s="3346"/>
      <c r="O49" s="3346"/>
    </row>
    <row r="50" spans="1:35" ht="25.5" customHeight="1">
      <c r="A50" s="2338"/>
      <c r="B50" s="3391" t="s">
        <v>1344</v>
      </c>
      <c r="C50" s="3391"/>
      <c r="D50" s="2189"/>
      <c r="E50" s="323"/>
      <c r="F50" s="2233"/>
      <c r="G50" s="3375"/>
      <c r="H50" s="2136" t="s">
        <v>2135</v>
      </c>
      <c r="I50" s="2135"/>
      <c r="J50" s="3342" t="s">
        <v>1345</v>
      </c>
      <c r="K50" s="3342"/>
      <c r="L50" s="3342"/>
      <c r="M50" s="3342"/>
      <c r="N50" s="3342"/>
      <c r="O50" s="3342"/>
    </row>
    <row r="51" spans="1:35" ht="20.45" customHeight="1">
      <c r="A51" s="2339"/>
      <c r="B51" s="3391" t="s">
        <v>1346</v>
      </c>
      <c r="C51" s="3391"/>
      <c r="D51" s="1024"/>
      <c r="E51" s="319"/>
      <c r="F51" s="2233"/>
      <c r="G51" s="3376"/>
      <c r="H51" s="2136" t="s">
        <v>2136</v>
      </c>
      <c r="I51" s="2135"/>
      <c r="J51" s="2311" t="s">
        <v>1347</v>
      </c>
      <c r="K51" s="3343" t="s">
        <v>1348</v>
      </c>
      <c r="L51" s="3343"/>
      <c r="M51" s="2311" t="s">
        <v>1349</v>
      </c>
      <c r="N51" s="2311" t="s">
        <v>1350</v>
      </c>
      <c r="O51" s="2311" t="s">
        <v>1351</v>
      </c>
    </row>
    <row r="52" spans="1:35" ht="24" customHeight="1">
      <c r="A52" s="2153" t="s">
        <v>1352</v>
      </c>
      <c r="B52" s="3391" t="s">
        <v>1353</v>
      </c>
      <c r="C52" s="3391"/>
      <c r="D52" s="1024" t="e">
        <f ca="1">ROUND(D45*'数据-取费表'!B41/(1+'数据-取费表'!C42),0)</f>
        <v>#REF!</v>
      </c>
      <c r="E52" s="1256" t="s">
        <v>1354</v>
      </c>
      <c r="F52" s="2340">
        <f>'数据-取费表'!B41</f>
        <v>5.6000000000000001E-2</v>
      </c>
      <c r="G52" s="2341"/>
      <c r="H52" s="2331"/>
      <c r="I52" s="1669"/>
      <c r="J52" s="2310">
        <v>1</v>
      </c>
      <c r="K52" s="3368" t="s">
        <v>1355</v>
      </c>
      <c r="L52" s="3368"/>
      <c r="M52" s="2312" t="b">
        <f>D48</f>
        <v>0</v>
      </c>
      <c r="N52" s="2310" t="str">
        <f>E48</f>
        <v>销售额×税（费）率</v>
      </c>
      <c r="O52" s="2313">
        <f>F48</f>
        <v>5.6000000000000001E-2</v>
      </c>
    </row>
    <row r="53" spans="1:35" ht="12" customHeight="1">
      <c r="A53" s="2153" t="s">
        <v>1356</v>
      </c>
      <c r="B53" s="3392" t="s">
        <v>2291</v>
      </c>
      <c r="C53" s="3393"/>
      <c r="D53" s="1024" t="e">
        <f ca="1">ROUND(D45*'数据-取费表'!B41/(1+'数据-取费表'!C42),0)</f>
        <v>#REF!</v>
      </c>
      <c r="E53" s="1256" t="s">
        <v>1354</v>
      </c>
      <c r="F53" s="2340">
        <f>'数据-取费表'!B41</f>
        <v>5.6000000000000001E-2</v>
      </c>
      <c r="G53" s="2341"/>
      <c r="H53" s="2331"/>
      <c r="I53" s="1669"/>
      <c r="J53" s="2310">
        <v>2</v>
      </c>
      <c r="K53" s="3368" t="s">
        <v>1357</v>
      </c>
      <c r="L53" s="3368"/>
      <c r="M53" s="2312" t="e">
        <f t="shared" ref="M53:O54" ca="1" si="0">D55</f>
        <v>#REF!</v>
      </c>
      <c r="N53" s="2310" t="str">
        <f t="shared" si="0"/>
        <v>销售额×税（费）率</v>
      </c>
      <c r="O53" s="2313" t="str">
        <f t="shared" si="0"/>
        <v>免征</v>
      </c>
    </row>
    <row r="54" spans="1:35" ht="12" customHeight="1">
      <c r="A54" s="2153" t="s">
        <v>1358</v>
      </c>
      <c r="B54" s="3392" t="s">
        <v>2292</v>
      </c>
      <c r="C54" s="3393"/>
      <c r="D54" s="1024" t="e">
        <f ca="1">C68</f>
        <v>#REF!</v>
      </c>
      <c r="E54" s="319" t="s">
        <v>1359</v>
      </c>
      <c r="F54" s="2340">
        <f>'数据-取费表'!B41</f>
        <v>5.6000000000000001E-2</v>
      </c>
      <c r="G54" s="2341"/>
      <c r="H54" s="2342"/>
      <c r="I54" s="1669"/>
      <c r="J54" s="2310">
        <v>3</v>
      </c>
      <c r="K54" s="3368" t="s">
        <v>1360</v>
      </c>
      <c r="L54" s="3368"/>
      <c r="M54" s="2312" t="e">
        <f t="shared" ca="1" si="0"/>
        <v>#REF!</v>
      </c>
      <c r="N54" s="2310" t="str">
        <f t="shared" si="0"/>
        <v>增值额×税（费）率</v>
      </c>
      <c r="O54" s="2314" t="str">
        <f t="shared" si="0"/>
        <v>免征</v>
      </c>
    </row>
    <row r="55" spans="1:35" ht="24" customHeight="1">
      <c r="A55" s="3428" t="s">
        <v>1361</v>
      </c>
      <c r="B55" s="3406"/>
      <c r="C55" s="3406"/>
      <c r="D55" s="12" t="e">
        <f ca="1">IF(H55="个人住宅",0,ROUND(D45*I55,0))</f>
        <v>#REF!</v>
      </c>
      <c r="E55" s="1256" t="s">
        <v>1362</v>
      </c>
      <c r="F55" s="2340" t="str">
        <f>IF(H55="正常",I55,"免征")</f>
        <v>免征</v>
      </c>
      <c r="G55" s="2341"/>
      <c r="H55" s="2337"/>
      <c r="I55" s="157">
        <f>'数据-取费表'!B49</f>
        <v>5.0000000000000001E-4</v>
      </c>
      <c r="J55" s="2310">
        <f>IF(H59="非个人房产","",4)</f>
        <v>4</v>
      </c>
      <c r="K55" s="3368" t="str">
        <f>IF(H59="非个人房产","——","个人所得税")</f>
        <v>个人所得税</v>
      </c>
      <c r="L55" s="3368"/>
      <c r="M55" s="2315" t="e">
        <f ca="1">D59</f>
        <v>#REF!</v>
      </c>
      <c r="N55" s="1883" t="str">
        <f>E59</f>
        <v>差额计税</v>
      </c>
      <c r="O55" s="2316">
        <f>F59</f>
        <v>0.01</v>
      </c>
    </row>
    <row r="56" spans="1:35" ht="24.75">
      <c r="A56" s="3428" t="s">
        <v>1363</v>
      </c>
      <c r="B56" s="3406"/>
      <c r="C56" s="3406"/>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2.75">
      <c r="A57" s="2153" t="s">
        <v>1341</v>
      </c>
      <c r="B57" s="3392" t="s">
        <v>1366</v>
      </c>
      <c r="C57" s="3393"/>
      <c r="D57" s="1478">
        <v>0</v>
      </c>
      <c r="E57" s="316" t="s">
        <v>1343</v>
      </c>
      <c r="F57" s="294"/>
      <c r="G57" s="2341"/>
      <c r="H57" s="2345"/>
      <c r="I57" s="1670"/>
      <c r="J57" s="3368">
        <f>IF(AND(J55="",J56=""),4,IF(项目基本情况!K6="上海银行",结果表!J56+1,结果表!J55+1))</f>
        <v>5</v>
      </c>
      <c r="K57" s="3368" t="s">
        <v>1367</v>
      </c>
      <c r="L57" s="2317" t="s">
        <v>1368</v>
      </c>
      <c r="M57" s="2318"/>
      <c r="N57" s="2319">
        <f ca="1">SUMIF(M52:M56,"&lt;9e307")</f>
        <v>0</v>
      </c>
      <c r="O57" s="2320"/>
      <c r="P57" s="2465" t="e">
        <f ca="1">N57/M49</f>
        <v>#VALUE!</v>
      </c>
    </row>
    <row r="58" spans="1:35" ht="24.75">
      <c r="A58" s="2153" t="s">
        <v>1352</v>
      </c>
      <c r="B58" s="3392" t="s">
        <v>1369</v>
      </c>
      <c r="C58" s="3391"/>
      <c r="D58" s="12" t="e">
        <f ca="1">IF(H58="转让取得",C81,C97)</f>
        <v>#REF!</v>
      </c>
      <c r="E58" s="1256" t="s">
        <v>1364</v>
      </c>
      <c r="F58" s="294" t="s">
        <v>28</v>
      </c>
      <c r="G58" s="2341"/>
      <c r="H58" s="2344"/>
      <c r="I58" s="1670"/>
      <c r="J58" s="3368"/>
      <c r="K58" s="3368"/>
      <c r="L58" s="2317" t="s">
        <v>1370</v>
      </c>
      <c r="M58" s="2321"/>
      <c r="N58" s="2322" t="str">
        <f ca="1">NUMBERSTRING(INT(N57*10000),2)&amp;"元整"</f>
        <v>零元整</v>
      </c>
      <c r="O58" s="2323"/>
    </row>
    <row r="59" spans="1:35" ht="24.75" thickBot="1">
      <c r="A59" s="3372" t="s">
        <v>1371</v>
      </c>
      <c r="B59" s="3373"/>
      <c r="C59" s="33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0">
        <f>J57+1</f>
        <v>6</v>
      </c>
      <c r="K59" s="3368" t="s">
        <v>1372</v>
      </c>
      <c r="L59" s="2310" t="s">
        <v>1368</v>
      </c>
      <c r="M59" s="2324"/>
      <c r="N59" s="2325" t="e">
        <f ca="1">M49-N57</f>
        <v>#VALUE!</v>
      </c>
      <c r="O59" s="2326"/>
    </row>
    <row r="60" spans="1:35" ht="12" customHeight="1">
      <c r="A60" s="1671"/>
      <c r="B60" s="646"/>
      <c r="C60" s="646"/>
      <c r="D60" s="646"/>
      <c r="E60" s="1466"/>
      <c r="F60" s="1670"/>
      <c r="G60" s="1670"/>
      <c r="H60" s="151"/>
      <c r="I60" s="121"/>
      <c r="J60" s="3371"/>
      <c r="K60" s="3368"/>
      <c r="L60" s="2317" t="s">
        <v>1370</v>
      </c>
      <c r="M60" s="2321"/>
      <c r="N60" s="2322" t="e">
        <f ca="1">NUMBERSTRING(INT(N59*10000),2)&amp;"元整"</f>
        <v>#VALUE!</v>
      </c>
      <c r="O60" s="2323"/>
    </row>
    <row r="61" spans="1:35" ht="13.5" thickBot="1">
      <c r="A61" s="3427" t="s">
        <v>1373</v>
      </c>
      <c r="B61" s="3427"/>
      <c r="C61" s="3427"/>
      <c r="D61" s="3427"/>
      <c r="E61" s="3427"/>
      <c r="F61" s="1670"/>
      <c r="G61" s="1670"/>
      <c r="H61" s="151"/>
      <c r="I61" s="121"/>
      <c r="J61" s="2310">
        <f>J59+1</f>
        <v>7</v>
      </c>
      <c r="K61" s="3368" t="s">
        <v>1374</v>
      </c>
      <c r="L61" s="3368"/>
      <c r="M61" s="2327"/>
      <c r="N61" s="2328" t="e">
        <f ca="1">ROUND(N59*10000/'数据-汇总表'!E3,0)</f>
        <v>#VALUE!</v>
      </c>
      <c r="O61" s="2329"/>
    </row>
    <row r="62" spans="1:35" ht="12.75">
      <c r="A62" s="3387" t="s">
        <v>1375</v>
      </c>
      <c r="B62" s="338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ROUND(SUM(M63:M68),0)</f>
        <v>#VALUE!</v>
      </c>
      <c r="N69" s="2332" t="e">
        <f>M69/M49</f>
        <v>#VALUE!</v>
      </c>
      <c r="Z69" s="1623"/>
      <c r="AI69" s="1561"/>
    </row>
    <row r="70" spans="1:35" s="642" customFormat="1" ht="15"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7" t="s">
        <v>1375</v>
      </c>
      <c r="B71" s="33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92" t="s">
        <v>1402</v>
      </c>
      <c r="F76" s="3391"/>
      <c r="G76" s="3391"/>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84" t="s">
        <v>1406</v>
      </c>
      <c r="F78" s="3385"/>
      <c r="G78" s="3385"/>
      <c r="H78" s="33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7" t="s">
        <v>1375</v>
      </c>
      <c r="B84" s="33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84" t="s">
        <v>1419</v>
      </c>
      <c r="F91" s="3385"/>
      <c r="G91" s="33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84" t="s">
        <v>1422</v>
      </c>
      <c r="F92" s="3385"/>
      <c r="G92" s="3385"/>
      <c r="H92" s="33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84" t="s">
        <v>1406</v>
      </c>
      <c r="F93" s="3385"/>
      <c r="G93" s="3385"/>
      <c r="H93" s="33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9" t="s">
        <v>1426</v>
      </c>
      <c r="F94" s="3430"/>
      <c r="G94" s="3430"/>
      <c r="H94" s="34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4" t="s">
        <v>1428</v>
      </c>
      <c r="B100" s="3335"/>
      <c r="C100" s="3335"/>
      <c r="D100" s="3369"/>
      <c r="E100" s="3335" t="s">
        <v>1429</v>
      </c>
      <c r="F100" s="3335"/>
      <c r="G100" s="3335"/>
      <c r="H100" s="3369"/>
      <c r="I100" s="121"/>
    </row>
    <row r="101" spans="1:35" ht="18.75" customHeight="1">
      <c r="A101" s="3377" t="s">
        <v>1430</v>
      </c>
      <c r="B101" s="3378"/>
      <c r="C101" s="2371">
        <f>C4</f>
        <v>0</v>
      </c>
      <c r="D101" s="2372">
        <f>D4</f>
        <v>0</v>
      </c>
      <c r="E101" s="3347" t="s">
        <v>1431</v>
      </c>
      <c r="F101" s="3348"/>
      <c r="G101" s="1687" t="s">
        <v>1432</v>
      </c>
      <c r="H101" s="2381" t="e">
        <f ca="1">H118</f>
        <v>#REF!</v>
      </c>
      <c r="I101" s="121"/>
    </row>
    <row r="102" spans="1:35" ht="18.75" customHeight="1">
      <c r="A102" s="3379" t="s">
        <v>1433</v>
      </c>
      <c r="B102" s="2370" t="s">
        <v>1432</v>
      </c>
      <c r="C102" s="2371" t="e">
        <f ca="1">IF(D32="楼面单价",ROUND(C19,0),C19)</f>
        <v>#REF!</v>
      </c>
      <c r="D102" s="2372" t="e">
        <f ca="1">IF(D32="楼面单价",ROUND(D19,0),D19)</f>
        <v>#REF!</v>
      </c>
      <c r="E102" s="3347"/>
      <c r="F102" s="3348"/>
      <c r="G102" s="1687" t="s">
        <v>1434</v>
      </c>
      <c r="H102" s="2341" t="e">
        <f ca="1">I118</f>
        <v>#REF!</v>
      </c>
      <c r="I102" s="121"/>
    </row>
    <row r="103" spans="1:35" ht="42.75" customHeight="1">
      <c r="A103" s="3379"/>
      <c r="B103" s="2370" t="s">
        <v>1434</v>
      </c>
      <c r="C103" s="2373" t="e">
        <f ca="1">C20</f>
        <v>#REF!</v>
      </c>
      <c r="D103" s="2374" t="e">
        <f ca="1">D20</f>
        <v>#REF!</v>
      </c>
      <c r="E103" s="3340" t="s">
        <v>1435</v>
      </c>
      <c r="F103" s="3341"/>
      <c r="G103" s="1688" t="s">
        <v>1436</v>
      </c>
      <c r="H103" s="2381">
        <f>IF(D36="正常操作",H104+H105+H106,H105+H106)</f>
        <v>0</v>
      </c>
      <c r="I103" s="121"/>
    </row>
    <row r="104" spans="1:35" ht="18.75" customHeight="1">
      <c r="A104" s="33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0" t="str">
        <f>IF(项目基本情况!E8="已注销","——","3.房地产抵押价值")</f>
        <v>3.房地产抵押价值</v>
      </c>
      <c r="F107" s="3348"/>
      <c r="G107" s="1687" t="s">
        <v>1432</v>
      </c>
      <c r="H107" s="2381" t="e">
        <f ca="1">IF(E107="——","——",H101-H103)</f>
        <v>#REF!</v>
      </c>
      <c r="I107" s="121"/>
    </row>
    <row r="108" spans="1:35" ht="18.75" customHeight="1">
      <c r="A108" s="121"/>
      <c r="B108" s="121"/>
      <c r="C108" s="121"/>
      <c r="D108" s="121"/>
      <c r="E108" s="3380"/>
      <c r="F108" s="3348"/>
      <c r="G108" s="1687" t="s">
        <v>1434</v>
      </c>
      <c r="H108" s="2341">
        <f ca="1">IF(H107=H101,H102,ROUND(H107*10000/'数据-汇总表'!E3,0))</f>
        <v>0</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48"/>
      <c r="G109" s="1687" t="s">
        <v>1432</v>
      </c>
      <c r="H109" s="2384" t="str">
        <f>IF(E109="——","——",H101-H105-H106)</f>
        <v>——</v>
      </c>
      <c r="I109" s="121"/>
    </row>
    <row r="110" spans="1:35" ht="18.75" customHeight="1">
      <c r="A110" s="121"/>
      <c r="B110" s="121"/>
      <c r="C110" s="121"/>
      <c r="D110" s="121"/>
      <c r="E110" s="3380"/>
      <c r="F110" s="3348"/>
      <c r="G110" s="1687" t="s">
        <v>1434</v>
      </c>
      <c r="H110" s="2341" t="str">
        <f>IF(H109="——","——",ROUND(H109*10000/'数据-汇总表'!E3,0))</f>
        <v>——</v>
      </c>
      <c r="I110" s="121"/>
    </row>
    <row r="111" spans="1:35" ht="18.75" customHeight="1">
      <c r="A111" s="121"/>
      <c r="B111" s="121"/>
      <c r="C111" s="121"/>
      <c r="D111" s="121"/>
      <c r="E111" s="3381" t="str">
        <f>IF(项目基本情况!E9="抵押净值",IF(OR(项目基本情况!E8="已注销",项目基本情况!E8="房地产抵押价值"),"4.抵押净值","5.抵押净值"),"——")</f>
        <v>——</v>
      </c>
      <c r="F111" s="3367"/>
      <c r="G111" s="1687" t="s">
        <v>1432</v>
      </c>
      <c r="H111" s="2381" t="str">
        <f>IF(E111="——","——",N59)</f>
        <v>——</v>
      </c>
      <c r="I111" s="121"/>
    </row>
    <row r="112" spans="1:35" ht="18.75" customHeight="1" thickBot="1">
      <c r="A112" s="121"/>
      <c r="B112" s="121"/>
      <c r="C112" s="121"/>
      <c r="D112" s="121"/>
      <c r="E112" s="3382"/>
      <c r="F112" s="3383"/>
      <c r="G112" s="1690" t="s">
        <v>1434</v>
      </c>
      <c r="H112" s="2385"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71"/>
      <c r="F114" s="1671"/>
      <c r="G114" s="1671"/>
      <c r="H114" s="1671"/>
      <c r="I114" s="646"/>
    </row>
    <row r="115" spans="1:27" ht="18.75" customHeight="1">
      <c r="A115" s="3398" t="s">
        <v>1442</v>
      </c>
      <c r="B115" s="3399"/>
      <c r="C115" s="3399"/>
      <c r="D115" s="3399"/>
      <c r="E115" s="3399"/>
      <c r="F115" s="3399"/>
      <c r="G115" s="3399"/>
      <c r="H115" s="3399"/>
      <c r="I115" s="3400"/>
    </row>
    <row r="116" spans="1:27" ht="27" customHeight="1">
      <c r="A116" s="3355" t="s">
        <v>1443</v>
      </c>
      <c r="B116" s="3359" t="s">
        <v>1444</v>
      </c>
      <c r="C116" s="3359" t="s">
        <v>1445</v>
      </c>
      <c r="D116" s="3365" t="s">
        <v>1446</v>
      </c>
      <c r="E116" s="3366"/>
      <c r="F116" s="3397" t="s">
        <v>1447</v>
      </c>
      <c r="G116" s="3397"/>
      <c r="H116" s="3355" t="s">
        <v>1448</v>
      </c>
      <c r="I116" s="3355"/>
    </row>
    <row r="117" spans="1:27" ht="18.75" customHeight="1">
      <c r="A117" s="3355"/>
      <c r="B117" s="3360"/>
      <c r="C117" s="336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579.38</v>
      </c>
      <c r="C118" s="2150">
        <f>M19</f>
        <v>41.13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5" t="s">
        <v>1452</v>
      </c>
      <c r="B119" s="3355"/>
      <c r="C119" s="3355"/>
      <c r="D119" s="3361" t="e">
        <f ca="1">NUMBERSTRING(INT(D118*10000),2)&amp;"元整"</f>
        <v>#REF!</v>
      </c>
      <c r="E119" s="3362"/>
      <c r="F119" s="3361" t="e">
        <f ca="1">NUMBERSTRING(INT(F118*10000),2)&amp;"元整"</f>
        <v>#REF!</v>
      </c>
      <c r="G119" s="3362"/>
      <c r="H119" s="3361" t="e">
        <f ca="1">NUMBERSTRING(INT(H118*10000),2)&amp;"元整"</f>
        <v>#REF!</v>
      </c>
      <c r="I119" s="3362"/>
    </row>
    <row r="120" spans="1:27" ht="18.75" customHeight="1">
      <c r="A120" s="3356" t="str">
        <f>IF(项目基本情况!B9="房地产市场价值","",MID(E103,3,LEN(E103)-2))</f>
        <v/>
      </c>
      <c r="B120" s="3357"/>
      <c r="C120" s="3358"/>
      <c r="D120" s="3356">
        <f>H103</f>
        <v>0</v>
      </c>
      <c r="E120" s="3357"/>
      <c r="F120" s="3357"/>
      <c r="G120" s="3357"/>
      <c r="H120" s="3357"/>
      <c r="I120" s="335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1" t="s">
        <v>1452</v>
      </c>
      <c r="B121" s="3363"/>
      <c r="C121" s="3362"/>
      <c r="D121" s="3361" t="str">
        <f>IF(D120=0,"零元整",NUMBERSTRING(INT(D120*10000),2)&amp;"元整")</f>
        <v>零元整</v>
      </c>
      <c r="E121" s="3363"/>
      <c r="F121" s="3363"/>
      <c r="G121" s="3363"/>
      <c r="H121" s="3363"/>
      <c r="I121" s="3362"/>
      <c r="AA121" s="684"/>
    </row>
    <row r="122" spans="1:27" ht="18.75" customHeight="1">
      <c r="A122" s="3367" t="str">
        <f>IF(项目基本情况!B9="房地产市场价值","",MID(E107,3,LEN(E107)-2))</f>
        <v/>
      </c>
      <c r="B122" s="3367"/>
      <c r="C122" s="3367"/>
      <c r="D122" s="3356" t="e">
        <f ca="1">H107</f>
        <v>#REF!</v>
      </c>
      <c r="E122" s="3357"/>
      <c r="F122" s="3357"/>
      <c r="G122" s="3357"/>
      <c r="H122" s="3357"/>
      <c r="I122" s="3358"/>
      <c r="AA122" s="684"/>
    </row>
    <row r="123" spans="1:27" ht="18.75" customHeight="1">
      <c r="A123" s="3355" t="s">
        <v>1452</v>
      </c>
      <c r="B123" s="3355"/>
      <c r="C123" s="3355"/>
      <c r="D123" s="3361" t="e">
        <f ca="1">NUMBERSTRING(INT(D122*10000),2)&amp;"元整"</f>
        <v>#REF!</v>
      </c>
      <c r="E123" s="3363"/>
      <c r="F123" s="3363"/>
      <c r="G123" s="3363"/>
      <c r="H123" s="3363"/>
      <c r="I123" s="3362"/>
      <c r="AA123" s="684"/>
    </row>
    <row r="124" spans="1:27" ht="18.75" customHeight="1">
      <c r="A124" s="3367" t="str">
        <f>IF(项目基本情况!B9="房地产市场价值","",MID(E109,3,LEN(E109)-2))</f>
        <v/>
      </c>
      <c r="B124" s="3367"/>
      <c r="C124" s="3367"/>
      <c r="D124" s="3356" t="str">
        <f>H109</f>
        <v>——</v>
      </c>
      <c r="E124" s="3357"/>
      <c r="F124" s="3357"/>
      <c r="G124" s="3357"/>
      <c r="H124" s="3357"/>
      <c r="I124" s="3358"/>
      <c r="AA124" s="684"/>
    </row>
    <row r="125" spans="1:27" ht="18.75" customHeight="1">
      <c r="A125" s="3355" t="s">
        <v>1452</v>
      </c>
      <c r="B125" s="3355"/>
      <c r="C125" s="3355"/>
      <c r="D125" s="3361" t="e">
        <f>NUMBERSTRING(INT(D124*10000),2)&amp;"元整"</f>
        <v>#VALUE!</v>
      </c>
      <c r="E125" s="3363"/>
      <c r="F125" s="3363"/>
      <c r="G125" s="3363"/>
      <c r="H125" s="3363"/>
      <c r="I125" s="3362"/>
      <c r="AA125" s="684"/>
    </row>
    <row r="126" spans="1:27" ht="18.75" customHeight="1">
      <c r="A126" s="3367" t="str">
        <f>IF(项目基本情况!B9="房地产市场价值","",MID(E111,3,LEN(E111)-2))</f>
        <v/>
      </c>
      <c r="B126" s="3367"/>
      <c r="C126" s="3367"/>
      <c r="D126" s="3356" t="str">
        <f>H111</f>
        <v>——</v>
      </c>
      <c r="E126" s="3357"/>
      <c r="F126" s="3357"/>
      <c r="G126" s="3357"/>
      <c r="H126" s="3357"/>
      <c r="I126" s="3358"/>
      <c r="AA126" s="684"/>
    </row>
    <row r="127" spans="1:27" ht="18.75" customHeight="1">
      <c r="A127" s="3355" t="s">
        <v>1452</v>
      </c>
      <c r="B127" s="3355"/>
      <c r="C127" s="3355"/>
      <c r="D127" s="3361" t="e">
        <f>NUMBERSTRING(INT(D126*10000),2)&amp;"元整"</f>
        <v>#VALUE!</v>
      </c>
      <c r="E127" s="3363"/>
      <c r="F127" s="3363"/>
      <c r="G127" s="3363"/>
      <c r="H127" s="3363"/>
      <c r="I127" s="3362"/>
      <c r="AA127" s="684"/>
    </row>
    <row r="128" spans="1:27" ht="21.75" customHeight="1">
      <c r="A128" s="3364" t="s">
        <v>1453</v>
      </c>
      <c r="B128" s="3364"/>
      <c r="C128" s="3364"/>
      <c r="D128" s="3364"/>
      <c r="E128" s="3364"/>
      <c r="F128" s="3364"/>
      <c r="G128" s="3364"/>
      <c r="H128" s="3364"/>
      <c r="I128" s="33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579.38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579.38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203</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579.38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434" t="s">
        <v>1544</v>
      </c>
    </row>
    <row r="43" spans="1:7" ht="13.5" customHeight="1">
      <c r="A43" s="734" t="s">
        <v>347</v>
      </c>
      <c r="B43" s="207" t="s">
        <v>1545</v>
      </c>
      <c r="C43" s="230">
        <f ca="1">ROUND(IF('数据-取费表'!B22&lt;=1,C39*F22*'数据-取费表'!B21/2,C39*(POWER((1+F22),'数据-取费表'!B21/2)-1)),0)</f>
        <v>0</v>
      </c>
      <c r="D43" s="230"/>
      <c r="E43" s="230"/>
      <c r="F43" s="231"/>
      <c r="G43" s="3435"/>
    </row>
    <row r="44" spans="1:7" ht="13.5" customHeight="1">
      <c r="A44" s="734" t="s">
        <v>348</v>
      </c>
      <c r="B44" s="207" t="s">
        <v>1546</v>
      </c>
      <c r="C44" s="230">
        <f ca="1">ROUND(IF('数据-取费表'!B22&lt;=1,C40*F22*'数据-取费表'!B21/2,C40*(POWER((1+F22),'数据-取费表'!B21/2)-1)),4)</f>
        <v>2.9999999999999997E-4</v>
      </c>
      <c r="D44" s="230"/>
      <c r="E44" s="230"/>
      <c r="F44" s="231"/>
      <c r="G44" s="3436"/>
    </row>
    <row r="45" spans="1:7" s="206" customFormat="1" ht="13.5" customHeight="1">
      <c r="A45" s="247" t="s">
        <v>1547</v>
      </c>
      <c r="B45" s="236" t="s">
        <v>1513</v>
      </c>
      <c r="C45" s="237">
        <f ca="1">C46</f>
        <v>35</v>
      </c>
      <c r="D45" s="227">
        <f ca="1">C47</f>
        <v>1.5E-3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204</v>
      </c>
      <c r="D51" s="224"/>
      <c r="E51" s="224"/>
      <c r="F51" s="256"/>
      <c r="G51" s="226" t="s">
        <v>1560</v>
      </c>
    </row>
    <row r="52" spans="1:7" s="200" customFormat="1" ht="16.5" thickBot="1">
      <c r="A52" s="257" t="s">
        <v>1561</v>
      </c>
      <c r="B52" s="258"/>
      <c r="C52" s="259">
        <f ca="1">C31+C51</f>
        <v>220</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2" t="str">
        <f>项目基本情况!B1</f>
        <v>北京市房地产市场价值预评估</v>
      </c>
      <c r="C37" s="3252"/>
      <c r="D37" s="3252"/>
      <c r="E37" s="3252"/>
      <c r="F37" s="3252"/>
      <c r="G37" s="3252"/>
      <c r="H37" s="3252"/>
      <c r="I37" s="32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92D050"/>
  </sheetPr>
  <dimension ref="A1:P42"/>
  <sheetViews>
    <sheetView view="pageBreakPreview" topLeftCell="A19" zoomScale="130" zoomScaleNormal="100" zoomScaleSheetLayoutView="130" workbookViewId="0">
      <selection activeCell="M34" sqref="M34"/>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5" width="21.625" style="3168" bestFit="1" customWidth="1"/>
    <col min="16"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37" t="s">
        <v>3410</v>
      </c>
      <c r="B1" s="3437"/>
      <c r="C1" s="3437"/>
      <c r="D1" s="3437"/>
      <c r="E1" s="3437"/>
      <c r="F1" s="3437"/>
      <c r="G1" s="3437"/>
      <c r="H1" s="3437"/>
      <c r="I1" s="3437"/>
      <c r="K1" s="3438" t="s">
        <v>3411</v>
      </c>
      <c r="L1" s="3165" t="s">
        <v>3412</v>
      </c>
      <c r="M1" s="3166">
        <v>0</v>
      </c>
      <c r="N1" s="3167"/>
      <c r="O1" s="3167"/>
    </row>
    <row r="2" spans="1:16" ht="15.75" customHeight="1">
      <c r="A2" s="3169" t="s">
        <v>2644</v>
      </c>
      <c r="B2" s="3170" t="s">
        <v>3413</v>
      </c>
      <c r="C2" s="3439" t="s">
        <v>3414</v>
      </c>
      <c r="D2" s="3440"/>
      <c r="E2" s="3440"/>
      <c r="F2" s="3441"/>
      <c r="G2" s="3173" t="s">
        <v>3415</v>
      </c>
      <c r="H2" s="3442" t="s">
        <v>3416</v>
      </c>
      <c r="I2" s="3442"/>
      <c r="K2" s="3438"/>
      <c r="L2" s="3165" t="s">
        <v>3417</v>
      </c>
      <c r="M2" s="3228">
        <f>2025-O3</f>
        <v>20</v>
      </c>
      <c r="N2" s="3175"/>
      <c r="O2" s="3175"/>
    </row>
    <row r="3" spans="1:16">
      <c r="A3" s="3173" t="s">
        <v>3418</v>
      </c>
      <c r="B3" s="3176" t="s">
        <v>3419</v>
      </c>
      <c r="C3" s="3439">
        <f ca="1">'成本法 (元)'!C52</f>
        <v>23921453</v>
      </c>
      <c r="D3" s="3440"/>
      <c r="E3" s="3440"/>
      <c r="F3" s="3441"/>
      <c r="G3" s="3173" t="s">
        <v>3420</v>
      </c>
      <c r="H3" s="3176" t="s">
        <v>3421</v>
      </c>
      <c r="I3" s="3177">
        <f>'数据-汇总表'!F19</f>
        <v>579.38</v>
      </c>
      <c r="K3" s="3438"/>
      <c r="L3" s="3165" t="s">
        <v>3422</v>
      </c>
      <c r="M3" s="3174" t="s">
        <v>3423</v>
      </c>
      <c r="N3" s="3227">
        <f>M3-M2</f>
        <v>40</v>
      </c>
      <c r="O3" s="3175">
        <v>2005</v>
      </c>
    </row>
    <row r="4" spans="1:16">
      <c r="A4" s="3442" t="s">
        <v>3424</v>
      </c>
      <c r="B4" s="3443" t="s">
        <v>3425</v>
      </c>
      <c r="C4" s="3444">
        <f ca="1">ROUND(C3*(I4-I6)/(1-((1+I6)/(1+I4))^I5),0)</f>
        <v>1621925</v>
      </c>
      <c r="D4" s="3445"/>
      <c r="E4" s="3445"/>
      <c r="F4" s="3446"/>
      <c r="G4" s="3442" t="s">
        <v>3426</v>
      </c>
      <c r="H4" s="3178" t="s">
        <v>3427</v>
      </c>
      <c r="I4" s="3229">
        <v>6.5000000000000002E-2</v>
      </c>
      <c r="K4" s="3438"/>
      <c r="L4" s="3165" t="s">
        <v>3428</v>
      </c>
      <c r="M4" s="3179">
        <f>ROUND(1-(1-M1)*M2/M3,2)</f>
        <v>0.67</v>
      </c>
      <c r="N4" s="3175"/>
      <c r="O4" s="3175"/>
    </row>
    <row r="5" spans="1:16" s="3182" customFormat="1" ht="18" customHeight="1">
      <c r="A5" s="3442"/>
      <c r="B5" s="3443"/>
      <c r="C5" s="3447"/>
      <c r="D5" s="3448"/>
      <c r="E5" s="3448"/>
      <c r="F5" s="3449"/>
      <c r="G5" s="3442"/>
      <c r="H5" s="3176" t="s">
        <v>3429</v>
      </c>
      <c r="I5" s="3230">
        <f>基准地价修正!I24</f>
        <v>27.81</v>
      </c>
      <c r="J5" s="3180"/>
      <c r="K5" s="3438"/>
      <c r="L5" s="3165" t="s">
        <v>3430</v>
      </c>
      <c r="M5" s="3181">
        <v>0.5</v>
      </c>
      <c r="N5" s="3175"/>
      <c r="O5" s="3175"/>
    </row>
    <row r="6" spans="1:16" s="3182" customFormat="1" ht="18" customHeight="1">
      <c r="A6" s="3442"/>
      <c r="B6" s="3443"/>
      <c r="C6" s="3450"/>
      <c r="D6" s="3451"/>
      <c r="E6" s="3451"/>
      <c r="F6" s="3452"/>
      <c r="G6" s="3442"/>
      <c r="H6" s="3176" t="s">
        <v>3431</v>
      </c>
      <c r="I6" s="3229">
        <v>1.4999999999999999E-2</v>
      </c>
      <c r="J6" s="3183"/>
      <c r="K6" s="3453" t="s">
        <v>3432</v>
      </c>
      <c r="L6" s="3184" t="s">
        <v>3433</v>
      </c>
      <c r="M6" s="3185" t="s">
        <v>3434</v>
      </c>
      <c r="N6" s="3185" t="s">
        <v>3435</v>
      </c>
      <c r="O6" s="3185" t="s">
        <v>3436</v>
      </c>
      <c r="P6" s="3185" t="s">
        <v>3437</v>
      </c>
    </row>
    <row r="7" spans="1:16" s="3182" customFormat="1" ht="18" customHeight="1">
      <c r="A7" s="3173" t="s">
        <v>3438</v>
      </c>
      <c r="B7" s="3176" t="s">
        <v>3439</v>
      </c>
      <c r="C7" s="3439">
        <f>ROUND(C23*I7,0)</f>
        <v>5327020</v>
      </c>
      <c r="D7" s="3440"/>
      <c r="E7" s="3440"/>
      <c r="F7" s="3441"/>
      <c r="G7" s="3173" t="s">
        <v>3440</v>
      </c>
      <c r="H7" s="3176" t="s">
        <v>3441</v>
      </c>
      <c r="I7" s="3186">
        <f>'数据-取费表'!N6</f>
        <v>0.7</v>
      </c>
      <c r="K7" s="3453"/>
      <c r="L7" s="3184" t="s">
        <v>3442</v>
      </c>
      <c r="M7" s="3185">
        <v>100</v>
      </c>
      <c r="N7" s="3185" t="s">
        <v>3443</v>
      </c>
      <c r="O7" s="3185">
        <v>80</v>
      </c>
      <c r="P7" s="3187">
        <v>0.3</v>
      </c>
    </row>
    <row r="8" spans="1:16" s="3182" customFormat="1" ht="18" customHeight="1">
      <c r="A8" s="3169" t="s">
        <v>3444</v>
      </c>
      <c r="B8" s="3176" t="s">
        <v>3445</v>
      </c>
      <c r="C8" s="3439">
        <f>ROUND(I8*I3,0)</f>
        <v>2027830</v>
      </c>
      <c r="D8" s="3440"/>
      <c r="E8" s="3440"/>
      <c r="F8" s="3441"/>
      <c r="G8" s="3173" t="s">
        <v>3446</v>
      </c>
      <c r="H8" s="3176" t="s">
        <v>3447</v>
      </c>
      <c r="I8" s="3173">
        <f>'数据-取费表'!L6</f>
        <v>3500</v>
      </c>
      <c r="J8" s="3188">
        <f>D35</f>
        <v>28.6</v>
      </c>
      <c r="K8" s="3453"/>
      <c r="L8" s="3184" t="s">
        <v>3448</v>
      </c>
      <c r="M8" s="3185">
        <v>100</v>
      </c>
      <c r="N8" s="3185" t="s">
        <v>3443</v>
      </c>
      <c r="O8" s="3185">
        <v>80</v>
      </c>
      <c r="P8" s="3187">
        <v>0.5</v>
      </c>
    </row>
    <row r="9" spans="1:16" s="3182" customFormat="1" ht="18" customHeight="1">
      <c r="A9" s="3169" t="s">
        <v>3449</v>
      </c>
      <c r="B9" s="3176" t="s">
        <v>3450</v>
      </c>
      <c r="C9" s="3439">
        <f>ROUND(C8*H9,0)</f>
        <v>60835</v>
      </c>
      <c r="D9" s="3440"/>
      <c r="E9" s="3440"/>
      <c r="F9" s="3441"/>
      <c r="G9" s="3173" t="s">
        <v>3451</v>
      </c>
      <c r="H9" s="3454">
        <f>'数据-取费表'!B33</f>
        <v>0.03</v>
      </c>
      <c r="I9" s="3454"/>
      <c r="J9" s="3188">
        <f>D36</f>
        <v>27.5</v>
      </c>
      <c r="K9" s="3453"/>
      <c r="L9" s="3184" t="s">
        <v>3452</v>
      </c>
      <c r="M9" s="3185">
        <v>100</v>
      </c>
      <c r="N9" s="3185" t="s">
        <v>3443</v>
      </c>
      <c r="O9" s="3185">
        <v>80</v>
      </c>
      <c r="P9" s="3187">
        <f>1-P7-P8</f>
        <v>0.19999999999999996</v>
      </c>
    </row>
    <row r="10" spans="1:16" s="3182" customFormat="1" ht="18" customHeight="1">
      <c r="A10" s="3169" t="s">
        <v>3453</v>
      </c>
      <c r="B10" s="3176" t="s">
        <v>3454</v>
      </c>
      <c r="C10" s="3439">
        <f>ROUND(C8*H10,0)</f>
        <v>0</v>
      </c>
      <c r="D10" s="3440"/>
      <c r="E10" s="3440"/>
      <c r="F10" s="3441"/>
      <c r="G10" s="3173" t="s">
        <v>3451</v>
      </c>
      <c r="H10" s="3454">
        <v>0</v>
      </c>
      <c r="I10" s="3454"/>
      <c r="J10" s="3188">
        <f>D37</f>
        <v>28.05</v>
      </c>
      <c r="K10" s="3453"/>
      <c r="L10" s="3189" t="s">
        <v>3430</v>
      </c>
      <c r="M10" s="3190">
        <f>1-M5</f>
        <v>0.5</v>
      </c>
      <c r="N10" s="3185" t="s">
        <v>3428</v>
      </c>
      <c r="O10" s="3191">
        <f>ROUND((O7*P7+O8*P8+O9*P9)/100,2)</f>
        <v>0.8</v>
      </c>
      <c r="P10" s="3192"/>
    </row>
    <row r="11" spans="1:16" s="3182" customFormat="1" ht="29.25" customHeight="1">
      <c r="A11" s="3169" t="s">
        <v>3455</v>
      </c>
      <c r="B11" s="3176" t="s">
        <v>3456</v>
      </c>
      <c r="C11" s="3439">
        <f>ROUND(I11*I3,0)</f>
        <v>115876</v>
      </c>
      <c r="D11" s="3440"/>
      <c r="E11" s="3440"/>
      <c r="F11" s="3441"/>
      <c r="G11" s="3173" t="s">
        <v>3457</v>
      </c>
      <c r="H11" s="3176" t="s">
        <v>3458</v>
      </c>
      <c r="I11" s="3173">
        <f>'数据-取费表'!B30</f>
        <v>200</v>
      </c>
      <c r="J11" s="3180"/>
      <c r="K11" s="3164"/>
      <c r="L11" s="3164"/>
    </row>
    <row r="12" spans="1:16" s="3182" customFormat="1" ht="18" customHeight="1">
      <c r="A12" s="3169" t="s">
        <v>3459</v>
      </c>
      <c r="B12" s="3176" t="s">
        <v>3460</v>
      </c>
      <c r="C12" s="3439">
        <f ca="1">ROUND(C8*H12,0)</f>
        <v>30417</v>
      </c>
      <c r="D12" s="3440"/>
      <c r="E12" s="3440"/>
      <c r="F12" s="3441"/>
      <c r="G12" s="3173" t="s">
        <v>3451</v>
      </c>
      <c r="H12" s="3454">
        <f ca="1">'数据-取费表'!B39</f>
        <v>1.4999999999999999E-2</v>
      </c>
      <c r="I12" s="3454"/>
      <c r="J12" s="3193" t="s">
        <v>3461</v>
      </c>
      <c r="L12" s="3194"/>
    </row>
    <row r="13" spans="1:16" s="3182" customFormat="1" ht="18" customHeight="1">
      <c r="A13" s="3169" t="s">
        <v>438</v>
      </c>
      <c r="B13" s="3176" t="s">
        <v>3462</v>
      </c>
      <c r="C13" s="3439">
        <f ca="1">SUM(C8:F12)</f>
        <v>2234958</v>
      </c>
      <c r="D13" s="3440"/>
      <c r="E13" s="3440"/>
      <c r="F13" s="3441"/>
      <c r="G13" s="3442" t="s">
        <v>3463</v>
      </c>
      <c r="H13" s="3442"/>
      <c r="I13" s="3442"/>
      <c r="J13" s="3193" t="s">
        <v>3464</v>
      </c>
      <c r="L13" s="3194"/>
    </row>
    <row r="14" spans="1:16" s="3182" customFormat="1" ht="18" customHeight="1">
      <c r="A14" s="3169" t="s">
        <v>3465</v>
      </c>
      <c r="B14" s="3176" t="s">
        <v>3466</v>
      </c>
      <c r="C14" s="3439">
        <f ca="1">ROUND(C13*H14,0)</f>
        <v>44699</v>
      </c>
      <c r="D14" s="3440"/>
      <c r="E14" s="3440"/>
      <c r="F14" s="3441"/>
      <c r="G14" s="3173" t="s">
        <v>3467</v>
      </c>
      <c r="H14" s="3454">
        <f>'数据-取费表'!B37</f>
        <v>0.02</v>
      </c>
      <c r="I14" s="3454"/>
      <c r="J14" s="3180"/>
      <c r="L14" s="3194"/>
    </row>
    <row r="15" spans="1:16" s="3182" customFormat="1" ht="18" customHeight="1">
      <c r="A15" s="3169" t="s">
        <v>393</v>
      </c>
      <c r="B15" s="3176" t="s">
        <v>3468</v>
      </c>
      <c r="C15" s="3459">
        <f>H15</f>
        <v>0.01</v>
      </c>
      <c r="D15" s="3460"/>
      <c r="E15" s="3457" t="str">
        <f>E18</f>
        <v>V</v>
      </c>
      <c r="F15" s="3458"/>
      <c r="G15" s="3173" t="s">
        <v>3469</v>
      </c>
      <c r="H15" s="3454">
        <f>'数据-取费表'!B38</f>
        <v>0.01</v>
      </c>
      <c r="I15" s="3454"/>
      <c r="J15" s="3197"/>
      <c r="K15" s="3198"/>
    </row>
    <row r="16" spans="1:16" s="3182" customFormat="1" ht="18" customHeight="1">
      <c r="A16" s="3199" t="s">
        <v>394</v>
      </c>
      <c r="B16" s="3200" t="s">
        <v>3470</v>
      </c>
      <c r="C16" s="3171">
        <f>C17</f>
        <v>263479</v>
      </c>
      <c r="D16" s="3172" t="s">
        <v>3471</v>
      </c>
      <c r="E16" s="3201">
        <f ca="1">C18</f>
        <v>2.9999999999999997E-4</v>
      </c>
      <c r="F16" s="3196" t="str">
        <f>E18</f>
        <v>V</v>
      </c>
      <c r="G16" s="3439" t="s">
        <v>3472</v>
      </c>
      <c r="H16" s="3440"/>
      <c r="I16" s="3441"/>
      <c r="J16" s="3180"/>
      <c r="K16" s="3164"/>
    </row>
    <row r="17" spans="1:16" s="3182" customFormat="1" ht="18" customHeight="1">
      <c r="A17" s="3169" t="s">
        <v>3473</v>
      </c>
      <c r="B17" s="3176" t="s">
        <v>3474</v>
      </c>
      <c r="C17" s="3439">
        <f>[1]成本法!C41</f>
        <v>263479</v>
      </c>
      <c r="D17" s="3440"/>
      <c r="E17" s="3440"/>
      <c r="F17" s="3441"/>
      <c r="G17" s="3171" t="s">
        <v>3475</v>
      </c>
      <c r="H17" s="3176" t="s">
        <v>3476</v>
      </c>
      <c r="I17" s="3173">
        <f>'数据-取费表'!B20</f>
        <v>2</v>
      </c>
      <c r="J17" s="3193" t="s">
        <v>3477</v>
      </c>
      <c r="K17" s="3164"/>
      <c r="L17" s="3164"/>
    </row>
    <row r="18" spans="1:16" s="3182" customFormat="1" ht="18" customHeight="1">
      <c r="A18" s="3169" t="s">
        <v>3478</v>
      </c>
      <c r="B18" s="3176" t="s">
        <v>3479</v>
      </c>
      <c r="C18" s="3455">
        <f ca="1">H15*I18*I17/2</f>
        <v>2.9999999999999997E-4</v>
      </c>
      <c r="D18" s="3456"/>
      <c r="E18" s="3457" t="s">
        <v>3480</v>
      </c>
      <c r="F18" s="3458"/>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 ca="1">C21</f>
        <v>1.5E-3</v>
      </c>
      <c r="F19" s="3196" t="str">
        <f>E21</f>
        <v>V</v>
      </c>
      <c r="G19" s="3439" t="s">
        <v>3485</v>
      </c>
      <c r="H19" s="3440"/>
      <c r="I19" s="3441"/>
      <c r="J19" s="3180"/>
      <c r="K19" s="3164"/>
      <c r="L19" s="3164"/>
    </row>
    <row r="20" spans="1:16" s="3182" customFormat="1" ht="26.25" customHeight="1">
      <c r="A20" s="3169" t="s">
        <v>3486</v>
      </c>
      <c r="B20" s="3176" t="s">
        <v>3487</v>
      </c>
      <c r="C20" s="3439">
        <f>[1]成本法!C46</f>
        <v>1109387</v>
      </c>
      <c r="D20" s="3440"/>
      <c r="E20" s="3440"/>
      <c r="F20" s="3441"/>
      <c r="G20" s="3173" t="s">
        <v>3488</v>
      </c>
      <c r="H20" s="3463" t="s">
        <v>3489</v>
      </c>
      <c r="I20" s="3465">
        <f ca="1">'成本法 (元)'!F27</f>
        <v>0.15</v>
      </c>
      <c r="J20" s="3193" t="s">
        <v>3490</v>
      </c>
      <c r="K20" s="3164"/>
      <c r="L20" s="3164"/>
    </row>
    <row r="21" spans="1:16" s="3182" customFormat="1" ht="27" customHeight="1">
      <c r="A21" s="3169" t="s">
        <v>3486</v>
      </c>
      <c r="B21" s="3176" t="s">
        <v>3491</v>
      </c>
      <c r="C21" s="3459">
        <f ca="1">H15*I20</f>
        <v>1.5E-3</v>
      </c>
      <c r="D21" s="3460"/>
      <c r="E21" s="3457" t="s">
        <v>3480</v>
      </c>
      <c r="F21" s="3458"/>
      <c r="G21" s="3173" t="s">
        <v>3492</v>
      </c>
      <c r="H21" s="3464"/>
      <c r="I21" s="3465"/>
      <c r="J21" s="3180"/>
      <c r="K21" s="3164"/>
      <c r="L21" s="3164"/>
    </row>
    <row r="22" spans="1:16" s="3182" customFormat="1" ht="18" customHeight="1">
      <c r="A22" s="3169" t="s">
        <v>396</v>
      </c>
      <c r="B22" s="3176" t="s">
        <v>3493</v>
      </c>
      <c r="C22" s="3459">
        <f>ROUND(H22/1.05,4)</f>
        <v>5.33E-2</v>
      </c>
      <c r="D22" s="3460"/>
      <c r="E22" s="3457" t="s">
        <v>3480</v>
      </c>
      <c r="F22" s="3458"/>
      <c r="G22" s="3173" t="s">
        <v>3494</v>
      </c>
      <c r="H22" s="3454">
        <f>'成本法 (元)'!F30</f>
        <v>5.6000000000000001E-2</v>
      </c>
      <c r="I22" s="3454"/>
      <c r="J22" s="3204"/>
      <c r="K22" s="3164"/>
      <c r="L22" s="3164"/>
    </row>
    <row r="23" spans="1:16" s="3182" customFormat="1" ht="18" customHeight="1">
      <c r="A23" s="3169" t="s">
        <v>3495</v>
      </c>
      <c r="B23" s="3176" t="s">
        <v>3496</v>
      </c>
      <c r="C23" s="3439">
        <f>[1]成本法!C49</f>
        <v>7610029</v>
      </c>
      <c r="D23" s="3440"/>
      <c r="E23" s="3440"/>
      <c r="F23" s="3441"/>
      <c r="G23" s="3439" t="s">
        <v>3497</v>
      </c>
      <c r="H23" s="3440"/>
      <c r="I23" s="3441"/>
      <c r="J23" s="3204"/>
      <c r="K23" s="3164"/>
      <c r="L23" s="3235"/>
      <c r="M23" s="3236" t="s">
        <v>3587</v>
      </c>
      <c r="N23" s="3236" t="s">
        <v>3588</v>
      </c>
      <c r="O23" s="3237" t="s">
        <v>3589</v>
      </c>
    </row>
    <row r="24" spans="1:16" s="3182" customFormat="1" ht="18" customHeight="1">
      <c r="A24" s="3169" t="s">
        <v>3498</v>
      </c>
      <c r="B24" s="3176" t="s">
        <v>3499</v>
      </c>
      <c r="C24" s="3195">
        <f>C26+C27</f>
        <v>20547</v>
      </c>
      <c r="D24" s="3205" t="s">
        <v>3500</v>
      </c>
      <c r="E24" s="3461">
        <f>H25+H28</f>
        <v>0.18330000000000002</v>
      </c>
      <c r="F24" s="3462"/>
      <c r="G24" s="3442" t="s">
        <v>3501</v>
      </c>
      <c r="H24" s="3442"/>
      <c r="I24" s="3442"/>
      <c r="J24" s="3204"/>
      <c r="K24" s="3164"/>
      <c r="L24" s="3235" t="s">
        <v>3582</v>
      </c>
      <c r="M24" s="3236">
        <f>5604053/365/I3</f>
        <v>26.499999763563981</v>
      </c>
      <c r="N24" s="3236">
        <f>5878968/365/I3</f>
        <v>27.799995933300451</v>
      </c>
      <c r="O24" s="3237">
        <f>6344211/365/I3</f>
        <v>30.000000000000004</v>
      </c>
    </row>
    <row r="25" spans="1:16" s="3182" customFormat="1" ht="18" customHeight="1">
      <c r="A25" s="3169" t="s">
        <v>438</v>
      </c>
      <c r="B25" s="3176" t="s">
        <v>3502</v>
      </c>
      <c r="C25" s="3459" t="s">
        <v>3503</v>
      </c>
      <c r="D25" s="3460"/>
      <c r="E25" s="3461">
        <f>H25</f>
        <v>0.17330000000000001</v>
      </c>
      <c r="F25" s="3462"/>
      <c r="G25" s="3173" t="s">
        <v>3504</v>
      </c>
      <c r="H25" s="3466">
        <f>ROUND(5.6%/1.05+12%,4)</f>
        <v>0.17330000000000001</v>
      </c>
      <c r="I25" s="3466"/>
      <c r="J25" s="3197"/>
      <c r="K25" s="3164"/>
      <c r="L25" s="3164"/>
      <c r="M25" s="3182">
        <f>(N24-M24)/M24</f>
        <v>4.9056459673025826E-2</v>
      </c>
      <c r="N25" s="3182">
        <f>(O24-N24)/N24</f>
        <v>7.9136848508105706E-2</v>
      </c>
      <c r="O25" s="3182">
        <f>O24*(1+5%)</f>
        <v>31.500000000000004</v>
      </c>
    </row>
    <row r="26" spans="1:16" s="3182" customFormat="1" ht="18" customHeight="1">
      <c r="A26" s="3169" t="s">
        <v>3465</v>
      </c>
      <c r="B26" s="3176" t="s">
        <v>3505</v>
      </c>
      <c r="C26" s="3439">
        <f>ROUND(C23*H26,0)</f>
        <v>15220</v>
      </c>
      <c r="D26" s="3440"/>
      <c r="E26" s="3440"/>
      <c r="F26" s="3441"/>
      <c r="G26" s="3173" t="s">
        <v>3506</v>
      </c>
      <c r="H26" s="3466">
        <f>'数据-取费表'!AK6</f>
        <v>2E-3</v>
      </c>
      <c r="I26" s="3466"/>
      <c r="J26" s="3197"/>
      <c r="K26" s="3164"/>
      <c r="L26" s="3164"/>
    </row>
    <row r="27" spans="1:16" s="3182" customFormat="1" ht="18" customHeight="1">
      <c r="A27" s="3169" t="s">
        <v>393</v>
      </c>
      <c r="B27" s="3176" t="s">
        <v>3507</v>
      </c>
      <c r="C27" s="3439">
        <f>ROUND(C7*H27,0)</f>
        <v>5327</v>
      </c>
      <c r="D27" s="3440"/>
      <c r="E27" s="3440"/>
      <c r="F27" s="3441"/>
      <c r="G27" s="3173" t="s">
        <v>3508</v>
      </c>
      <c r="H27" s="3467">
        <f>'数据-取费表'!AL6</f>
        <v>1E-3</v>
      </c>
      <c r="I27" s="3467"/>
      <c r="J27" s="3180"/>
      <c r="K27" s="3164"/>
      <c r="L27" s="3164"/>
    </row>
    <row r="28" spans="1:16" s="3182" customFormat="1" ht="18" customHeight="1">
      <c r="A28" s="3169" t="s">
        <v>394</v>
      </c>
      <c r="B28" s="3176" t="s">
        <v>3509</v>
      </c>
      <c r="C28" s="3459" t="s">
        <v>3503</v>
      </c>
      <c r="D28" s="3460"/>
      <c r="E28" s="3461">
        <f>H28</f>
        <v>0.01</v>
      </c>
      <c r="F28" s="3462"/>
      <c r="G28" s="3173" t="s">
        <v>3510</v>
      </c>
      <c r="H28" s="3466">
        <f>'数据-取费表'!AM6</f>
        <v>0.01</v>
      </c>
      <c r="I28" s="3466"/>
      <c r="J28" s="3206"/>
      <c r="K28" s="3164"/>
      <c r="L28" s="3164"/>
      <c r="M28" s="3222"/>
    </row>
    <row r="29" spans="1:16" s="3182" customFormat="1" ht="18" customHeight="1">
      <c r="A29" s="3173" t="s">
        <v>3511</v>
      </c>
      <c r="B29" s="3176" t="s">
        <v>3512</v>
      </c>
      <c r="C29" s="3439">
        <f ca="1">ROUND((C4+C24)/(1-E24),0)</f>
        <v>2011108</v>
      </c>
      <c r="D29" s="3440"/>
      <c r="E29" s="3440"/>
      <c r="F29" s="3441"/>
      <c r="G29" s="3442" t="s">
        <v>3513</v>
      </c>
      <c r="H29" s="3442"/>
      <c r="I29" s="3442"/>
      <c r="J29" s="3207" t="s">
        <v>3514</v>
      </c>
      <c r="K29" s="3164"/>
      <c r="L29" s="3250" t="s">
        <v>3613</v>
      </c>
      <c r="M29" s="3237" t="s">
        <v>3591</v>
      </c>
      <c r="P29" s="3233"/>
    </row>
    <row r="30" spans="1:16" s="3182" customFormat="1" ht="18" customHeight="1">
      <c r="A30" s="3442" t="s">
        <v>3515</v>
      </c>
      <c r="B30" s="3443" t="s">
        <v>3516</v>
      </c>
      <c r="C30" s="3468">
        <f ca="1">ROUND(C29/I30/I31/I3,2)</f>
        <v>10.57</v>
      </c>
      <c r="D30" s="3469"/>
      <c r="E30" s="3469"/>
      <c r="F30" s="3470"/>
      <c r="G30" s="3442" t="s">
        <v>3517</v>
      </c>
      <c r="H30" s="3176" t="s">
        <v>3518</v>
      </c>
      <c r="I30" s="3173">
        <v>365</v>
      </c>
      <c r="J30" s="3208"/>
      <c r="K30" s="3164"/>
      <c r="L30" s="3250">
        <v>29.9</v>
      </c>
      <c r="M30" s="3237">
        <v>25.76</v>
      </c>
      <c r="N30" s="3248">
        <f>ROUND(N31*N32/365,1)</f>
        <v>27.5</v>
      </c>
    </row>
    <row r="31" spans="1:16" s="3182" customFormat="1" ht="18" customHeight="1">
      <c r="A31" s="3442"/>
      <c r="B31" s="3443"/>
      <c r="C31" s="3471"/>
      <c r="D31" s="3472"/>
      <c r="E31" s="3472"/>
      <c r="F31" s="3473"/>
      <c r="G31" s="3442"/>
      <c r="H31" s="3176" t="s">
        <v>3519</v>
      </c>
      <c r="I31" s="3203">
        <v>0.9</v>
      </c>
      <c r="J31" s="3209"/>
      <c r="K31" s="3164"/>
      <c r="L31" s="3250">
        <v>129031</v>
      </c>
      <c r="M31" s="3237">
        <v>130000</v>
      </c>
      <c r="N31" s="3248">
        <f>'比较法-商业售价'!C48</f>
        <v>128500</v>
      </c>
      <c r="P31" s="3234"/>
    </row>
    <row r="32" spans="1:16" s="3182" customFormat="1" ht="18" customHeight="1">
      <c r="A32" s="3168"/>
      <c r="B32" s="3210"/>
      <c r="C32" s="3168"/>
      <c r="D32" s="3168"/>
      <c r="E32" s="3168"/>
      <c r="F32" s="3168"/>
      <c r="G32" s="3211"/>
      <c r="H32" s="3168"/>
      <c r="I32" s="3168"/>
      <c r="J32" s="3180"/>
      <c r="K32" s="3164"/>
      <c r="L32" s="3251">
        <f>L30*365/L31</f>
        <v>8.4580449659384174E-2</v>
      </c>
      <c r="M32" s="3251">
        <f>M30*365/M31</f>
        <v>7.2326153846153859E-2</v>
      </c>
      <c r="N32" s="3249">
        <v>7.8E-2</v>
      </c>
    </row>
    <row r="33" spans="1:15" s="3182" customFormat="1" ht="18" customHeight="1">
      <c r="A33" s="3168"/>
      <c r="B33" s="3475" t="s">
        <v>3520</v>
      </c>
      <c r="C33" s="3475"/>
      <c r="D33" s="3475"/>
      <c r="E33" s="3475"/>
      <c r="F33" s="3475"/>
      <c r="G33" s="3212"/>
      <c r="H33" s="3213"/>
      <c r="I33" s="3168"/>
      <c r="J33" s="3180"/>
      <c r="K33" s="3164"/>
      <c r="L33" s="3164"/>
      <c r="M33" s="3168"/>
    </row>
    <row r="34" spans="1:15" s="3182" customFormat="1" ht="18" customHeight="1">
      <c r="A34" s="3168"/>
      <c r="B34" s="3214" t="s">
        <v>3521</v>
      </c>
      <c r="C34" s="3214" t="s">
        <v>3437</v>
      </c>
      <c r="D34" s="3476" t="s">
        <v>3522</v>
      </c>
      <c r="E34" s="3476"/>
      <c r="F34" s="3476"/>
      <c r="G34" s="3212"/>
      <c r="H34" s="3213"/>
      <c r="I34" s="3168"/>
      <c r="J34" s="3204"/>
      <c r="K34" s="3168"/>
      <c r="L34" s="3211" t="s">
        <v>3616</v>
      </c>
      <c r="M34" s="3211"/>
      <c r="N34" s="3237"/>
    </row>
    <row r="35" spans="1:15">
      <c r="B35" s="3214" t="s">
        <v>3523</v>
      </c>
      <c r="C35" s="3215">
        <v>0.5</v>
      </c>
      <c r="D35" s="3477">
        <f>'比较法-商业租金'!C48</f>
        <v>28.6</v>
      </c>
      <c r="E35" s="3477"/>
      <c r="F35" s="3477"/>
      <c r="G35" s="3212">
        <f>(D35-D36)/D36</f>
        <v>4.0000000000000049E-2</v>
      </c>
      <c r="H35" s="3213"/>
      <c r="K35" s="3168"/>
      <c r="L35" s="3211"/>
      <c r="M35" s="3211"/>
      <c r="N35" s="3211"/>
      <c r="O35" s="3237" t="s">
        <v>3610</v>
      </c>
    </row>
    <row r="36" spans="1:15" ht="20.100000000000001" customHeight="1">
      <c r="B36" s="3214" t="s">
        <v>3524</v>
      </c>
      <c r="C36" s="3215">
        <f>1-C35</f>
        <v>0.5</v>
      </c>
      <c r="D36" s="3477">
        <f>N30</f>
        <v>27.5</v>
      </c>
      <c r="E36" s="3477"/>
      <c r="F36" s="3477"/>
      <c r="G36" s="3212"/>
      <c r="H36" s="3213"/>
      <c r="J36" s="3168"/>
      <c r="K36" s="3168"/>
      <c r="L36" s="3211">
        <v>17.93</v>
      </c>
      <c r="M36" s="3211">
        <v>27</v>
      </c>
      <c r="N36" s="3211">
        <v>10</v>
      </c>
      <c r="O36" s="3237">
        <v>10.1</v>
      </c>
    </row>
    <row r="37" spans="1:15" ht="22.5" customHeight="1">
      <c r="B37" s="3476" t="s">
        <v>3525</v>
      </c>
      <c r="C37" s="3476"/>
      <c r="D37" s="3474">
        <f>ROUND(C35*D35+C36*D36,2)</f>
        <v>28.05</v>
      </c>
      <c r="E37" s="3474"/>
      <c r="F37" s="3474"/>
      <c r="G37" s="3212"/>
      <c r="H37" s="3213"/>
      <c r="J37" s="3168"/>
      <c r="K37" s="3168"/>
      <c r="L37" s="3211">
        <v>115486</v>
      </c>
      <c r="M37" s="3211">
        <f>200000*0.8</f>
        <v>160000</v>
      </c>
      <c r="N37" s="3211">
        <v>100000</v>
      </c>
      <c r="O37" s="3237">
        <v>69992</v>
      </c>
    </row>
    <row r="38" spans="1:15" ht="22.5" customHeight="1">
      <c r="B38" s="3214" t="s">
        <v>3526</v>
      </c>
      <c r="C38" s="3214">
        <f>ROUND(D37*0.9,1)</f>
        <v>25.2</v>
      </c>
      <c r="D38" s="3216" t="s">
        <v>3527</v>
      </c>
      <c r="E38" s="3474">
        <f>ROUND(D37*1.1,1)</f>
        <v>30.9</v>
      </c>
      <c r="F38" s="3474"/>
      <c r="G38" s="3212" t="s">
        <v>3528</v>
      </c>
      <c r="H38" s="3217">
        <v>12</v>
      </c>
      <c r="J38" s="3168"/>
      <c r="K38" s="3168"/>
      <c r="L38" s="3251">
        <f>L36*365/L37</f>
        <v>5.6668773704171935E-2</v>
      </c>
      <c r="M38" s="3251">
        <f>M36*365/M37</f>
        <v>6.1593750000000003E-2</v>
      </c>
      <c r="N38" s="3251">
        <f>N36*365/N37</f>
        <v>3.6499999999999998E-2</v>
      </c>
      <c r="O38" s="3251">
        <f>O36*365/O37</f>
        <v>5.2670305177734598E-2</v>
      </c>
    </row>
    <row r="39" spans="1:15" ht="18" customHeight="1">
      <c r="B39" s="3214" t="s">
        <v>3529</v>
      </c>
      <c r="C39" s="3214">
        <f>ROUND(C38+H39,1)</f>
        <v>25.2</v>
      </c>
      <c r="D39" s="3216" t="s">
        <v>3527</v>
      </c>
      <c r="E39" s="3474">
        <f>ROUND(E38+H39,1)</f>
        <v>30.9</v>
      </c>
      <c r="F39" s="3474"/>
      <c r="G39" s="3218" t="s">
        <v>3530</v>
      </c>
      <c r="H39" s="3218">
        <v>0</v>
      </c>
      <c r="J39" s="3168"/>
      <c r="K39" s="3168"/>
      <c r="L39" s="3168"/>
    </row>
    <row r="40" spans="1:15" ht="18" customHeight="1">
      <c r="B40" s="3219"/>
      <c r="C40" s="3220"/>
      <c r="D40" s="3213"/>
      <c r="E40" s="3213"/>
      <c r="F40" s="3213"/>
      <c r="G40" s="3212"/>
      <c r="H40" s="3213"/>
      <c r="J40" s="3168"/>
    </row>
    <row r="41" spans="1:15" ht="18" customHeight="1">
      <c r="B41" s="3212" t="s">
        <v>3531</v>
      </c>
      <c r="C41" s="3213"/>
      <c r="D41" s="3213"/>
      <c r="E41" s="3212" t="s">
        <v>3532</v>
      </c>
      <c r="F41" s="3213"/>
      <c r="G41" s="3212"/>
      <c r="H41" s="3212" t="s">
        <v>3533</v>
      </c>
      <c r="J41" s="3168"/>
    </row>
    <row r="42" spans="1:15"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5994-251B-4B8F-A8A8-CC5939D789B9}">
  <sheetPr>
    <tabColor theme="9" tint="0.79998168889431442"/>
    <pageSetUpPr fitToPage="1"/>
  </sheetPr>
  <dimension ref="A1:AC131"/>
  <sheetViews>
    <sheetView view="pageBreakPreview" topLeftCell="A13" zoomScaleNormal="70" zoomScaleSheetLayoutView="100" workbookViewId="0">
      <selection activeCell="K25" sqref="K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t="s">
        <v>3614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05" t="s">
        <v>1667</v>
      </c>
      <c r="D4" s="3506"/>
      <c r="E4" s="3507" t="s">
        <v>1668</v>
      </c>
      <c r="F4" s="3508"/>
      <c r="G4" s="3505" t="s">
        <v>1669</v>
      </c>
      <c r="H4" s="3506"/>
      <c r="I4" s="3505" t="s">
        <v>1670</v>
      </c>
      <c r="J4" s="3506"/>
      <c r="K4" s="537" t="s">
        <v>1671</v>
      </c>
      <c r="L4" s="2487"/>
      <c r="M4" s="2488"/>
      <c r="N4" s="2488"/>
      <c r="O4" s="2488"/>
      <c r="P4" s="3509" t="s">
        <v>1672</v>
      </c>
      <c r="Q4" s="3510"/>
      <c r="R4" s="3496" t="s">
        <v>1668</v>
      </c>
      <c r="S4" s="3497"/>
      <c r="T4" s="3496" t="s">
        <v>1669</v>
      </c>
      <c r="U4" s="3497"/>
      <c r="V4" s="3479" t="s">
        <v>1670</v>
      </c>
      <c r="W4" s="3479"/>
      <c r="X4" s="1265"/>
      <c r="Y4" s="3496" t="s">
        <v>1672</v>
      </c>
      <c r="Z4" s="3497"/>
      <c r="AA4" s="3502" t="s">
        <v>1668</v>
      </c>
      <c r="AB4" s="3479" t="s">
        <v>1669</v>
      </c>
      <c r="AC4" s="3502" t="s">
        <v>1670</v>
      </c>
    </row>
    <row r="5" spans="1:29" ht="15">
      <c r="A5" s="348"/>
      <c r="B5" s="349"/>
      <c r="C5" s="3515" t="s">
        <v>3600</v>
      </c>
      <c r="D5" s="3516"/>
      <c r="E5" s="3517" t="str">
        <f>销售案例!J12</f>
        <v>万达广场</v>
      </c>
      <c r="F5" s="3518"/>
      <c r="G5" s="3519" t="str">
        <f>销售案例!J15</f>
        <v>建外SOHO</v>
      </c>
      <c r="H5" s="3516"/>
      <c r="I5" s="3519" t="str">
        <f>销售案例!J17</f>
        <v>华贸公寓</v>
      </c>
      <c r="J5" s="3516"/>
      <c r="K5" s="537"/>
      <c r="L5" s="2487"/>
      <c r="M5" s="2488"/>
      <c r="N5" s="2488"/>
      <c r="O5" s="2488"/>
      <c r="P5" s="3511"/>
      <c r="Q5" s="3512"/>
      <c r="R5" s="3498"/>
      <c r="S5" s="3499"/>
      <c r="T5" s="3498"/>
      <c r="U5" s="3499"/>
      <c r="V5" s="3479"/>
      <c r="W5" s="3479"/>
      <c r="X5" s="1265"/>
      <c r="Y5" s="3498"/>
      <c r="Z5" s="3499"/>
      <c r="AA5" s="3503"/>
      <c r="AB5" s="3479"/>
      <c r="AC5" s="350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13"/>
      <c r="Q6" s="3514"/>
      <c r="R6" s="3498"/>
      <c r="S6" s="3499"/>
      <c r="T6" s="3500"/>
      <c r="U6" s="3501"/>
      <c r="V6" s="3479"/>
      <c r="W6" s="3479"/>
      <c r="X6" s="1265"/>
      <c r="Y6" s="3500"/>
      <c r="Z6" s="3501"/>
      <c r="AA6" s="3504"/>
      <c r="AB6" s="3479"/>
      <c r="AC6" s="350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493"/>
      <c r="R7" s="664" t="s">
        <v>14</v>
      </c>
      <c r="S7" s="665">
        <f t="shared" ref="S7:S15" si="0">F7</f>
        <v>100</v>
      </c>
      <c r="T7" s="664" t="s">
        <v>14</v>
      </c>
      <c r="U7" s="665">
        <f t="shared" ref="U7:U15" si="1">H7</f>
        <v>100</v>
      </c>
      <c r="V7" s="664" t="s">
        <v>14</v>
      </c>
      <c r="W7" s="665">
        <f t="shared" ref="W7:W15" si="2">J7</f>
        <v>100</v>
      </c>
      <c r="X7" s="666"/>
      <c r="Y7" s="3492" t="s">
        <v>1680</v>
      </c>
      <c r="Z7" s="3494"/>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492" t="s">
        <v>1683</v>
      </c>
      <c r="Q8" s="3494"/>
      <c r="R8" s="664" t="s">
        <v>14</v>
      </c>
      <c r="S8" s="665">
        <f t="shared" si="0"/>
        <v>100</v>
      </c>
      <c r="T8" s="664" t="s">
        <v>14</v>
      </c>
      <c r="U8" s="665">
        <f t="shared" si="1"/>
        <v>100</v>
      </c>
      <c r="V8" s="664" t="s">
        <v>14</v>
      </c>
      <c r="W8" s="665">
        <f t="shared" si="2"/>
        <v>100</v>
      </c>
      <c r="X8" s="666"/>
      <c r="Y8" s="3492" t="s">
        <v>1683</v>
      </c>
      <c r="Z8" s="34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5"/>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5"/>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83" t="s">
        <v>1691</v>
      </c>
      <c r="Q15" s="1263" t="str">
        <f t="shared" si="6"/>
        <v>商业繁华度</v>
      </c>
      <c r="R15" s="667" t="s">
        <v>14</v>
      </c>
      <c r="S15" s="668">
        <f t="shared" si="0"/>
        <v>100</v>
      </c>
      <c r="T15" s="667" t="s">
        <v>14</v>
      </c>
      <c r="U15" s="668">
        <f t="shared" si="1"/>
        <v>100</v>
      </c>
      <c r="V15" s="667" t="s">
        <v>14</v>
      </c>
      <c r="W15" s="668">
        <f t="shared" si="2"/>
        <v>100</v>
      </c>
      <c r="X15" s="1265"/>
      <c r="Y15" s="3485"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484"/>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484"/>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t="s">
        <v>3549</v>
      </c>
      <c r="D18" s="389"/>
      <c r="E18" s="1755" t="s">
        <v>3549</v>
      </c>
      <c r="F18" s="392"/>
      <c r="G18" s="1755" t="s">
        <v>3549</v>
      </c>
      <c r="H18" s="387"/>
      <c r="I18" s="1755" t="s">
        <v>3549</v>
      </c>
      <c r="J18" s="387"/>
      <c r="K18" s="541"/>
      <c r="L18" s="2493"/>
      <c r="M18" s="2488"/>
      <c r="N18" s="2488"/>
      <c r="O18" s="2488"/>
      <c r="P18" s="3484"/>
      <c r="Q18" s="1263"/>
      <c r="R18" s="667"/>
      <c r="S18" s="668"/>
      <c r="T18" s="667"/>
      <c r="U18" s="668"/>
      <c r="V18" s="667"/>
      <c r="W18" s="668"/>
      <c r="X18" s="1265"/>
      <c r="Y18" s="348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484"/>
      <c r="Q20" s="1263"/>
      <c r="R20" s="667"/>
      <c r="S20" s="668"/>
      <c r="T20" s="667"/>
      <c r="U20" s="668"/>
      <c r="V20" s="667"/>
      <c r="W20" s="668"/>
      <c r="X20" s="1265"/>
      <c r="Y20" s="348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484"/>
      <c r="Q22" s="1263"/>
      <c r="R22" s="667"/>
      <c r="S22" s="668"/>
      <c r="T22" s="667"/>
      <c r="U22" s="668"/>
      <c r="V22" s="667"/>
      <c r="W22" s="668"/>
      <c r="X22" s="1265"/>
      <c r="Y22" s="348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4"/>
      <c r="Q23" s="1263" t="str">
        <f>B23</f>
        <v>自然及人文环境</v>
      </c>
      <c r="R23" s="667" t="s">
        <v>14</v>
      </c>
      <c r="S23" s="668">
        <f>F23</f>
        <v>100</v>
      </c>
      <c r="T23" s="667" t="s">
        <v>14</v>
      </c>
      <c r="U23" s="668">
        <f>H23</f>
        <v>100</v>
      </c>
      <c r="V23" s="667" t="s">
        <v>14</v>
      </c>
      <c r="W23" s="668">
        <f>J23</f>
        <v>100</v>
      </c>
      <c r="X23" s="1265"/>
      <c r="Y23" s="3486"/>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484"/>
      <c r="Q24" s="1263"/>
      <c r="R24" s="667"/>
      <c r="S24" s="668"/>
      <c r="T24" s="667"/>
      <c r="U24" s="668"/>
      <c r="V24" s="667"/>
      <c r="W24" s="668"/>
      <c r="X24" s="1265"/>
      <c r="Y24" s="3486"/>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484"/>
      <c r="Q25" s="1263" t="str">
        <f t="shared" ref="Q25:Q46" si="11">B25</f>
        <v>临街状况</v>
      </c>
      <c r="R25" s="667" t="s">
        <v>14</v>
      </c>
      <c r="S25" s="668">
        <f>F25</f>
        <v>100</v>
      </c>
      <c r="T25" s="667" t="s">
        <v>14</v>
      </c>
      <c r="U25" s="668">
        <f>H25</f>
        <v>100</v>
      </c>
      <c r="V25" s="667" t="s">
        <v>14</v>
      </c>
      <c r="W25" s="668">
        <f>J25</f>
        <v>100</v>
      </c>
      <c r="X25" s="1265"/>
      <c r="Y25" s="34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4"/>
      <c r="Q26" s="1263" t="str">
        <f t="shared" si="11"/>
        <v>平面位置/可视性</v>
      </c>
      <c r="R26" s="667" t="s">
        <v>14</v>
      </c>
      <c r="S26" s="668">
        <f>F26</f>
        <v>100</v>
      </c>
      <c r="T26" s="667" t="s">
        <v>14</v>
      </c>
      <c r="U26" s="668">
        <f>H26</f>
        <v>100</v>
      </c>
      <c r="V26" s="667" t="s">
        <v>14</v>
      </c>
      <c r="W26" s="668">
        <f>J26</f>
        <v>100</v>
      </c>
      <c r="X26" s="1265"/>
      <c r="Y26" s="3486"/>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484"/>
      <c r="Q27" s="530" t="str">
        <f t="shared" si="11"/>
        <v>人流量</v>
      </c>
      <c r="R27" s="664" t="s">
        <v>14</v>
      </c>
      <c r="S27" s="665">
        <f>F27</f>
        <v>100</v>
      </c>
      <c r="T27" s="664" t="s">
        <v>14</v>
      </c>
      <c r="U27" s="665">
        <f>H27</f>
        <v>100</v>
      </c>
      <c r="V27" s="664" t="s">
        <v>14</v>
      </c>
      <c r="W27" s="665">
        <f>J27</f>
        <v>100</v>
      </c>
      <c r="X27" s="666"/>
      <c r="Y27" s="3486"/>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4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86"/>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3615</v>
      </c>
      <c r="F29" s="400">
        <f>SUMIF(94:94,E29,95:95)-SUMIF(94:94,C29,95:95)+100</f>
        <v>100</v>
      </c>
      <c r="G29" s="3240" t="s">
        <v>3603</v>
      </c>
      <c r="H29" s="374">
        <f>SUMIF(94:94,G29,95:95)-SUMIF(94:94,C29,95:95)+100</f>
        <v>98</v>
      </c>
      <c r="I29" s="3240" t="str">
        <f>'比较法-商业租金'!G29</f>
        <v>城市主干道-西大望路</v>
      </c>
      <c r="J29" s="374">
        <f>SUMIF(94:94,I29,95:95)-SUMIF(94:94,C29,95:95)+100</f>
        <v>100</v>
      </c>
      <c r="K29" s="539"/>
      <c r="L29" s="2493"/>
      <c r="M29" s="2488"/>
      <c r="N29" s="2488"/>
      <c r="O29" s="2488"/>
      <c r="P29" s="3484"/>
      <c r="Q29" s="1263" t="str">
        <f t="shared" si="11"/>
        <v>道路级别</v>
      </c>
      <c r="R29" s="667" t="s">
        <v>14</v>
      </c>
      <c r="S29" s="668">
        <f t="shared" si="12"/>
        <v>100</v>
      </c>
      <c r="T29" s="667" t="s">
        <v>14</v>
      </c>
      <c r="U29" s="668">
        <f t="shared" si="13"/>
        <v>98</v>
      </c>
      <c r="V29" s="667" t="s">
        <v>14</v>
      </c>
      <c r="W29" s="668">
        <f t="shared" si="14"/>
        <v>100</v>
      </c>
      <c r="X29" s="1265"/>
      <c r="Y29" s="3486"/>
      <c r="Z29" s="1264" t="str">
        <f t="shared" si="15"/>
        <v>道路级别</v>
      </c>
      <c r="AA29" s="1264">
        <f t="shared" si="3"/>
        <v>1</v>
      </c>
      <c r="AB29" s="1264">
        <f t="shared" si="4"/>
        <v>1.0204081632653061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264">
        <f t="shared" si="5"/>
        <v>1</v>
      </c>
    </row>
    <row r="32" spans="1:29" ht="15">
      <c r="A32" s="379" t="s">
        <v>1694</v>
      </c>
      <c r="B32" s="60" t="s">
        <v>1784</v>
      </c>
      <c r="C32" s="1764" t="s">
        <v>3566</v>
      </c>
      <c r="D32" s="405">
        <v>100</v>
      </c>
      <c r="E32" s="1764" t="s">
        <v>3564</v>
      </c>
      <c r="F32" s="400">
        <f>SUMIF(100:100,E32,101:101)-SUMIF(100:100,C32,101:101)+100</f>
        <v>102</v>
      </c>
      <c r="G32" s="1764" t="s">
        <v>3566</v>
      </c>
      <c r="H32" s="374">
        <f>SUMIF(100:100,G32,101:101)-SUMIF(100:100,C32,101:101)+100</f>
        <v>100</v>
      </c>
      <c r="I32" s="1764" t="s">
        <v>3566</v>
      </c>
      <c r="J32" s="405">
        <f>SUMIF(100:100,I32,101:101)-SUMIF(100:100,C32,101:101)+100</f>
        <v>100</v>
      </c>
      <c r="K32" s="538">
        <v>2</v>
      </c>
      <c r="L32" s="2493"/>
      <c r="M32" s="2488"/>
      <c r="N32" s="2488"/>
      <c r="O32" s="2488"/>
      <c r="P32" s="3487" t="s">
        <v>1696</v>
      </c>
      <c r="Q32" s="1263" t="str">
        <f t="shared" si="11"/>
        <v>商业类型</v>
      </c>
      <c r="R32" s="667" t="s">
        <v>14</v>
      </c>
      <c r="S32" s="668">
        <f t="shared" si="12"/>
        <v>102</v>
      </c>
      <c r="T32" s="667" t="s">
        <v>14</v>
      </c>
      <c r="U32" s="668">
        <f t="shared" si="13"/>
        <v>100</v>
      </c>
      <c r="V32" s="667" t="s">
        <v>14</v>
      </c>
      <c r="W32" s="668">
        <f t="shared" si="14"/>
        <v>100</v>
      </c>
      <c r="X32" s="1265"/>
      <c r="Y32" s="3490"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579.38</v>
      </c>
      <c r="D33" s="119">
        <v>100</v>
      </c>
      <c r="E33" s="369">
        <f>销售案例!K12</f>
        <v>138.19999999999999</v>
      </c>
      <c r="F33" s="364">
        <f>LOOKUP(E33,103:103,104:104)-LOOKUP(C33,103:103,104:104)+100</f>
        <v>102</v>
      </c>
      <c r="G33" s="368">
        <f>销售案例!K15</f>
        <v>43</v>
      </c>
      <c r="H33" s="119">
        <f>LOOKUP(G33,103:103,104:104)-LOOKUP(C33,103:103,104:104)+100</f>
        <v>103</v>
      </c>
      <c r="I33" s="368">
        <f>销售案例!K17</f>
        <v>930.01</v>
      </c>
      <c r="J33" s="119">
        <f>LOOKUP(I33,103:103,104:104)-LOOKUP(C33,103:103,104:104)+100</f>
        <v>100</v>
      </c>
      <c r="K33" s="539"/>
      <c r="L33" s="2492"/>
      <c r="M33" s="2494"/>
      <c r="N33" s="2494"/>
      <c r="O33" s="2494"/>
      <c r="P33" s="3488"/>
      <c r="Q33" s="531" t="str">
        <f t="shared" si="11"/>
        <v>项目建筑规模</v>
      </c>
      <c r="R33" s="669" t="s">
        <v>14</v>
      </c>
      <c r="S33" s="670">
        <f t="shared" si="12"/>
        <v>102</v>
      </c>
      <c r="T33" s="669" t="s">
        <v>14</v>
      </c>
      <c r="U33" s="670">
        <f t="shared" si="13"/>
        <v>103</v>
      </c>
      <c r="V33" s="669" t="s">
        <v>14</v>
      </c>
      <c r="W33" s="670">
        <f t="shared" si="14"/>
        <v>100</v>
      </c>
      <c r="X33" s="671"/>
      <c r="Y33" s="3490"/>
      <c r="Z33" s="672" t="str">
        <f t="shared" si="15"/>
        <v>项目建筑规模</v>
      </c>
      <c r="AA33" s="1264">
        <f t="shared" si="3"/>
        <v>0.98039215686274506</v>
      </c>
      <c r="AB33" s="1264">
        <f t="shared" si="4"/>
        <v>0.970873786407767</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488"/>
      <c r="Q34" s="1263" t="str">
        <f t="shared" si="11"/>
        <v>建筑结构</v>
      </c>
      <c r="R34" s="667" t="s">
        <v>14</v>
      </c>
      <c r="S34" s="668">
        <f t="shared" si="12"/>
        <v>100</v>
      </c>
      <c r="T34" s="667" t="s">
        <v>14</v>
      </c>
      <c r="U34" s="668">
        <f t="shared" si="13"/>
        <v>100</v>
      </c>
      <c r="V34" s="667" t="s">
        <v>14</v>
      </c>
      <c r="W34" s="668">
        <f t="shared" si="14"/>
        <v>100</v>
      </c>
      <c r="X34" s="1265"/>
      <c r="Y34" s="3490"/>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488"/>
      <c r="Q35" s="1263" t="str">
        <f t="shared" si="11"/>
        <v>公共部分装修</v>
      </c>
      <c r="R35" s="667" t="s">
        <v>14</v>
      </c>
      <c r="S35" s="668">
        <f t="shared" si="12"/>
        <v>100</v>
      </c>
      <c r="T35" s="667" t="s">
        <v>14</v>
      </c>
      <c r="U35" s="668">
        <f t="shared" si="13"/>
        <v>100</v>
      </c>
      <c r="V35" s="667" t="s">
        <v>14</v>
      </c>
      <c r="W35" s="668">
        <f t="shared" si="14"/>
        <v>100</v>
      </c>
      <c r="X35" s="1265"/>
      <c r="Y35" s="349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488"/>
      <c r="Q36" s="1263" t="str">
        <f t="shared" si="11"/>
        <v>成新度</v>
      </c>
      <c r="R36" s="667" t="s">
        <v>14</v>
      </c>
      <c r="S36" s="668">
        <f t="shared" si="12"/>
        <v>100</v>
      </c>
      <c r="T36" s="667" t="s">
        <v>14</v>
      </c>
      <c r="U36" s="668">
        <f t="shared" si="13"/>
        <v>100</v>
      </c>
      <c r="V36" s="667" t="s">
        <v>14</v>
      </c>
      <c r="W36" s="668">
        <f t="shared" si="14"/>
        <v>100</v>
      </c>
      <c r="X36" s="1265"/>
      <c r="Y36" s="3490"/>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488"/>
      <c r="Q37" s="530" t="str">
        <f t="shared" si="11"/>
        <v>市政基础设施</v>
      </c>
      <c r="R37" s="664" t="s">
        <v>14</v>
      </c>
      <c r="S37" s="665">
        <f t="shared" si="12"/>
        <v>100</v>
      </c>
      <c r="T37" s="664" t="s">
        <v>14</v>
      </c>
      <c r="U37" s="665">
        <f t="shared" si="13"/>
        <v>100</v>
      </c>
      <c r="V37" s="664" t="s">
        <v>14</v>
      </c>
      <c r="W37" s="665">
        <f t="shared" si="14"/>
        <v>100</v>
      </c>
      <c r="X37" s="666"/>
      <c r="Y37" s="34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8" t="s">
        <v>1696</v>
      </c>
      <c r="Q38" s="1263" t="str">
        <f t="shared" si="11"/>
        <v>业态</v>
      </c>
      <c r="R38" s="667" t="s">
        <v>14</v>
      </c>
      <c r="S38" s="668">
        <f t="shared" si="12"/>
        <v>100</v>
      </c>
      <c r="T38" s="667" t="s">
        <v>14</v>
      </c>
      <c r="U38" s="668">
        <f t="shared" si="13"/>
        <v>100</v>
      </c>
      <c r="V38" s="667" t="s">
        <v>14</v>
      </c>
      <c r="W38" s="668">
        <f t="shared" si="14"/>
        <v>100</v>
      </c>
      <c r="X38" s="1265"/>
      <c r="Y38" s="3490"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488"/>
      <c r="Q39" s="1263" t="str">
        <f t="shared" si="11"/>
        <v>层高</v>
      </c>
      <c r="R39" s="667" t="s">
        <v>14</v>
      </c>
      <c r="S39" s="668">
        <f t="shared" si="12"/>
        <v>100</v>
      </c>
      <c r="T39" s="667" t="s">
        <v>14</v>
      </c>
      <c r="U39" s="668">
        <f t="shared" si="13"/>
        <v>100</v>
      </c>
      <c r="V39" s="667" t="s">
        <v>14</v>
      </c>
      <c r="W39" s="668">
        <f t="shared" si="14"/>
        <v>100</v>
      </c>
      <c r="X39" s="1265"/>
      <c r="Y39" s="34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8"/>
      <c r="Q40" s="1263" t="str">
        <f t="shared" si="11"/>
        <v>单套建筑面积</v>
      </c>
      <c r="R40" s="667" t="s">
        <v>14</v>
      </c>
      <c r="S40" s="668">
        <f t="shared" si="12"/>
        <v>100</v>
      </c>
      <c r="T40" s="667" t="s">
        <v>14</v>
      </c>
      <c r="U40" s="668">
        <f t="shared" si="13"/>
        <v>100</v>
      </c>
      <c r="V40" s="667" t="s">
        <v>14</v>
      </c>
      <c r="W40" s="668">
        <f t="shared" si="14"/>
        <v>100</v>
      </c>
      <c r="X40" s="1265"/>
      <c r="Y40" s="34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8"/>
      <c r="Q41" s="531" t="str">
        <f t="shared" si="11"/>
        <v>进深比</v>
      </c>
      <c r="R41" s="669" t="s">
        <v>14</v>
      </c>
      <c r="S41" s="670">
        <f t="shared" si="12"/>
        <v>100</v>
      </c>
      <c r="T41" s="669" t="s">
        <v>14</v>
      </c>
      <c r="U41" s="670">
        <f t="shared" si="13"/>
        <v>100</v>
      </c>
      <c r="V41" s="669" t="s">
        <v>14</v>
      </c>
      <c r="W41" s="670">
        <f t="shared" si="14"/>
        <v>100</v>
      </c>
      <c r="X41" s="671"/>
      <c r="Y41" s="3490"/>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488"/>
      <c r="Q42" s="1263" t="str">
        <f t="shared" si="11"/>
        <v>内部装修</v>
      </c>
      <c r="R42" s="667" t="s">
        <v>14</v>
      </c>
      <c r="S42" s="668">
        <f t="shared" si="12"/>
        <v>100</v>
      </c>
      <c r="T42" s="667" t="s">
        <v>14</v>
      </c>
      <c r="U42" s="668">
        <f t="shared" si="13"/>
        <v>100</v>
      </c>
      <c r="V42" s="667" t="s">
        <v>14</v>
      </c>
      <c r="W42" s="668">
        <f t="shared" si="14"/>
        <v>100</v>
      </c>
      <c r="X42" s="1265"/>
      <c r="Y42" s="3490"/>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488"/>
      <c r="Q43" s="1263" t="str">
        <f t="shared" si="11"/>
        <v>内部装修维护情况</v>
      </c>
      <c r="R43" s="667" t="s">
        <v>14</v>
      </c>
      <c r="S43" s="668">
        <f t="shared" si="12"/>
        <v>100</v>
      </c>
      <c r="T43" s="667" t="s">
        <v>14</v>
      </c>
      <c r="U43" s="668">
        <f t="shared" si="13"/>
        <v>100</v>
      </c>
      <c r="V43" s="667" t="s">
        <v>14</v>
      </c>
      <c r="W43" s="668">
        <f t="shared" si="14"/>
        <v>100</v>
      </c>
      <c r="X43" s="1265"/>
      <c r="Y43" s="349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8"/>
      <c r="Q44" s="530">
        <f t="shared" si="11"/>
        <v>0</v>
      </c>
      <c r="R44" s="664" t="s">
        <v>14</v>
      </c>
      <c r="S44" s="665">
        <f t="shared" si="12"/>
        <v>100</v>
      </c>
      <c r="T44" s="664" t="s">
        <v>14</v>
      </c>
      <c r="U44" s="665">
        <f t="shared" si="13"/>
        <v>100</v>
      </c>
      <c r="V44" s="664" t="s">
        <v>14</v>
      </c>
      <c r="W44" s="665">
        <f t="shared" si="14"/>
        <v>100</v>
      </c>
      <c r="X44" s="666"/>
      <c r="Y44" s="349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8"/>
      <c r="Q45" s="1263">
        <f t="shared" si="11"/>
        <v>111</v>
      </c>
      <c r="R45" s="667" t="s">
        <v>14</v>
      </c>
      <c r="S45" s="668">
        <f t="shared" si="12"/>
        <v>100</v>
      </c>
      <c r="T45" s="667" t="s">
        <v>14</v>
      </c>
      <c r="U45" s="668">
        <f t="shared" si="13"/>
        <v>100</v>
      </c>
      <c r="V45" s="667" t="s">
        <v>14</v>
      </c>
      <c r="W45" s="668">
        <f t="shared" si="14"/>
        <v>100</v>
      </c>
      <c r="X45" s="1265"/>
      <c r="Y45" s="34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9"/>
      <c r="Q46" s="1263">
        <f t="shared" si="11"/>
        <v>111</v>
      </c>
      <c r="R46" s="667" t="s">
        <v>14</v>
      </c>
      <c r="S46" s="668">
        <f t="shared" si="12"/>
        <v>100</v>
      </c>
      <c r="T46" s="667" t="s">
        <v>14</v>
      </c>
      <c r="U46" s="668">
        <f t="shared" si="13"/>
        <v>100</v>
      </c>
      <c r="V46" s="667" t="s">
        <v>14</v>
      </c>
      <c r="W46" s="668">
        <f t="shared" si="14"/>
        <v>100</v>
      </c>
      <c r="X46" s="1265"/>
      <c r="Y46" s="3491"/>
      <c r="Z46" s="1264">
        <f t="shared" si="15"/>
        <v>111</v>
      </c>
      <c r="AA46" s="1264">
        <f t="shared" si="3"/>
        <v>1</v>
      </c>
      <c r="AB46" s="1264">
        <f t="shared" si="4"/>
        <v>1</v>
      </c>
      <c r="AC46" s="1264">
        <f t="shared" si="5"/>
        <v>1</v>
      </c>
    </row>
    <row r="47" spans="1:29" ht="15">
      <c r="A47" s="416" t="s">
        <v>1708</v>
      </c>
      <c r="B47" s="417"/>
      <c r="C47" s="1081" t="s">
        <v>0</v>
      </c>
      <c r="D47" s="418"/>
      <c r="E47" s="419">
        <f>销售案例!L12</f>
        <v>123011</v>
      </c>
      <c r="F47" s="420"/>
      <c r="G47" s="421">
        <f>销售案例!L15</f>
        <v>139535</v>
      </c>
      <c r="H47" s="422"/>
      <c r="I47" s="419">
        <f>销售案例!L17</f>
        <v>129031</v>
      </c>
      <c r="J47" s="422"/>
      <c r="K47" s="674"/>
      <c r="L47" s="2495"/>
      <c r="M47" s="2488"/>
      <c r="N47" s="2488"/>
      <c r="O47" s="2488"/>
      <c r="P47" s="3478" t="str">
        <f>A47</f>
        <v>成交单价（元/平方米）</v>
      </c>
      <c r="Q47" s="3478"/>
      <c r="R47" s="3479">
        <f>E47</f>
        <v>123011</v>
      </c>
      <c r="S47" s="3479"/>
      <c r="T47" s="3479">
        <f>G47</f>
        <v>139535</v>
      </c>
      <c r="U47" s="3479"/>
      <c r="V47" s="3479">
        <f>I47</f>
        <v>129031</v>
      </c>
      <c r="W47" s="3479"/>
      <c r="X47" s="385"/>
      <c r="Y47" s="673"/>
      <c r="Z47" s="385"/>
      <c r="AA47" s="385"/>
      <c r="AB47" s="385"/>
      <c r="AC47" s="385"/>
    </row>
    <row r="48" spans="1:29" ht="15.75" thickBot="1">
      <c r="A48" s="423" t="s">
        <v>1709</v>
      </c>
      <c r="B48" s="424"/>
      <c r="C48" s="1082">
        <f>R49</f>
        <v>128500</v>
      </c>
      <c r="D48" s="2141" t="s">
        <v>2138</v>
      </c>
      <c r="E48" s="1083">
        <f>R48</f>
        <v>118234</v>
      </c>
      <c r="F48" s="2142"/>
      <c r="G48" s="1082">
        <f>T48</f>
        <v>138236</v>
      </c>
      <c r="H48" s="2142"/>
      <c r="I48" s="1083">
        <f>V48</f>
        <v>129031</v>
      </c>
      <c r="J48" s="2142"/>
      <c r="K48" s="2144">
        <f>F48+H48+J48</f>
        <v>0</v>
      </c>
      <c r="L48" s="2495"/>
      <c r="M48" s="2488"/>
      <c r="N48" s="2488"/>
      <c r="O48" s="2488"/>
      <c r="P48" s="3478" t="str">
        <f>A48</f>
        <v>比较价值（元/平方米）</v>
      </c>
      <c r="Q48" s="3478"/>
      <c r="R48" s="3479">
        <f>IF(F1="售价",ROUND(PRODUCT(R47,AA7:AA46),0),ROUND(PRODUCT(R47,AA7:AA46),1))</f>
        <v>118234</v>
      </c>
      <c r="S48" s="3479"/>
      <c r="T48" s="3479">
        <f>IF(F1="售价",ROUND(PRODUCT(T47,AB7:AB46),0),ROUND(PRODUCT(T47,AB7:AB46),1))</f>
        <v>138236</v>
      </c>
      <c r="U48" s="3479"/>
      <c r="V48" s="3479">
        <f>IF(F1="售价",ROUND(PRODUCT(V47,AC7:AC46),0),ROUND(PRODUCT(V47,AC7:AC46),1))</f>
        <v>129031</v>
      </c>
      <c r="W48" s="3479"/>
      <c r="X48" s="385"/>
      <c r="Y48" s="385"/>
      <c r="Z48" s="385"/>
      <c r="AA48" s="385"/>
      <c r="AB48" s="385"/>
      <c r="AC48" s="385"/>
    </row>
    <row r="49" spans="1:29" ht="15.75" thickBot="1">
      <c r="A49" s="427" t="s">
        <v>1710</v>
      </c>
      <c r="B49" s="428"/>
      <c r="C49" s="351">
        <f>R49</f>
        <v>128500</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128500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4.0402929783311059E-2</v>
      </c>
      <c r="F52" s="435" t="str">
        <f>IF(OR(E52&gt;=0.3,E52&lt;=-0.3),"超过30%","")</f>
        <v/>
      </c>
      <c r="G52" s="434">
        <f>IF(G47&lt;G48,G48/G47-1,G47/G48-1)</f>
        <v>9.3969732920513582E-3</v>
      </c>
      <c r="H52" s="435" t="str">
        <f>IF(OR(G52&gt;=0.3,G52&lt;=-0.3),"超过30%","")</f>
        <v/>
      </c>
      <c r="I52" s="434">
        <f>IF(I47&lt;I48,I48/I47-1,I47/I48-1)</f>
        <v>0</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0.16917299592333856</v>
      </c>
      <c r="F53" s="435" t="str">
        <f>IF(OR(E53&gt;=0.2,E53&lt;=-0.2),"超过20%","")</f>
        <v/>
      </c>
      <c r="G53" s="434">
        <f>IF(G48&lt;I48,I48/G48-1,G48/I48-1)</f>
        <v>7.133944555959415E-2</v>
      </c>
      <c r="H53" s="435" t="str">
        <f>IF(OR(G53&gt;=0.2,G53&lt;=-0.2),"超过20%","")</f>
        <v/>
      </c>
      <c r="I53" s="434">
        <f>IF(I48&lt;E48,E48/I48-1,I48/E48-1)</f>
        <v>9.1318909958218342E-2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0.13432945021176979</v>
      </c>
      <c r="F54" s="435" t="str">
        <f>IF(OR(E54&gt;=0.3,E54&lt;=-0.3),"超过30%","")</f>
        <v/>
      </c>
      <c r="G54" s="434">
        <f>IF(G47&lt;I47,I47/G47-1,G47/I47-1)</f>
        <v>8.1406793716238823E-2</v>
      </c>
      <c r="H54" s="435" t="str">
        <f>IF(OR(G54&gt;=0.3,G54&lt;=-0.3),"超过30%","")</f>
        <v/>
      </c>
      <c r="I54" s="434">
        <f>IF(I47&lt;E47,E47/I47-1,I47/E47-1)</f>
        <v>4.8938712798042516E-2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城市主干道-建国路</v>
      </c>
      <c r="E94" s="485" t="str">
        <f>G29</f>
        <v>城市次干道-景恒街</v>
      </c>
      <c r="F94" s="485" t="str">
        <f>I29</f>
        <v>城市主干道-西大望路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100</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E1" xr:uid="{AEC6E45C-31A1-41EF-BD63-8156AC65DFE2}">
      <formula1>"项目模式,单套模式"</formula1>
    </dataValidation>
    <dataValidation type="list" allowBlank="1" showInputMessage="1" showErrorMessage="1" sqref="D48" xr:uid="{AFD5C121-8AA2-4BFE-B48D-94DC4762A455}">
      <formula1>"简单平均,加权平均"</formula1>
    </dataValidation>
    <dataValidation type="list" allowBlank="1" showInputMessage="1" showErrorMessage="1" sqref="F2" xr:uid="{99AA2052-F9E4-48CF-A5EC-0A79EA63E6A1}">
      <formula1>估价方法</formula1>
    </dataValidation>
    <dataValidation type="list" allowBlank="1" showInputMessage="1" showErrorMessage="1" sqref="C2" xr:uid="{AE13CB2B-C94A-4ACF-B730-F354F8923935}">
      <formula1>"需扣减承租人权益,——"</formula1>
    </dataValidation>
    <dataValidation type="list" allowBlank="1" showInputMessage="1" showErrorMessage="1" sqref="F1" xr:uid="{E375E0EF-1A61-4A2D-B282-4CF7C0C3735E}">
      <formula1>"售价,租金"</formula1>
    </dataValidation>
    <dataValidation type="list" allowBlank="1" showInputMessage="1" showErrorMessage="1" sqref="C22 E22 G22 I22" xr:uid="{456411EB-C198-4930-9EF0-9AC32CA5F93D}">
      <formula1>基础设施水平</formula1>
    </dataValidation>
    <dataValidation type="list" allowBlank="1" showInputMessage="1" showErrorMessage="1" sqref="C16 E16 G16 I16" xr:uid="{8E4823ED-8917-46B6-B630-7189E54AD5A5}">
      <formula1>商业繁华度</formula1>
    </dataValidation>
    <dataValidation type="list" allowBlank="1" showInputMessage="1" showErrorMessage="1" sqref="C8 E8 G8 I8" xr:uid="{0D2B6087-3020-41EB-A22C-88A7781572AF}">
      <formula1>商业交易情况</formula1>
    </dataValidation>
    <dataValidation type="list" allowBlank="1" showInputMessage="1" showErrorMessage="1" sqref="C39 E39 G39 I39" xr:uid="{D862837F-98C2-44CD-83A1-F881CDA7FF12}">
      <formula1>商业层高</formula1>
    </dataValidation>
    <dataValidation type="list" allowBlank="1" showInputMessage="1" showErrorMessage="1" sqref="C38 E38 G38 I38" xr:uid="{0B8586B9-33EF-421D-B353-C397CCC7DCDA}">
      <formula1>商业业态</formula1>
    </dataValidation>
    <dataValidation type="list" allowBlank="1" showInputMessage="1" showErrorMessage="1" sqref="E9 G9 I9" xr:uid="{5F26D006-DAE8-4F93-BF36-9EB5EDD8AFCA}">
      <formula1>商业用途</formula1>
    </dataValidation>
    <dataValidation type="list" allowBlank="1" showInputMessage="1" showErrorMessage="1" sqref="C42 E42 G42 I42" xr:uid="{4571E4B3-0D5A-47D4-93F4-917181BE8A08}">
      <formula1>商业内部装修</formula1>
    </dataValidation>
    <dataValidation type="list" allowBlank="1" showInputMessage="1" showErrorMessage="1" sqref="C41 E41 G41 I41" xr:uid="{8886F413-2041-4816-B5EA-5EB2223DCAB5}">
      <formula1>商业进深比</formula1>
    </dataValidation>
    <dataValidation type="list" allowBlank="1" showInputMessage="1" showErrorMessage="1" sqref="C37 E37 G37 I37" xr:uid="{45403A3B-142C-4820-919E-C01E9F104945}">
      <formula1>商业基础设施水平</formula1>
    </dataValidation>
    <dataValidation type="list" allowBlank="1" showInputMessage="1" showErrorMessage="1" sqref="C35 E35 G35 I35" xr:uid="{CABE87A9-7B1A-4ED4-87F7-E95B1FADFD28}">
      <formula1>商业公共部分装修</formula1>
    </dataValidation>
    <dataValidation type="list" allowBlank="1" showInputMessage="1" showErrorMessage="1" sqref="C34 E34 G34 I34" xr:uid="{4CE056D2-07B2-4699-B17F-C4B6653E14D8}">
      <formula1>商业建筑结构</formula1>
    </dataValidation>
    <dataValidation type="list" allowBlank="1" showInputMessage="1" showErrorMessage="1" sqref="C32 E32 G32 I32" xr:uid="{A4D25EED-D132-4650-97DB-E714DA759E12}">
      <formula1>商业类型</formula1>
    </dataValidation>
    <dataValidation type="list" allowBlank="1" showInputMessage="1" showErrorMessage="1" sqref="C28 E28 G28 I28" xr:uid="{0B205ADD-D8A9-491F-9BA5-02975A6A26E5}">
      <formula1>商业楼层</formula1>
    </dataValidation>
    <dataValidation type="list" allowBlank="1" showInputMessage="1" showErrorMessage="1" sqref="C27 E27 G27 I27" xr:uid="{0465990D-671A-44C1-AF3E-5FE4ABA8DCE4}">
      <formula1>商业人流量</formula1>
    </dataValidation>
    <dataValidation type="list" allowBlank="1" showInputMessage="1" showErrorMessage="1" sqref="C25 E25 G25 I25" xr:uid="{EA5ED0C9-B818-4316-B9D2-FD886DD61184}">
      <formula1>商业临街状况</formula1>
    </dataValidation>
    <dataValidation type="list" allowBlank="1" showInputMessage="1" showErrorMessage="1" sqref="E24 G24 I24 C24" xr:uid="{9E35B866-4439-4996-A748-9846C587EAD0}">
      <formula1>环境</formula1>
    </dataValidation>
    <dataValidation type="list" allowBlank="1" showInputMessage="1" showErrorMessage="1" sqref="E18 G18 I18 C18" xr:uid="{681D304C-3179-478C-842E-BB1EC15316F8}">
      <formula1>交通便捷度</formula1>
    </dataValidation>
    <dataValidation type="list" allowBlank="1" showInputMessage="1" showErrorMessage="1" sqref="E20 I20 G20 C20" xr:uid="{54ABBB53-0D45-4502-96E2-30ECA9767C38}">
      <formula1>公共配套设施</formula1>
    </dataValidation>
    <dataValidation type="list" allowBlank="1" showInputMessage="1" showErrorMessage="1" sqref="C43 E43 G43 I43" xr:uid="{4B7AA17C-5E84-4184-9E2D-44244DFB04BB}">
      <formula1>内部装修维护情况</formula1>
    </dataValidation>
    <dataValidation type="list" allowBlank="1" showInputMessage="1" showErrorMessage="1" sqref="D1" xr:uid="{7B95B867-6922-4923-8C7A-FA6267B97F1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6F5C-0DBF-4ED3-8BA2-B8152165BC2D}">
  <dimension ref="A1:Z45"/>
  <sheetViews>
    <sheetView workbookViewId="0">
      <selection activeCell="L29" sqref="L29"/>
    </sheetView>
  </sheetViews>
  <sheetFormatPr defaultRowHeight="13.5"/>
  <cols>
    <col min="10" max="10" width="11" bestFit="1" customWidth="1"/>
  </cols>
  <sheetData>
    <row r="1" spans="2:24">
      <c r="B1" s="3163" t="s">
        <v>3605</v>
      </c>
      <c r="M1" s="3163" t="s">
        <v>3606</v>
      </c>
      <c r="X1" s="3163" t="s">
        <v>3607</v>
      </c>
    </row>
    <row r="12" spans="2:24">
      <c r="J12" s="3247" t="s">
        <v>3609</v>
      </c>
      <c r="K12" s="3247">
        <v>138.19999999999999</v>
      </c>
      <c r="L12" s="3247">
        <v>123011</v>
      </c>
    </row>
    <row r="13" spans="2:24">
      <c r="J13" s="1405" t="s">
        <v>3609</v>
      </c>
      <c r="K13">
        <v>216.24</v>
      </c>
      <c r="L13">
        <v>115613</v>
      </c>
    </row>
    <row r="14" spans="2:24">
      <c r="J14" s="1405" t="s">
        <v>3610</v>
      </c>
      <c r="K14">
        <v>2328.29</v>
      </c>
      <c r="L14">
        <v>69992</v>
      </c>
    </row>
    <row r="15" spans="2:24">
      <c r="J15" s="3247" t="s">
        <v>3591</v>
      </c>
      <c r="K15" s="3247">
        <v>43</v>
      </c>
      <c r="L15" s="3247">
        <v>139535</v>
      </c>
    </row>
    <row r="16" spans="2:24">
      <c r="J16" s="1405" t="s">
        <v>3613</v>
      </c>
      <c r="K16">
        <v>888</v>
      </c>
      <c r="L16">
        <v>168919</v>
      </c>
    </row>
    <row r="17" spans="10:12">
      <c r="J17" s="3247" t="s">
        <v>3613</v>
      </c>
      <c r="K17" s="3247">
        <v>930.01</v>
      </c>
      <c r="L17" s="3247">
        <v>129031</v>
      </c>
    </row>
    <row r="43" spans="1:26">
      <c r="A43" s="3163" t="s">
        <v>3608</v>
      </c>
    </row>
    <row r="45" spans="1:26">
      <c r="M45" s="3163" t="s">
        <v>3611</v>
      </c>
      <c r="Z45" s="3163" t="s">
        <v>3612</v>
      </c>
    </row>
  </sheetData>
  <phoneticPr fontId="134" type="noConversion"/>
  <hyperlinks>
    <hyperlink ref="B1" r:id="rId1" display="https://shangye.lianjia.com/bj/sp_buy/101124145226.html?tags=%E8%BF%91%E5%9C%B0%E9%93%81%2C%E6%9C%89%E4%BE%9B%E6%9A%96%2C%E4%B8%8B%E6%B0%B4%2C%E4%B8%8A%E6%B0%B4%2C380v" xr:uid="{27AE3221-9224-476A-856F-42436C344724}"/>
    <hyperlink ref="M1" r:id="rId2" display="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xr:uid="{2F82BAA0-89A5-484D-B76C-71C0A6241657}"/>
    <hyperlink ref="X1" r:id="rId3" display="https://shangye.lianjia.com/bj/sp_buy/101113641524.html?tags=%E8%BF%91%E5%9C%B0%E9%93%81%2C%E5%8F%AF%E6%98%8E%E7%81%AB%2C%E6%9C%89%E4%BE%9B%E6%9A%96%2C%E7%B2%BE%E8%A3%85%E4%BF%AE%2C%E5%8F%AF%E6%B3%A8%E5%86%8C%2C%E4%B8%8B%E6%B0%B4%2C%E4%B8%8A%E6%B0%B4%2C%E6%8E%92%E7%83%9F%E7%AE%A1%E9%81%93%2C%E5%AE%A2%E6%A2%AF%2C%E8%B4%A7%E6%A2%AF%2C380v%2C%E7%AE%A1%E9%81%93%E7%85%A4%E6%B0%94" xr:uid="{A0E8B7DE-A51D-4D2D-A937-26E37F8635DF}"/>
    <hyperlink ref="A43" r:id="rId4" display="https://shangye.lianjia.com/bj/sp_buy/101113633785.html?tags=%E6%9C%89%E4%BE%9B%E6%9A%96%2C%E5%8F%AF%E5%A2%9E%E5%AE%B9%E7%94%B5%E5%8A%9B%2C%E7%B2%BE%E8%A3%85%E4%BF%AE%2C%E5%8F%AF%E6%B3%A8%E5%86%8C%2C%E4%B8%8A%E6%B0%B4%2C380v" xr:uid="{76431CA4-55BA-4323-96C2-04117D00FFA1}"/>
    <hyperlink ref="M45" r:id="rId5" display="https://shangye.lianjia.com/bj/sp_buy/101116487731.html?tags=%E8%BF%91%E5%9C%B0%E9%93%81%2C%E5%8F%AF%E6%98%8E%E7%81%AB%2C%E6%9C%89%E4%BE%9B%E6%9A%96%2C%E5%8F%AF%E5%A2%9E%E5%AE%B9%E7%94%B5%E5%8A%9B%2C%E7%B2%BE%E8%A3%85%E4%BF%AE%2C%E5%8F%AF%E6%B3%A8%E5%86%8C%2C%E4%B8%8B%E6%B0%B4%2C%E4%B8%8A%E6%B0%B4%2C%E6%8E%92%E7%83%9F%E7%AE%A1%E9%81%93%2C380v%2C%E7%AE%A1%E9%81%93%E7%85%A4%E6%B0%94" xr:uid="{27ACF09F-DBA9-405D-B61B-110EB3F8C225}"/>
    <hyperlink ref="Z45" r:id="rId6" display="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xr:uid="{CF533B24-4CDE-4E04-A9E2-1A78773FDDED}"/>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2392.1453000000001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16583739.16</v>
      </c>
      <c r="D5" s="203" t="s">
        <v>1469</v>
      </c>
      <c r="E5" s="204" t="s">
        <v>1470</v>
      </c>
      <c r="F5" s="204" t="s">
        <v>1471</v>
      </c>
      <c r="G5" s="205"/>
    </row>
    <row r="6" spans="1:8" s="206" customFormat="1" ht="13.5" customHeight="1">
      <c r="A6" s="732" t="s">
        <v>1472</v>
      </c>
      <c r="B6" s="207" t="s">
        <v>1473</v>
      </c>
      <c r="C6" s="208">
        <f>基准地价修正!C33*基准地价修正!D33</f>
        <v>15980459.16</v>
      </c>
      <c r="D6" s="209"/>
      <c r="E6" s="210"/>
      <c r="F6" s="210"/>
      <c r="G6" s="211"/>
    </row>
    <row r="7" spans="1:8" s="206" customFormat="1" ht="13.5" customHeight="1">
      <c r="A7" s="732" t="s">
        <v>1474</v>
      </c>
      <c r="B7" s="207" t="s">
        <v>1475</v>
      </c>
      <c r="C7" s="212">
        <f>ROUND(C6*F7,0)</f>
        <v>487404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115876</v>
      </c>
      <c r="D8" s="214"/>
      <c r="E8" s="212"/>
      <c r="F8" s="213"/>
      <c r="G8" s="1714" t="s">
        <v>3550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115876</v>
      </c>
      <c r="D10" s="795">
        <f ca="1">IF(B1="",'数据-汇总表'!E6,IF(INDIRECT("'数据-取费表'!c"&amp;$G$1)="住宅",INDIRECT("'数据-取费表'!s"&amp;$G$1),INDIRECT("'数据-取费表'!k"&amp;$G$1)+INDIRECT("'数据-取费表'!s"&amp;$G$1)))</f>
        <v>579.38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579.38</v>
      </c>
      <c r="E19" s="203">
        <f>'数据-取费表'!B31</f>
        <v>200</v>
      </c>
      <c r="F19" s="223"/>
      <c r="G19" s="1714" t="s">
        <v>3551</v>
      </c>
    </row>
    <row r="20" spans="1:7" s="206" customFormat="1" ht="13.5" customHeight="1">
      <c r="A20" s="247" t="s">
        <v>1574</v>
      </c>
      <c r="B20" s="202" t="s">
        <v>1575</v>
      </c>
      <c r="C20" s="224">
        <f ca="1">ROUND((C5+C19)*F20,0)</f>
        <v>331675</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1019900</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1009950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9950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2537312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2537312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21898199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2245098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2027830</v>
      </c>
      <c r="D34" s="209"/>
      <c r="E34" s="212"/>
      <c r="F34" s="249"/>
      <c r="G34" s="211"/>
    </row>
    <row r="35" spans="1:7" ht="13.5" customHeight="1">
      <c r="A35" s="734" t="s">
        <v>351</v>
      </c>
      <c r="B35" s="207" t="s">
        <v>1527</v>
      </c>
      <c r="C35" s="212">
        <f ca="1">ROUND(C34*F35,0)</f>
        <v>60835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115876</v>
      </c>
      <c r="D37" s="209">
        <f ca="1">D19</f>
        <v>579.38</v>
      </c>
      <c r="E37" s="241">
        <f>'数据-取费表'!B35</f>
        <v>200</v>
      </c>
      <c r="F37" s="251"/>
      <c r="G37" s="253"/>
    </row>
    <row r="38" spans="1:7" ht="13.5" customHeight="1">
      <c r="A38" s="734" t="s">
        <v>354</v>
      </c>
      <c r="B38" s="207" t="s">
        <v>1533</v>
      </c>
      <c r="C38" s="212">
        <f ca="1">ROUND(C34*F38,0)</f>
        <v>40557</v>
      </c>
      <c r="D38" s="212"/>
      <c r="E38" s="212"/>
      <c r="F38" s="251">
        <f>'数据-取费表'!B36</f>
        <v>0.02</v>
      </c>
      <c r="G38" s="211" t="s">
        <v>1528</v>
      </c>
    </row>
    <row r="39" spans="1:7" s="206" customFormat="1" ht="13.5" customHeight="1">
      <c r="A39" s="247" t="s">
        <v>1534</v>
      </c>
      <c r="B39" s="202" t="s">
        <v>1535</v>
      </c>
      <c r="C39" s="224">
        <f ca="1">ROUND(C33*F20,0)</f>
        <v>44902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68700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67353</v>
      </c>
      <c r="D42" s="230"/>
      <c r="E42" s="230"/>
      <c r="F42" s="231"/>
      <c r="G42" s="3434" t="s">
        <v>1591</v>
      </c>
    </row>
    <row r="43" spans="1:7" ht="13.5" customHeight="1">
      <c r="A43" s="734" t="s">
        <v>347</v>
      </c>
      <c r="B43" s="207" t="s">
        <v>1545</v>
      </c>
      <c r="C43" s="230">
        <f ca="1">ROUND(IF('数据-取费表'!B22&lt;=1,C39*F22*'数据-取费表'!B20/2,C39*(POWER((1+F22),'数据-取费表'!B20/2)-1)),0)</f>
        <v>1347</v>
      </c>
      <c r="D43" s="230"/>
      <c r="E43" s="230"/>
      <c r="F43" s="231"/>
      <c r="G43" s="3435"/>
    </row>
    <row r="44" spans="1:7" ht="13.5" customHeight="1">
      <c r="A44" s="734" t="s">
        <v>348</v>
      </c>
      <c r="B44" s="207" t="s">
        <v>1546</v>
      </c>
      <c r="C44" s="230">
        <f ca="1">ROUND(IF('数据-取费表'!B22&lt;=1,C40*F22*'数据-取费表'!B20/2,C40*(POWER((1+F22),'数据-取费表'!B20/2)-1)),4)</f>
        <v>2.9999999999999997E-4</v>
      </c>
      <c r="D44" s="230"/>
      <c r="E44" s="230"/>
      <c r="F44" s="231"/>
      <c r="G44" s="3436"/>
    </row>
    <row r="45" spans="1:7" s="206" customFormat="1" ht="13.5" customHeight="1">
      <c r="A45" s="247" t="s">
        <v>1547</v>
      </c>
      <c r="B45" s="236" t="s">
        <v>1513</v>
      </c>
      <c r="C45" s="237">
        <f ca="1">C46</f>
        <v>343500</v>
      </c>
      <c r="D45" s="227">
        <f ca="1">C47</f>
        <v>1.5E-3</v>
      </c>
      <c r="E45" s="228" t="s">
        <v>1539</v>
      </c>
      <c r="F45" s="238">
        <f ca="1">F27</f>
        <v>0.15</v>
      </c>
      <c r="G45" s="239" t="s">
        <v>1548</v>
      </c>
    </row>
    <row r="46" spans="1:7" s="206" customFormat="1" ht="13.5" customHeight="1">
      <c r="A46" s="734" t="s">
        <v>346</v>
      </c>
      <c r="B46" s="240" t="s">
        <v>1549</v>
      </c>
      <c r="C46" s="241">
        <f ca="1">ROUND((C33+C39)*F27,0)</f>
        <v>343500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2890363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2023254</v>
      </c>
      <c r="D51" s="224"/>
      <c r="E51" s="224"/>
      <c r="F51" s="256"/>
      <c r="G51" s="226" t="s">
        <v>1560</v>
      </c>
    </row>
    <row r="52" spans="1:7" s="200" customFormat="1" ht="16.5" thickBot="1">
      <c r="A52" s="257" t="s">
        <v>1561</v>
      </c>
      <c r="B52" s="258"/>
      <c r="C52" s="259">
        <f ca="1">C31+C51</f>
        <v>23921453</v>
      </c>
      <c r="D52" s="258"/>
      <c r="E52" s="258"/>
      <c r="F52" s="258"/>
      <c r="G52" s="260"/>
    </row>
    <row r="55" spans="1:7" ht="15">
      <c r="B55" s="262" t="s">
        <v>1562</v>
      </c>
      <c r="C55" s="263"/>
    </row>
    <row r="56" spans="1:7">
      <c r="B56" s="265" t="s">
        <v>802</v>
      </c>
      <c r="C56" s="267">
        <f ca="1">1-C57</f>
        <v>0.91500000000000004</v>
      </c>
    </row>
    <row r="57" spans="1:7">
      <c r="B57" s="265" t="s">
        <v>803</v>
      </c>
      <c r="C57" s="266">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-14</v>
      </c>
      <c r="C2" s="268" t="s">
        <v>1595</v>
      </c>
      <c r="D2" s="268"/>
      <c r="E2" s="2568"/>
      <c r="F2" s="2568"/>
      <c r="G2" s="2568"/>
      <c r="H2" s="2568"/>
      <c r="I2" s="2568"/>
      <c r="J2" s="2568"/>
      <c r="K2" s="2568"/>
    </row>
    <row r="3" spans="1:33" ht="18" customHeight="1" thickBot="1">
      <c r="A3" s="195" t="s">
        <v>1464</v>
      </c>
      <c r="B3" s="196">
        <f ca="1">ROUND(B2*10000/IF(C1="",'数据-汇总表'!E3,INDIRECT("'数据-取费表'!K"&amp;$K$1)),0)</f>
        <v>-242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579.38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579.38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579.38</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6" t="s">
        <v>694</v>
      </c>
      <c r="C6" s="1011">
        <f ca="1">ROUND(F6*F8*F7*(1-F9)/10000,0)</f>
        <v>0</v>
      </c>
      <c r="D6" s="147" t="s">
        <v>2109</v>
      </c>
      <c r="E6" s="294" t="s">
        <v>696</v>
      </c>
      <c r="F6" s="295">
        <f ca="1">INDIRECT("'数据-取费表'!u"&amp;$G$1)</f>
        <v>0</v>
      </c>
      <c r="G6" s="1292"/>
      <c r="H6" s="1006" t="s">
        <v>398</v>
      </c>
      <c r="I6" s="3526" t="s">
        <v>694</v>
      </c>
      <c r="J6" s="293">
        <f ca="1">ROUND(M6*M8*M7*(1-M9)/10000,0)</f>
        <v>0</v>
      </c>
      <c r="K6" s="147" t="s">
        <v>2108</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6" t="s">
        <v>694</v>
      </c>
      <c r="C6" s="1011">
        <f ca="1">ROUND(F6*F8*F7*(1-F9),0)</f>
        <v>0</v>
      </c>
      <c r="D6" s="147" t="s">
        <v>2106</v>
      </c>
      <c r="E6" s="294" t="s">
        <v>696</v>
      </c>
      <c r="F6" s="295">
        <f ca="1">INDIRECT("'数据-取费表'!u"&amp;$G$1)</f>
        <v>0</v>
      </c>
      <c r="G6" s="1292"/>
      <c r="H6" s="1006" t="s">
        <v>398</v>
      </c>
      <c r="I6" s="3526" t="s">
        <v>694</v>
      </c>
      <c r="J6" s="293">
        <f ca="1">ROUND(M6*M8*M7*(1-M9),0)</f>
        <v>0</v>
      </c>
      <c r="K6" s="1284" t="s">
        <v>2107</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29" t="s">
        <v>2317</v>
      </c>
      <c r="K2" s="353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31" t="s">
        <v>2327</v>
      </c>
      <c r="K3" s="3532"/>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31" t="s">
        <v>2329</v>
      </c>
      <c r="K4" s="3532"/>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33" t="s">
        <v>2333</v>
      </c>
      <c r="B6" s="3534"/>
      <c r="C6" s="3535"/>
      <c r="D6" s="2622"/>
      <c r="E6" s="2623"/>
      <c r="F6" s="2624"/>
      <c r="G6" s="2625"/>
      <c r="H6" s="2600"/>
      <c r="I6" s="2601"/>
      <c r="J6" s="3536">
        <v>1</v>
      </c>
      <c r="K6" s="353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36"/>
      <c r="K7" s="353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40" t="s">
        <v>2347</v>
      </c>
      <c r="C8" s="3541"/>
      <c r="D8" s="2641" t="s">
        <v>2348</v>
      </c>
      <c r="E8" s="2642" t="s">
        <v>2349</v>
      </c>
      <c r="F8" s="2643" t="s">
        <v>2350</v>
      </c>
      <c r="G8" s="2644"/>
      <c r="H8" s="2600"/>
      <c r="I8" s="2601"/>
      <c r="J8" s="3536"/>
      <c r="K8" s="353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40" t="s">
        <v>2353</v>
      </c>
      <c r="C9" s="3541"/>
      <c r="D9" s="2641">
        <f>ROUND(D6*E9,0)</f>
        <v>0</v>
      </c>
      <c r="E9" s="2645"/>
      <c r="F9" s="2646" t="s">
        <v>2354</v>
      </c>
      <c r="G9" s="2625"/>
      <c r="H9" s="2600"/>
      <c r="I9" s="2601"/>
      <c r="J9" s="3536"/>
      <c r="K9" s="3538"/>
      <c r="L9" s="2635" t="s">
        <v>2355</v>
      </c>
      <c r="M9" s="2636"/>
      <c r="N9" s="2612"/>
      <c r="O9" s="2637"/>
      <c r="P9" s="2637"/>
      <c r="Q9" s="2638">
        <v>365</v>
      </c>
      <c r="R9" s="2639">
        <f t="shared" si="0"/>
        <v>0</v>
      </c>
      <c r="S9" s="2593"/>
      <c r="T9" s="2593"/>
      <c r="U9" s="2593"/>
      <c r="V9" s="2601"/>
    </row>
    <row r="10" spans="1:22" s="2605" customFormat="1" ht="13.15" customHeight="1">
      <c r="A10" s="2640">
        <v>2</v>
      </c>
      <c r="B10" s="3540" t="s">
        <v>2356</v>
      </c>
      <c r="C10" s="3541"/>
      <c r="D10" s="2641">
        <f>ROUND(D6*E10,0)</f>
        <v>0</v>
      </c>
      <c r="E10" s="2645"/>
      <c r="F10" s="2646" t="s">
        <v>2357</v>
      </c>
      <c r="G10" s="2625"/>
      <c r="H10" s="2600"/>
      <c r="I10" s="2601"/>
      <c r="J10" s="3536"/>
      <c r="K10" s="3538"/>
      <c r="L10" s="2635" t="s">
        <v>2358</v>
      </c>
      <c r="M10" s="2636"/>
      <c r="N10" s="2612"/>
      <c r="O10" s="2637"/>
      <c r="P10" s="2637"/>
      <c r="Q10" s="2638">
        <v>365</v>
      </c>
      <c r="R10" s="2639">
        <f t="shared" si="0"/>
        <v>0</v>
      </c>
      <c r="S10" s="2593"/>
      <c r="T10" s="2593"/>
      <c r="U10" s="2593"/>
      <c r="V10" s="2601"/>
    </row>
    <row r="11" spans="1:22" s="2605" customFormat="1" ht="13.15" customHeight="1">
      <c r="A11" s="2640">
        <v>3</v>
      </c>
      <c r="B11" s="3540" t="s">
        <v>2359</v>
      </c>
      <c r="C11" s="3541"/>
      <c r="D11" s="2641">
        <f>D12+D14+D15+D16</f>
        <v>0</v>
      </c>
      <c r="E11" s="2647" t="e">
        <f>D11/D6</f>
        <v>#DIV/0!</v>
      </c>
      <c r="F11" s="2643"/>
      <c r="G11" s="2644"/>
      <c r="H11" s="2600"/>
      <c r="I11" s="2601"/>
      <c r="J11" s="3536"/>
      <c r="K11" s="353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42" t="s">
        <v>2362</v>
      </c>
      <c r="C12" s="3543"/>
      <c r="D12" s="2649">
        <f>ROUND(D13*1.2%*(1-30%),0)</f>
        <v>0</v>
      </c>
      <c r="E12" s="2650">
        <v>1.2E-2</v>
      </c>
      <c r="F12" s="2643" t="s">
        <v>2363</v>
      </c>
      <c r="G12" s="2644"/>
      <c r="H12" s="2600"/>
      <c r="I12" s="2601"/>
      <c r="J12" s="3536"/>
      <c r="K12" s="353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36"/>
      <c r="K13" s="353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42" t="s">
        <v>2368</v>
      </c>
      <c r="C14" s="3543"/>
      <c r="D14" s="2649">
        <f>ROUND(E14*B5/10000,0)</f>
        <v>0</v>
      </c>
      <c r="E14" s="2638"/>
      <c r="F14" s="2643" t="s">
        <v>2369</v>
      </c>
      <c r="G14" s="2644"/>
      <c r="H14" s="2600"/>
      <c r="I14" s="2601"/>
      <c r="J14" s="3536"/>
      <c r="K14" s="353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42" t="s">
        <v>2372</v>
      </c>
      <c r="C15" s="3543"/>
      <c r="D15" s="2649">
        <f>ROUND(D6*E15,0)</f>
        <v>0</v>
      </c>
      <c r="E15" s="2650">
        <v>5.5E-2</v>
      </c>
      <c r="F15" s="2643" t="s">
        <v>2373</v>
      </c>
      <c r="G15" s="2625"/>
      <c r="H15" s="2600"/>
      <c r="I15" s="2601"/>
      <c r="J15" s="3536">
        <v>2</v>
      </c>
      <c r="K15" s="353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42" t="s">
        <v>2381</v>
      </c>
      <c r="C16" s="3543"/>
      <c r="D16" s="2660">
        <f>D6*E16</f>
        <v>0</v>
      </c>
      <c r="E16" s="2661"/>
      <c r="F16" s="2646" t="s">
        <v>2382</v>
      </c>
      <c r="G16" s="2625"/>
      <c r="H16" s="2600"/>
      <c r="I16" s="2601"/>
      <c r="J16" s="3536"/>
      <c r="K16" s="353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44" t="s">
        <v>2384</v>
      </c>
      <c r="C17" s="3545"/>
      <c r="D17" s="2663">
        <f>ROUND(D6*E17,0)</f>
        <v>0</v>
      </c>
      <c r="E17" s="2664"/>
      <c r="F17" s="2665" t="s">
        <v>2385</v>
      </c>
      <c r="G17" s="2625"/>
      <c r="H17" s="2600"/>
      <c r="I17" s="2601"/>
      <c r="J17" s="3536"/>
      <c r="K17" s="353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36"/>
      <c r="K18" s="353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36"/>
      <c r="K19" s="353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36">
        <v>3</v>
      </c>
      <c r="K20" s="353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36"/>
      <c r="K21" s="353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36"/>
      <c r="K22" s="353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36"/>
      <c r="K23" s="353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36"/>
      <c r="K24" s="353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46">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4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29" t="s">
        <v>2317</v>
      </c>
      <c r="K32" s="353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31" t="s">
        <v>2327</v>
      </c>
      <c r="K33" s="353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31" t="s">
        <v>2329</v>
      </c>
      <c r="K34" s="353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36">
        <v>1</v>
      </c>
      <c r="K36" s="353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36"/>
      <c r="K37" s="353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36"/>
      <c r="K38" s="353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36"/>
      <c r="K39" s="353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36"/>
      <c r="K40" s="353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46">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4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8" t="s">
        <v>1654</v>
      </c>
      <c r="C5" s="354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579.38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5" t="s">
        <v>1667</v>
      </c>
      <c r="D4" s="3506"/>
      <c r="E4" s="3507" t="s">
        <v>1668</v>
      </c>
      <c r="F4" s="3508"/>
      <c r="G4" s="3505" t="s">
        <v>1669</v>
      </c>
      <c r="H4" s="3506"/>
      <c r="I4" s="3505" t="s">
        <v>1670</v>
      </c>
      <c r="J4" s="3506"/>
      <c r="K4" s="1744" t="s">
        <v>1671</v>
      </c>
      <c r="L4" s="2487"/>
      <c r="M4" s="2488"/>
      <c r="N4" s="2488"/>
      <c r="O4" s="2488"/>
      <c r="P4" s="3509" t="s">
        <v>1672</v>
      </c>
      <c r="Q4" s="3510"/>
      <c r="R4" s="3496" t="s">
        <v>1668</v>
      </c>
      <c r="S4" s="3497"/>
      <c r="T4" s="3496" t="s">
        <v>1669</v>
      </c>
      <c r="U4" s="3497"/>
      <c r="V4" s="3479" t="s">
        <v>1670</v>
      </c>
      <c r="W4" s="3479"/>
      <c r="X4" s="1265"/>
      <c r="Y4" s="3496" t="s">
        <v>1672</v>
      </c>
      <c r="Z4" s="3497"/>
      <c r="AA4" s="3502" t="s">
        <v>1668</v>
      </c>
      <c r="AB4" s="3502" t="s">
        <v>1669</v>
      </c>
      <c r="AC4" s="3502" t="s">
        <v>1670</v>
      </c>
    </row>
    <row r="5" spans="1:29" ht="15">
      <c r="A5" s="348"/>
      <c r="B5" s="349"/>
      <c r="C5" s="3519" t="s">
        <v>1673</v>
      </c>
      <c r="D5" s="3516"/>
      <c r="E5" s="3517" t="s">
        <v>1674</v>
      </c>
      <c r="F5" s="3518"/>
      <c r="G5" s="3519" t="s">
        <v>1675</v>
      </c>
      <c r="H5" s="3516"/>
      <c r="I5" s="3519" t="s">
        <v>1676</v>
      </c>
      <c r="J5" s="3516"/>
      <c r="K5" s="1745"/>
      <c r="L5" s="2487"/>
      <c r="M5" s="2488"/>
      <c r="N5" s="2488"/>
      <c r="O5" s="2488"/>
      <c r="P5" s="3511"/>
      <c r="Q5" s="3512"/>
      <c r="R5" s="3498"/>
      <c r="S5" s="3499"/>
      <c r="T5" s="3498"/>
      <c r="U5" s="3499"/>
      <c r="V5" s="3479"/>
      <c r="W5" s="3479"/>
      <c r="X5" s="1265"/>
      <c r="Y5" s="3498"/>
      <c r="Z5" s="3499"/>
      <c r="AA5" s="3503"/>
      <c r="AB5" s="3503"/>
      <c r="AC5" s="3503"/>
    </row>
    <row r="6" spans="1:29" ht="15.75" thickBot="1">
      <c r="A6" s="350"/>
      <c r="B6" s="351"/>
      <c r="C6" s="3520" t="s">
        <v>1677</v>
      </c>
      <c r="D6" s="3521"/>
      <c r="E6" s="3522" t="s">
        <v>1677</v>
      </c>
      <c r="F6" s="3523"/>
      <c r="G6" s="3520" t="s">
        <v>1677</v>
      </c>
      <c r="H6" s="3521"/>
      <c r="I6" s="3520" t="s">
        <v>1677</v>
      </c>
      <c r="J6" s="3521"/>
      <c r="K6" s="1745" t="s">
        <v>1678</v>
      </c>
      <c r="L6" s="2487"/>
      <c r="M6" s="2488"/>
      <c r="N6" s="2488"/>
      <c r="O6" s="2488"/>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2" t="s">
        <v>1680</v>
      </c>
      <c r="Q7" s="3493"/>
      <c r="R7" s="664" t="s">
        <v>20</v>
      </c>
      <c r="S7" s="665">
        <f t="shared" ref="S7:S15" si="0">F7</f>
        <v>0</v>
      </c>
      <c r="T7" s="664" t="s">
        <v>20</v>
      </c>
      <c r="U7" s="665">
        <f t="shared" ref="U7:U15" si="1">H7</f>
        <v>0</v>
      </c>
      <c r="V7" s="664" t="s">
        <v>20</v>
      </c>
      <c r="W7" s="665">
        <f t="shared" ref="W7:W15" si="2">J7</f>
        <v>0</v>
      </c>
      <c r="X7" s="666"/>
      <c r="Y7" s="3492" t="s">
        <v>1680</v>
      </c>
      <c r="Z7" s="349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2" t="s">
        <v>1683</v>
      </c>
      <c r="Q8" s="3494"/>
      <c r="R8" s="664" t="s">
        <v>20</v>
      </c>
      <c r="S8" s="665">
        <f t="shared" si="0"/>
        <v>100</v>
      </c>
      <c r="T8" s="664" t="s">
        <v>20</v>
      </c>
      <c r="U8" s="665">
        <f t="shared" si="1"/>
        <v>100</v>
      </c>
      <c r="V8" s="664" t="s">
        <v>20</v>
      </c>
      <c r="W8" s="665">
        <f t="shared" si="2"/>
        <v>100</v>
      </c>
      <c r="X8" s="666"/>
      <c r="Y8" s="3492" t="s">
        <v>1683</v>
      </c>
      <c r="Z8" s="34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9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9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95"/>
      <c r="Q11" s="530" t="str">
        <f t="shared" si="6"/>
        <v>容积率</v>
      </c>
      <c r="R11" s="664" t="s">
        <v>18</v>
      </c>
      <c r="S11" s="665" t="e">
        <f t="shared" si="0"/>
        <v>#N/A</v>
      </c>
      <c r="T11" s="664" t="s">
        <v>18</v>
      </c>
      <c r="U11" s="665" t="e">
        <f t="shared" si="1"/>
        <v>#N/A</v>
      </c>
      <c r="V11" s="664" t="s">
        <v>18</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95"/>
      <c r="Q12" s="530">
        <f t="shared" si="6"/>
        <v>111</v>
      </c>
      <c r="R12" s="664" t="s">
        <v>18</v>
      </c>
      <c r="S12" s="665">
        <f t="shared" si="0"/>
        <v>100</v>
      </c>
      <c r="T12" s="664" t="s">
        <v>18</v>
      </c>
      <c r="U12" s="665">
        <f t="shared" si="1"/>
        <v>100</v>
      </c>
      <c r="V12" s="664" t="s">
        <v>18</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95"/>
      <c r="Q13" s="530">
        <f t="shared" si="6"/>
        <v>111</v>
      </c>
      <c r="R13" s="664" t="s">
        <v>18</v>
      </c>
      <c r="S13" s="665">
        <f t="shared" si="0"/>
        <v>100</v>
      </c>
      <c r="T13" s="664" t="s">
        <v>18</v>
      </c>
      <c r="U13" s="665">
        <f t="shared" si="1"/>
        <v>100</v>
      </c>
      <c r="V13" s="664" t="s">
        <v>18</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95"/>
      <c r="Q14" s="530">
        <f t="shared" si="6"/>
        <v>111</v>
      </c>
      <c r="R14" s="664" t="s">
        <v>18</v>
      </c>
      <c r="S14" s="665">
        <f t="shared" si="0"/>
        <v>100</v>
      </c>
      <c r="T14" s="664" t="s">
        <v>18</v>
      </c>
      <c r="U14" s="665">
        <f t="shared" si="1"/>
        <v>100</v>
      </c>
      <c r="V14" s="664" t="s">
        <v>18</v>
      </c>
      <c r="W14" s="665">
        <f t="shared" si="2"/>
        <v>100</v>
      </c>
      <c r="X14" s="666"/>
      <c r="Y14" s="341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3" t="s">
        <v>1691</v>
      </c>
      <c r="Q15" s="1263" t="str">
        <f t="shared" si="6"/>
        <v>居住社区成熟度</v>
      </c>
      <c r="R15" s="667" t="s">
        <v>18</v>
      </c>
      <c r="S15" s="668">
        <f t="shared" si="0"/>
        <v>100</v>
      </c>
      <c r="T15" s="667" t="s">
        <v>18</v>
      </c>
      <c r="U15" s="668">
        <f t="shared" si="1"/>
        <v>100</v>
      </c>
      <c r="V15" s="667" t="s">
        <v>18</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4"/>
      <c r="Q16" s="1263"/>
      <c r="R16" s="667"/>
      <c r="S16" s="668"/>
      <c r="T16" s="667"/>
      <c r="U16" s="668"/>
      <c r="V16" s="667"/>
      <c r="W16" s="668"/>
      <c r="X16" s="1265"/>
      <c r="Y16" s="348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84"/>
      <c r="Q17" s="1263" t="str">
        <f>B17</f>
        <v>交通便捷度</v>
      </c>
      <c r="R17" s="667" t="s">
        <v>18</v>
      </c>
      <c r="S17" s="668">
        <f>F17</f>
        <v>100</v>
      </c>
      <c r="T17" s="667" t="s">
        <v>18</v>
      </c>
      <c r="U17" s="668">
        <f>H17</f>
        <v>100</v>
      </c>
      <c r="V17" s="667" t="s">
        <v>18</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84"/>
      <c r="Q18" s="1263"/>
      <c r="R18" s="667"/>
      <c r="S18" s="668"/>
      <c r="T18" s="667"/>
      <c r="U18" s="668"/>
      <c r="V18" s="667"/>
      <c r="W18" s="668"/>
      <c r="X18" s="1265"/>
      <c r="Y18" s="348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4"/>
      <c r="Q19" s="1263" t="str">
        <f>B19</f>
        <v>公共配套设施</v>
      </c>
      <c r="R19" s="667" t="s">
        <v>18</v>
      </c>
      <c r="S19" s="668">
        <f>F19</f>
        <v>100</v>
      </c>
      <c r="T19" s="667" t="s">
        <v>18</v>
      </c>
      <c r="U19" s="668">
        <f>H19</f>
        <v>100</v>
      </c>
      <c r="V19" s="667" t="s">
        <v>18</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4"/>
      <c r="Q20" s="1263"/>
      <c r="R20" s="667"/>
      <c r="S20" s="668"/>
      <c r="T20" s="667"/>
      <c r="U20" s="668"/>
      <c r="V20" s="667"/>
      <c r="W20" s="668"/>
      <c r="X20" s="1265"/>
      <c r="Y20" s="348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4"/>
      <c r="Q22" s="1263"/>
      <c r="R22" s="667"/>
      <c r="S22" s="668"/>
      <c r="T22" s="667"/>
      <c r="U22" s="668"/>
      <c r="V22" s="667"/>
      <c r="W22" s="668"/>
      <c r="X22" s="1265"/>
      <c r="Y22" s="348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4"/>
      <c r="Q23" s="1263" t="str">
        <f>B23</f>
        <v>自然及人文环境</v>
      </c>
      <c r="R23" s="667" t="s">
        <v>18</v>
      </c>
      <c r="S23" s="668">
        <f>F23</f>
        <v>100</v>
      </c>
      <c r="T23" s="667" t="s">
        <v>18</v>
      </c>
      <c r="U23" s="668">
        <f>H23</f>
        <v>100</v>
      </c>
      <c r="V23" s="667" t="s">
        <v>18</v>
      </c>
      <c r="W23" s="668">
        <f>J23</f>
        <v>100</v>
      </c>
      <c r="X23" s="1265"/>
      <c r="Y23" s="34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4"/>
      <c r="Q24" s="1263"/>
      <c r="R24" s="667"/>
      <c r="S24" s="668"/>
      <c r="T24" s="667"/>
      <c r="U24" s="668"/>
      <c r="V24" s="667"/>
      <c r="W24" s="668"/>
      <c r="X24" s="1265"/>
      <c r="Y24" s="34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84"/>
      <c r="Q26" s="1263" t="str">
        <f t="shared" si="11"/>
        <v>朝向</v>
      </c>
      <c r="R26" s="667" t="s">
        <v>18</v>
      </c>
      <c r="S26" s="668">
        <f t="shared" si="12"/>
        <v>100</v>
      </c>
      <c r="T26" s="667" t="s">
        <v>18</v>
      </c>
      <c r="U26" s="668">
        <f t="shared" si="13"/>
        <v>100</v>
      </c>
      <c r="V26" s="667" t="s">
        <v>18</v>
      </c>
      <c r="W26" s="668">
        <f t="shared" si="14"/>
        <v>100</v>
      </c>
      <c r="X26" s="1265"/>
      <c r="Y26" s="34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84"/>
      <c r="Q27" s="530">
        <f t="shared" si="11"/>
        <v>111</v>
      </c>
      <c r="R27" s="664" t="s">
        <v>18</v>
      </c>
      <c r="S27" s="665">
        <f t="shared" si="12"/>
        <v>100</v>
      </c>
      <c r="T27" s="664" t="s">
        <v>18</v>
      </c>
      <c r="U27" s="665">
        <f t="shared" si="13"/>
        <v>100</v>
      </c>
      <c r="V27" s="664" t="s">
        <v>18</v>
      </c>
      <c r="W27" s="665">
        <f t="shared" si="14"/>
        <v>100</v>
      </c>
      <c r="X27" s="666"/>
      <c r="Y27" s="34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4"/>
      <c r="Q28" s="1263">
        <f t="shared" si="11"/>
        <v>111</v>
      </c>
      <c r="R28" s="667" t="s">
        <v>18</v>
      </c>
      <c r="S28" s="668">
        <f t="shared" si="12"/>
        <v>100</v>
      </c>
      <c r="T28" s="667" t="s">
        <v>18</v>
      </c>
      <c r="U28" s="668">
        <f t="shared" si="13"/>
        <v>100</v>
      </c>
      <c r="V28" s="667" t="s">
        <v>18</v>
      </c>
      <c r="W28" s="668">
        <f t="shared" si="14"/>
        <v>100</v>
      </c>
      <c r="X28" s="1265"/>
      <c r="Y28" s="34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4"/>
      <c r="Q29" s="1263">
        <f t="shared" si="11"/>
        <v>111</v>
      </c>
      <c r="R29" s="667" t="s">
        <v>18</v>
      </c>
      <c r="S29" s="668">
        <f t="shared" si="12"/>
        <v>100</v>
      </c>
      <c r="T29" s="667" t="s">
        <v>18</v>
      </c>
      <c r="U29" s="668">
        <f t="shared" si="13"/>
        <v>100</v>
      </c>
      <c r="V29" s="667" t="s">
        <v>18</v>
      </c>
      <c r="W29" s="668">
        <f t="shared" si="14"/>
        <v>100</v>
      </c>
      <c r="X29" s="1265"/>
      <c r="Y29" s="34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4"/>
      <c r="Q30" s="1263">
        <f t="shared" si="11"/>
        <v>111</v>
      </c>
      <c r="R30" s="667" t="s">
        <v>18</v>
      </c>
      <c r="S30" s="668">
        <f t="shared" si="12"/>
        <v>100</v>
      </c>
      <c r="T30" s="667" t="s">
        <v>18</v>
      </c>
      <c r="U30" s="668">
        <f t="shared" si="13"/>
        <v>100</v>
      </c>
      <c r="V30" s="667" t="s">
        <v>18</v>
      </c>
      <c r="W30" s="668">
        <f t="shared" si="14"/>
        <v>100</v>
      </c>
      <c r="X30" s="1265"/>
      <c r="Y30" s="348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4"/>
      <c r="Q31" s="1263">
        <f t="shared" si="11"/>
        <v>111</v>
      </c>
      <c r="R31" s="667" t="s">
        <v>18</v>
      </c>
      <c r="S31" s="668">
        <f t="shared" si="12"/>
        <v>100</v>
      </c>
      <c r="T31" s="667" t="s">
        <v>18</v>
      </c>
      <c r="U31" s="668">
        <f t="shared" si="13"/>
        <v>100</v>
      </c>
      <c r="V31" s="667" t="s">
        <v>18</v>
      </c>
      <c r="W31" s="668">
        <f t="shared" si="14"/>
        <v>100</v>
      </c>
      <c r="X31" s="1265"/>
      <c r="Y31" s="34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87" t="s">
        <v>1696</v>
      </c>
      <c r="Q32" s="1263" t="str">
        <f t="shared" si="11"/>
        <v>建筑类型</v>
      </c>
      <c r="R32" s="667" t="s">
        <v>18</v>
      </c>
      <c r="S32" s="668">
        <f t="shared" si="12"/>
        <v>100</v>
      </c>
      <c r="T32" s="667" t="s">
        <v>18</v>
      </c>
      <c r="U32" s="668">
        <f t="shared" si="13"/>
        <v>100</v>
      </c>
      <c r="V32" s="667" t="s">
        <v>18</v>
      </c>
      <c r="W32" s="668">
        <f t="shared" si="14"/>
        <v>100</v>
      </c>
      <c r="X32" s="1265"/>
      <c r="Y32" s="34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8"/>
      <c r="Q33" s="531" t="str">
        <f t="shared" si="11"/>
        <v>项目建筑规模</v>
      </c>
      <c r="R33" s="669" t="s">
        <v>18</v>
      </c>
      <c r="S33" s="670" t="e">
        <f t="shared" si="12"/>
        <v>#N/A</v>
      </c>
      <c r="T33" s="669" t="s">
        <v>18</v>
      </c>
      <c r="U33" s="670" t="e">
        <f t="shared" si="13"/>
        <v>#N/A</v>
      </c>
      <c r="V33" s="669" t="s">
        <v>18</v>
      </c>
      <c r="W33" s="670" t="e">
        <f t="shared" si="14"/>
        <v>#N/A</v>
      </c>
      <c r="X33" s="671"/>
      <c r="Y33" s="34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8"/>
      <c r="Q34" s="1263" t="str">
        <f t="shared" si="11"/>
        <v>建筑结构</v>
      </c>
      <c r="R34" s="667" t="s">
        <v>18</v>
      </c>
      <c r="S34" s="668">
        <f t="shared" si="12"/>
        <v>100</v>
      </c>
      <c r="T34" s="667" t="s">
        <v>18</v>
      </c>
      <c r="U34" s="668">
        <f t="shared" si="13"/>
        <v>100</v>
      </c>
      <c r="V34" s="667" t="s">
        <v>18</v>
      </c>
      <c r="W34" s="668">
        <f t="shared" si="14"/>
        <v>100</v>
      </c>
      <c r="X34" s="1265"/>
      <c r="Y34" s="34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8"/>
      <c r="Q35" s="1263" t="str">
        <f t="shared" si="11"/>
        <v>建筑品质</v>
      </c>
      <c r="R35" s="667" t="s">
        <v>18</v>
      </c>
      <c r="S35" s="668">
        <f t="shared" si="12"/>
        <v>100</v>
      </c>
      <c r="T35" s="667" t="s">
        <v>18</v>
      </c>
      <c r="U35" s="668">
        <f t="shared" si="13"/>
        <v>100</v>
      </c>
      <c r="V35" s="667" t="s">
        <v>18</v>
      </c>
      <c r="W35" s="668">
        <f t="shared" si="14"/>
        <v>100</v>
      </c>
      <c r="X35" s="1265"/>
      <c r="Y35" s="34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8"/>
      <c r="Q36" s="1263" t="str">
        <f t="shared" si="11"/>
        <v>公共部分装修</v>
      </c>
      <c r="R36" s="667" t="s">
        <v>18</v>
      </c>
      <c r="S36" s="668">
        <f t="shared" si="12"/>
        <v>100</v>
      </c>
      <c r="T36" s="667" t="s">
        <v>18</v>
      </c>
      <c r="U36" s="668">
        <f t="shared" si="13"/>
        <v>100</v>
      </c>
      <c r="V36" s="667" t="s">
        <v>18</v>
      </c>
      <c r="W36" s="668">
        <f t="shared" si="14"/>
        <v>100</v>
      </c>
      <c r="X36" s="1265"/>
      <c r="Y36" s="34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8"/>
      <c r="Q37" s="530" t="str">
        <f t="shared" si="11"/>
        <v>成新度</v>
      </c>
      <c r="R37" s="664" t="s">
        <v>18</v>
      </c>
      <c r="S37" s="665" t="e">
        <f t="shared" si="12"/>
        <v>#N/A</v>
      </c>
      <c r="T37" s="664" t="s">
        <v>18</v>
      </c>
      <c r="U37" s="665" t="e">
        <f t="shared" si="13"/>
        <v>#N/A</v>
      </c>
      <c r="V37" s="664" t="s">
        <v>18</v>
      </c>
      <c r="W37" s="665" t="e">
        <f t="shared" si="14"/>
        <v>#N/A</v>
      </c>
      <c r="X37" s="666"/>
      <c r="Y37" s="34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8" t="s">
        <v>1696</v>
      </c>
      <c r="Q38" s="1263" t="str">
        <f t="shared" si="11"/>
        <v>物业管理</v>
      </c>
      <c r="R38" s="667" t="s">
        <v>18</v>
      </c>
      <c r="S38" s="668">
        <f t="shared" si="12"/>
        <v>100</v>
      </c>
      <c r="T38" s="667" t="s">
        <v>18</v>
      </c>
      <c r="U38" s="668">
        <f t="shared" si="13"/>
        <v>100</v>
      </c>
      <c r="V38" s="667" t="s">
        <v>18</v>
      </c>
      <c r="W38" s="668">
        <f t="shared" si="14"/>
        <v>100</v>
      </c>
      <c r="X38" s="1265"/>
      <c r="Y38" s="34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8"/>
      <c r="Q39" s="1263" t="str">
        <f t="shared" si="11"/>
        <v>市政基础设施</v>
      </c>
      <c r="R39" s="667" t="s">
        <v>18</v>
      </c>
      <c r="S39" s="668">
        <f t="shared" si="12"/>
        <v>100</v>
      </c>
      <c r="T39" s="667" t="s">
        <v>18</v>
      </c>
      <c r="U39" s="668">
        <f t="shared" si="13"/>
        <v>100</v>
      </c>
      <c r="V39" s="667" t="s">
        <v>18</v>
      </c>
      <c r="W39" s="668">
        <f t="shared" si="14"/>
        <v>100</v>
      </c>
      <c r="X39" s="1265"/>
      <c r="Y39" s="34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8"/>
      <c r="Q40" s="1263" t="str">
        <f t="shared" si="11"/>
        <v>房型</v>
      </c>
      <c r="R40" s="667" t="s">
        <v>18</v>
      </c>
      <c r="S40" s="668">
        <f t="shared" si="12"/>
        <v>100</v>
      </c>
      <c r="T40" s="667" t="s">
        <v>18</v>
      </c>
      <c r="U40" s="668">
        <f t="shared" si="13"/>
        <v>100</v>
      </c>
      <c r="V40" s="667" t="s">
        <v>18</v>
      </c>
      <c r="W40" s="668">
        <f t="shared" si="14"/>
        <v>100</v>
      </c>
      <c r="X40" s="1265"/>
      <c r="Y40" s="34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8"/>
      <c r="Q41" s="531" t="str">
        <f t="shared" si="11"/>
        <v>单套/主力户型建筑面积</v>
      </c>
      <c r="R41" s="669" t="s">
        <v>18</v>
      </c>
      <c r="S41" s="670">
        <f t="shared" si="12"/>
        <v>100</v>
      </c>
      <c r="T41" s="669" t="s">
        <v>18</v>
      </c>
      <c r="U41" s="670">
        <f t="shared" si="13"/>
        <v>100</v>
      </c>
      <c r="V41" s="669" t="s">
        <v>18</v>
      </c>
      <c r="W41" s="670">
        <f t="shared" si="14"/>
        <v>100</v>
      </c>
      <c r="X41" s="671"/>
      <c r="Y41" s="34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8"/>
      <c r="Q42" s="1263" t="str">
        <f t="shared" si="11"/>
        <v>内部装修</v>
      </c>
      <c r="R42" s="667" t="s">
        <v>18</v>
      </c>
      <c r="S42" s="668">
        <f t="shared" si="12"/>
        <v>100</v>
      </c>
      <c r="T42" s="667" t="s">
        <v>18</v>
      </c>
      <c r="U42" s="668">
        <f t="shared" si="13"/>
        <v>100</v>
      </c>
      <c r="V42" s="667" t="s">
        <v>18</v>
      </c>
      <c r="W42" s="668">
        <f t="shared" si="14"/>
        <v>100</v>
      </c>
      <c r="X42" s="1265"/>
      <c r="Y42" s="34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8"/>
      <c r="Q43" s="1263" t="str">
        <f t="shared" si="11"/>
        <v>内部装修维护情况</v>
      </c>
      <c r="R43" s="667" t="s">
        <v>18</v>
      </c>
      <c r="S43" s="668">
        <f t="shared" si="12"/>
        <v>100</v>
      </c>
      <c r="T43" s="667" t="s">
        <v>18</v>
      </c>
      <c r="U43" s="668">
        <f t="shared" si="13"/>
        <v>100</v>
      </c>
      <c r="V43" s="667" t="s">
        <v>18</v>
      </c>
      <c r="W43" s="668">
        <f t="shared" si="14"/>
        <v>100</v>
      </c>
      <c r="X43" s="1265"/>
      <c r="Y43" s="34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8"/>
      <c r="Q44" s="530">
        <f t="shared" si="11"/>
        <v>111</v>
      </c>
      <c r="R44" s="664" t="s">
        <v>18</v>
      </c>
      <c r="S44" s="665">
        <f t="shared" si="12"/>
        <v>100</v>
      </c>
      <c r="T44" s="664" t="s">
        <v>18</v>
      </c>
      <c r="U44" s="665">
        <f t="shared" si="13"/>
        <v>100</v>
      </c>
      <c r="V44" s="664" t="s">
        <v>18</v>
      </c>
      <c r="W44" s="665">
        <f t="shared" si="14"/>
        <v>100</v>
      </c>
      <c r="X44" s="666"/>
      <c r="Y44" s="34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8"/>
      <c r="Q45" s="1263">
        <f t="shared" si="11"/>
        <v>111</v>
      </c>
      <c r="R45" s="667" t="s">
        <v>18</v>
      </c>
      <c r="S45" s="668">
        <f t="shared" si="12"/>
        <v>100</v>
      </c>
      <c r="T45" s="667" t="s">
        <v>18</v>
      </c>
      <c r="U45" s="668">
        <f t="shared" si="13"/>
        <v>100</v>
      </c>
      <c r="V45" s="667" t="s">
        <v>18</v>
      </c>
      <c r="W45" s="668">
        <f t="shared" si="14"/>
        <v>100</v>
      </c>
      <c r="X45" s="1265"/>
      <c r="Y45" s="34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9"/>
      <c r="Q46" s="1263">
        <f t="shared" si="11"/>
        <v>111</v>
      </c>
      <c r="R46" s="667" t="s">
        <v>17</v>
      </c>
      <c r="S46" s="668">
        <f t="shared" si="12"/>
        <v>100</v>
      </c>
      <c r="T46" s="667" t="s">
        <v>17</v>
      </c>
      <c r="U46" s="668">
        <f t="shared" si="13"/>
        <v>100</v>
      </c>
      <c r="V46" s="667" t="s">
        <v>17</v>
      </c>
      <c r="W46" s="668">
        <f t="shared" si="14"/>
        <v>100</v>
      </c>
      <c r="X46" s="1265"/>
      <c r="Y46" s="349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78" t="str">
        <f>A47</f>
        <v>成交单价（元/平方米）</v>
      </c>
      <c r="Q47" s="3478"/>
      <c r="R47" s="3479">
        <f>E47</f>
        <v>0</v>
      </c>
      <c r="S47" s="3479"/>
      <c r="T47" s="3479">
        <f>G47</f>
        <v>0</v>
      </c>
      <c r="U47" s="3479"/>
      <c r="V47" s="3479">
        <f>I47</f>
        <v>0</v>
      </c>
      <c r="W47" s="34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估价对象为北京市房地产，为所有。根据《国有土地使用证》[]，估价对象（分摊）出让国有建设用地使用权面积为41.13平方米，建筑面积为579.38平方米。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估价对象为北京市房地产,属开发建设的，该项目尚在开发建设中。根据《国有土地使用证》[]，估价对象（分摊）出让国有建设用地使用权面积为41.13平方米，规划建筑面积为579.38平方米。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579.38</v>
      </c>
      <c r="E1" s="1842"/>
      <c r="F1" s="1842"/>
      <c r="G1" s="1842"/>
      <c r="H1" s="1842"/>
      <c r="I1" s="1842"/>
      <c r="J1" s="1842"/>
      <c r="K1" s="1056"/>
      <c r="L1" s="1843" t="s">
        <v>1928</v>
      </c>
      <c r="M1" s="810">
        <f>SUMPRODUCT((区片价!B5:B9=I2)*(区片价!C3:G3=E2)*(区片价!C5:G9))</f>
        <v>36210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1598</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50217</v>
      </c>
      <c r="U2" s="1130">
        <f>'数据-基础表'!I13</f>
        <v>579.38</v>
      </c>
      <c r="V2" s="3064">
        <f>ROUND(T2*U2/10000,0)</f>
        <v>2909</v>
      </c>
      <c r="W2" s="1133"/>
      <c r="X2" s="1133"/>
      <c r="Y2" s="1133"/>
      <c r="Z2" s="1133"/>
      <c r="AA2" s="1133"/>
      <c r="AB2" s="1133"/>
      <c r="AC2" s="1134"/>
      <c r="AD2" s="1135"/>
      <c r="AE2" s="1135"/>
      <c r="AF2" s="1135"/>
      <c r="AG2" s="1135"/>
      <c r="AH2" s="1135"/>
      <c r="AI2" s="1135"/>
      <c r="AJ2" s="1136"/>
    </row>
    <row r="3" spans="1:36" ht="15.75">
      <c r="A3" s="195" t="s">
        <v>1940</v>
      </c>
      <c r="B3" s="196">
        <f>ROUND(B2*10000/D1,0)</f>
        <v>27581</v>
      </c>
      <c r="C3" s="1846" t="s">
        <v>1941</v>
      </c>
      <c r="D3" s="162" t="s">
        <v>1942</v>
      </c>
      <c r="E3" s="3119" t="s">
        <v>3583</v>
      </c>
      <c r="F3" s="1848" t="s">
        <v>3585</v>
      </c>
      <c r="G3" s="708">
        <f>IF(F3="宗地容积率",'数据-汇总表'!I4,IF(F3="估价对象容积率",'数据-汇总表'!I6,'数据-汇总表'!I7))</f>
        <v>14.09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39867</v>
      </c>
      <c r="U3" s="1130">
        <f>'数据-基础表'!I14</f>
        <v>0</v>
      </c>
      <c r="V3" s="3064">
        <f t="shared" ref="V3:V16" si="1">ROUND(T3*U3/10000,0)</f>
        <v>0</v>
      </c>
      <c r="W3" s="1133"/>
      <c r="X3" s="1133"/>
      <c r="Y3" s="1133"/>
      <c r="Z3" s="1133"/>
      <c r="AA3" s="1133"/>
      <c r="AB3" s="1133"/>
      <c r="AC3" s="1134"/>
      <c r="AD3" s="1135"/>
      <c r="AE3" s="1135"/>
      <c r="AF3" s="1135"/>
      <c r="AG3" s="1135"/>
      <c r="AH3" s="1135"/>
      <c r="AI3" s="1135"/>
      <c r="AJ3" s="1136"/>
    </row>
    <row r="4" spans="1:36" ht="15.75">
      <c r="A4" s="3557"/>
      <c r="B4" s="3558"/>
      <c r="C4" s="3558"/>
      <c r="D4" s="3559"/>
      <c r="E4" s="3559"/>
      <c r="F4" s="3559"/>
      <c r="G4" s="3559"/>
      <c r="H4" s="3559"/>
      <c r="I4" s="3559"/>
      <c r="J4" s="35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34448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37990</v>
      </c>
      <c r="D5" s="1252">
        <f>ROUND(C6*C17+C20,0)</f>
        <v>36179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31172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29709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14.09</v>
      </c>
      <c r="AA7" s="1133"/>
      <c r="AB7" s="1133"/>
      <c r="AC7" s="1134"/>
      <c r="AD7" s="1135"/>
      <c r="AE7" s="1135"/>
      <c r="AF7" s="1135"/>
      <c r="AG7" s="1135"/>
      <c r="AH7" s="1135"/>
      <c r="AI7" s="1135"/>
      <c r="AJ7" s="1136"/>
    </row>
    <row r="8" spans="1:36" ht="25.5">
      <c r="A8" s="3010"/>
      <c r="B8" s="162" t="s">
        <v>1957</v>
      </c>
      <c r="C8" s="1870" t="s">
        <v>3561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54" t="s">
        <v>1960</v>
      </c>
      <c r="X8" s="35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5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61" t="s">
        <v>3254</v>
      </c>
      <c r="B20" s="159" t="s">
        <v>1994</v>
      </c>
      <c r="C20" s="3032">
        <f>ROUND(IF(F21="与级别开发程度一致",0,(G21-E21)/C21),0)</f>
        <v>-31</v>
      </c>
      <c r="D20" s="3047" t="s">
        <v>1998</v>
      </c>
      <c r="E20" s="3048"/>
      <c r="F20" s="3567" t="s">
        <v>1995</v>
      </c>
      <c r="G20" s="3568"/>
      <c r="H20" s="3033" t="s">
        <v>3542</v>
      </c>
      <c r="I20" s="3033" t="s">
        <v>3543</v>
      </c>
      <c r="J20" s="3034" t="s">
        <v>3544</v>
      </c>
      <c r="K20" s="1889" t="s">
        <v>3545</v>
      </c>
      <c r="L20" s="1889" t="s">
        <v>3546</v>
      </c>
      <c r="M20" s="1889" t="s">
        <v>3547</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62"/>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3541</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0.83160000000000001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27.81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3586</v>
      </c>
      <c r="C25" s="461">
        <f>IF(B25="容积率修正",IF(G3&lt;10,D26,J26),C27)</f>
        <v>0.83520000000000005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str">
        <f>IF(E26=G26,F26,IF(G3&lt;10,ROUND(F26+(H26-F26)*(G3-E26)/(G26-E26),4),"——"))</f>
        <v>——</v>
      </c>
      <c r="E26" s="708">
        <f>ROUNDDOWN(G3,1)</f>
        <v>14</v>
      </c>
      <c r="F26" s="126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14.1</v>
      </c>
      <c r="H26" s="126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2" t="s">
        <v>3258</v>
      </c>
      <c r="J26" s="374">
        <f>IF(G3&gt;=10,D116,"——")</f>
        <v>0.83520000000000005</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1598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27582</v>
      </c>
      <c r="D33" s="1940">
        <f>'数据-汇总表'!F19</f>
        <v>579.38</v>
      </c>
      <c r="E33" s="727">
        <f>ROUND(C33*D33/10000,0)</f>
        <v>1598</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6896</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5"/>
      <c r="B37" s="1955" t="s">
        <v>2036</v>
      </c>
      <c r="C37" s="167">
        <f>ROUND(D5*C22*C23*C24*C28*F37,0)</f>
        <v>22015</v>
      </c>
      <c r="D37" s="1940"/>
      <c r="E37" s="163">
        <f>ROUND(C37*D37/10000,0)</f>
        <v>0</v>
      </c>
      <c r="F37" s="163">
        <f>SUMIF(修正!A57:A68,G2,修正!B57:B68)</f>
        <v>0.7</v>
      </c>
      <c r="G37" s="163">
        <f>ROUND(IF(E2="工业",C37*$M$42,C37*$M$41),0)</f>
        <v>5504</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6"/>
      <c r="B38" s="1884" t="s">
        <v>2037</v>
      </c>
      <c r="C38" s="167">
        <f>ROUND(D5*C22*C23*C24*C28*F38,0)</f>
        <v>12580</v>
      </c>
      <c r="D38" s="1940"/>
      <c r="E38" s="163">
        <f t="shared" ref="E38:E42" si="4">ROUND(C38*D38/10000,0)</f>
        <v>0</v>
      </c>
      <c r="F38" s="163">
        <f>SUMIF(修正!A57:A68,G2,修正!C57:C68)</f>
        <v>0.4</v>
      </c>
      <c r="G38" s="163">
        <f>ROUND(IF(E2="工业",C38*$M$42,C38*$M$41),0)</f>
        <v>3145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6"/>
      <c r="B39" s="1884" t="s">
        <v>3259</v>
      </c>
      <c r="C39" s="167">
        <f>ROUND(D5*C22*C23*C24*C28*F39,0)</f>
        <v>9435</v>
      </c>
      <c r="D39" s="1940"/>
      <c r="E39" s="163">
        <f t="shared" si="4"/>
        <v>0</v>
      </c>
      <c r="F39" s="163">
        <f>SUMIF(修正!A57:A68,G2,修正!D57:D68)</f>
        <v>0.3</v>
      </c>
      <c r="G39" s="163">
        <f>ROUND(IF(E2="工业",C39*$M$42,C39*$M$41),0)</f>
        <v>2359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9435</v>
      </c>
      <c r="D40" s="1940"/>
      <c r="E40" s="163">
        <f t="shared" si="4"/>
        <v>0</v>
      </c>
      <c r="F40" s="167">
        <f>SUMIF(修正!A57:A68,G2,修正!E57:E68)</f>
        <v>0.3</v>
      </c>
      <c r="G40" s="163">
        <f>ROUND(IF(E2="工业",C40*$M$42,C40*$M$41),0)</f>
        <v>2359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3548</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3548</v>
      </c>
      <c r="D51" s="1002">
        <f t="shared" si="7"/>
        <v>1.04E-2</v>
      </c>
      <c r="E51" s="703"/>
      <c r="F51" s="1675"/>
      <c r="G51" s="1000">
        <v>1.04E-2</v>
      </c>
      <c r="H51" s="1003" t="str">
        <f t="shared" si="8"/>
        <v>——</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t="s">
        <v>3548</v>
      </c>
      <c r="D52" s="1002">
        <f t="shared" si="7"/>
        <v>5.7000000000000002E-3</v>
      </c>
      <c r="E52" s="703"/>
      <c r="F52" s="1675"/>
      <c r="G52" s="1000">
        <v>5.7000000000000002E-3</v>
      </c>
      <c r="H52" s="1003" t="str">
        <f t="shared" si="8"/>
        <v>——</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3548</v>
      </c>
      <c r="D53" s="1002">
        <f t="shared" si="7"/>
        <v>2.3E-3</v>
      </c>
      <c r="E53" s="703"/>
      <c r="F53" s="1675"/>
      <c r="G53" s="1000">
        <v>2.3E-3</v>
      </c>
      <c r="H53" s="1003" t="str">
        <f t="shared" si="8"/>
        <v>——</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3563</v>
      </c>
      <c r="D54" s="1002">
        <f t="shared" si="7"/>
        <v>0</v>
      </c>
      <c r="E54" s="703"/>
      <c r="F54" s="1675"/>
      <c r="G54" s="1000">
        <v>3.8E-3</v>
      </c>
      <c r="H54" s="1003" t="str">
        <f t="shared" si="8"/>
        <v>——</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3548</v>
      </c>
      <c r="D55" s="1002">
        <f t="shared" si="7"/>
        <v>2.3E-3</v>
      </c>
      <c r="E55" s="703"/>
      <c r="F55" s="1675"/>
      <c r="G55" s="1000">
        <v>2.3E-3</v>
      </c>
      <c r="H55" s="1003" t="str">
        <f t="shared" si="8"/>
        <v>——</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3548</v>
      </c>
      <c r="D56" s="1002">
        <f t="shared" si="7"/>
        <v>2.3E-3</v>
      </c>
      <c r="E56" s="703"/>
      <c r="F56" s="1675"/>
      <c r="G56" s="1000">
        <v>2.3E-3</v>
      </c>
      <c r="H56" s="1003" t="str">
        <f t="shared" si="8"/>
        <v>——</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3549</v>
      </c>
      <c r="D57" s="1002">
        <f t="shared" si="7"/>
        <v>7.6E-3</v>
      </c>
      <c r="E57" s="703"/>
      <c r="F57" s="1675"/>
      <c r="G57" s="1000">
        <v>3.8E-3</v>
      </c>
      <c r="H57" s="1003" t="str">
        <f t="shared" si="8"/>
        <v>——</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3548</v>
      </c>
      <c r="D58" s="1002">
        <f t="shared" si="7"/>
        <v>2.3E-3</v>
      </c>
      <c r="E58" s="704"/>
      <c r="F58" s="1675"/>
      <c r="G58" s="1000">
        <v>2.3E-3</v>
      </c>
      <c r="H58" s="1003" t="str">
        <f t="shared" si="8"/>
        <v>——</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3548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3548</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3548</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3548</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3548</v>
      </c>
      <c r="D65" s="1002">
        <f t="shared" si="12"/>
        <v>2.5000000000000001E-3</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3548</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3548</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3549</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3548</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3548</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3548</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3548</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3548</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3548</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3548</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3548</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3549</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3548</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3" t="s">
        <v>3294</v>
      </c>
      <c r="B103" s="3563"/>
      <c r="C103" s="3563"/>
      <c r="D103" s="3563"/>
      <c r="E103" s="3563"/>
      <c r="F103" s="3563"/>
      <c r="G103" s="3563"/>
      <c r="H103" s="3563"/>
      <c r="I103" s="3563"/>
      <c r="J103" s="3563"/>
      <c r="K103" s="1667"/>
      <c r="L103" s="1667"/>
      <c r="M103" s="1667"/>
      <c r="N103" s="1667"/>
    </row>
    <row r="104" spans="1:14">
      <c r="A104" s="3564" t="s">
        <v>3295</v>
      </c>
      <c r="B104" s="3564" t="s">
        <v>3296</v>
      </c>
      <c r="C104" s="3091" t="s">
        <v>3297</v>
      </c>
      <c r="D104" s="3092"/>
      <c r="E104" s="3092"/>
      <c r="F104" s="3092"/>
      <c r="G104" s="3092"/>
      <c r="H104" s="3092"/>
      <c r="I104" s="3092"/>
      <c r="J104" s="3093"/>
      <c r="K104" s="3094"/>
      <c r="L104" s="3094"/>
      <c r="M104" s="3094"/>
      <c r="N104" s="3094"/>
    </row>
    <row r="105" spans="1:14">
      <c r="A105" s="3564"/>
      <c r="B105" s="356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5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5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53" t="s">
        <v>3311</v>
      </c>
      <c r="B113" s="3553"/>
      <c r="C113" s="3553"/>
      <c r="D113" s="3553"/>
      <c r="E113" s="3553"/>
      <c r="F113" s="3553"/>
      <c r="G113" s="3553"/>
      <c r="H113" s="3553"/>
      <c r="I113" s="3553"/>
      <c r="J113" s="35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14.09</v>
      </c>
      <c r="C116" s="3100" t="s">
        <v>3313</v>
      </c>
      <c r="D116" s="3101">
        <f>SUMPRODUCT((A118:A122=F116)*(B117:M117=H116)*B118:M122)</f>
        <v>0.83520000000000005</v>
      </c>
      <c r="E116" s="162" t="s">
        <v>3314</v>
      </c>
      <c r="F116" s="3102" t="str">
        <f>E2</f>
        <v>办公</v>
      </c>
      <c r="G116" s="162" t="s">
        <v>3315</v>
      </c>
      <c r="H116" s="3102" t="str">
        <f>G2</f>
        <v>一级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0.84179999999999999</v>
      </c>
      <c r="C118" s="3090">
        <f>B118</f>
        <v>0.84179999999999999</v>
      </c>
      <c r="D118" s="3090">
        <f>ROUND(0.949-0.014*B116,4)</f>
        <v>0.75170000000000003</v>
      </c>
      <c r="E118" s="3090">
        <f>D118</f>
        <v>0.75170000000000003</v>
      </c>
      <c r="F118" s="3090">
        <f>E118</f>
        <v>0.75170000000000003</v>
      </c>
      <c r="G118" s="3090">
        <f>F118</f>
        <v>0.75170000000000003</v>
      </c>
      <c r="H118" s="3090">
        <f>G118</f>
        <v>0.75170000000000003</v>
      </c>
      <c r="I118" s="3090">
        <f>ROUND(0.8486-0.018*B116,4)</f>
        <v>0.59499999999999997</v>
      </c>
      <c r="J118" s="3090">
        <f t="shared" ref="J118:M122" si="35">I118</f>
        <v>0.59499999999999997</v>
      </c>
      <c r="K118" s="3090">
        <f t="shared" si="35"/>
        <v>0.59499999999999997</v>
      </c>
      <c r="L118" s="3090">
        <f t="shared" si="35"/>
        <v>0.59499999999999997</v>
      </c>
      <c r="M118" s="3110">
        <f t="shared" si="35"/>
        <v>0.59499999999999997</v>
      </c>
      <c r="N118" s="3098"/>
    </row>
    <row r="119" spans="1:14">
      <c r="A119" s="3058" t="s">
        <v>3329</v>
      </c>
      <c r="B119" s="3090">
        <f>ROUND(0.993-0.0112*B116,4)</f>
        <v>0.83520000000000005</v>
      </c>
      <c r="C119" s="3090">
        <f>B119</f>
        <v>0.83520000000000005</v>
      </c>
      <c r="D119" s="3090">
        <f>ROUND(0.9415-0.0142*B116,4)</f>
        <v>0.74139999999999995</v>
      </c>
      <c r="E119" s="3090">
        <f t="shared" ref="E119:H120" si="36">D119</f>
        <v>0.74139999999999995</v>
      </c>
      <c r="F119" s="3090">
        <f t="shared" si="36"/>
        <v>0.74139999999999995</v>
      </c>
      <c r="G119" s="3090">
        <f t="shared" si="36"/>
        <v>0.74139999999999995</v>
      </c>
      <c r="H119" s="3090">
        <f t="shared" si="36"/>
        <v>0.74139999999999995</v>
      </c>
      <c r="I119" s="3090">
        <f>ROUND(0.838-0.0182*B116,4)</f>
        <v>0.58160000000000001</v>
      </c>
      <c r="J119" s="3090">
        <f t="shared" si="35"/>
        <v>0.58160000000000001</v>
      </c>
      <c r="K119" s="3090">
        <f t="shared" si="35"/>
        <v>0.58160000000000001</v>
      </c>
      <c r="L119" s="3090">
        <f t="shared" si="35"/>
        <v>0.58160000000000001</v>
      </c>
      <c r="M119" s="3110">
        <f t="shared" si="35"/>
        <v>0.58160000000000001</v>
      </c>
      <c r="N119" s="3098"/>
    </row>
    <row r="120" spans="1:14">
      <c r="A120" s="3058" t="s">
        <v>3330</v>
      </c>
      <c r="B120" s="3090">
        <f>ROUND(0.9448-0.0115*B116,4)</f>
        <v>0.78280000000000005</v>
      </c>
      <c r="C120" s="3090">
        <f>B120</f>
        <v>0.78280000000000005</v>
      </c>
      <c r="D120" s="3090">
        <f>ROUND(0.937-0.0145*B116,4)</f>
        <v>0.73270000000000002</v>
      </c>
      <c r="E120" s="3090">
        <f t="shared" si="36"/>
        <v>0.73270000000000002</v>
      </c>
      <c r="F120" s="3090">
        <f t="shared" si="36"/>
        <v>0.73270000000000002</v>
      </c>
      <c r="G120" s="3090">
        <f t="shared" si="36"/>
        <v>0.73270000000000002</v>
      </c>
      <c r="H120" s="3090">
        <f t="shared" si="36"/>
        <v>0.73270000000000002</v>
      </c>
      <c r="I120" s="3090">
        <f>ROUND(0.7965-0.0185*B116,4)</f>
        <v>0.53580000000000005</v>
      </c>
      <c r="J120" s="3090">
        <f t="shared" si="35"/>
        <v>0.53580000000000005</v>
      </c>
      <c r="K120" s="3090">
        <f t="shared" si="35"/>
        <v>0.53580000000000005</v>
      </c>
      <c r="L120" s="3090">
        <f t="shared" si="35"/>
        <v>0.53580000000000005</v>
      </c>
      <c r="M120" s="3110">
        <f t="shared" si="35"/>
        <v>0.53580000000000005</v>
      </c>
      <c r="N120" s="3098"/>
    </row>
    <row r="121" spans="1:14" ht="13.5" thickBot="1">
      <c r="A121" s="3111" t="s">
        <v>3331</v>
      </c>
      <c r="B121" s="3112">
        <f>ROUND(0.7836-0.012*B116,4)</f>
        <v>0.61450000000000005</v>
      </c>
      <c r="C121" s="3112">
        <f>B121</f>
        <v>0.61450000000000005</v>
      </c>
      <c r="D121" s="3112">
        <f>ROUND(0.753-0.015*B116,4)</f>
        <v>0.54169999999999996</v>
      </c>
      <c r="E121" s="3112">
        <f>D121</f>
        <v>0.54169999999999996</v>
      </c>
      <c r="F121" s="3112">
        <f>E121</f>
        <v>0.54169999999999996</v>
      </c>
      <c r="G121" s="3112">
        <f>ROUND(0.6612-0.018*B116,4)</f>
        <v>0.40760000000000002</v>
      </c>
      <c r="H121" s="3112">
        <f>G121</f>
        <v>0.40760000000000002</v>
      </c>
      <c r="I121" s="3112">
        <f>ROUND(0.5905-0.019*B116,4)</f>
        <v>0.32279999999999998</v>
      </c>
      <c r="J121" s="3112">
        <f t="shared" si="35"/>
        <v>0.32279999999999998</v>
      </c>
      <c r="K121" s="3112">
        <f t="shared" si="35"/>
        <v>0.32279999999999998</v>
      </c>
      <c r="L121" s="3112">
        <f t="shared" si="35"/>
        <v>0.32279999999999998</v>
      </c>
      <c r="M121" s="3113">
        <f t="shared" si="35"/>
        <v>0.32279999999999998</v>
      </c>
      <c r="N121" s="3098"/>
    </row>
    <row r="122" spans="1:14">
      <c r="A122" s="3114" t="s">
        <v>2612</v>
      </c>
      <c r="B122" s="3090">
        <f>ROUND(0.9404-0.0106*B116,4)</f>
        <v>0.79100000000000004</v>
      </c>
      <c r="C122" s="3090">
        <f>B122</f>
        <v>0.79100000000000004</v>
      </c>
      <c r="D122" s="3090">
        <f>ROUND(0.8955-0.0135*B116,4)</f>
        <v>0.70530000000000004</v>
      </c>
      <c r="E122" s="3090">
        <f t="shared" ref="E122:H122" si="37">D122</f>
        <v>0.70530000000000004</v>
      </c>
      <c r="F122" s="3090">
        <f t="shared" si="37"/>
        <v>0.70530000000000004</v>
      </c>
      <c r="G122" s="3090">
        <f t="shared" si="37"/>
        <v>0.70530000000000004</v>
      </c>
      <c r="H122" s="3090">
        <f t="shared" si="37"/>
        <v>0.70530000000000004</v>
      </c>
      <c r="I122" s="3090">
        <f>ROUND(0.7632-0.0166*B116,4)</f>
        <v>0.52929999999999999</v>
      </c>
      <c r="J122" s="3090">
        <f t="shared" si="35"/>
        <v>0.52929999999999999</v>
      </c>
      <c r="K122" s="3090">
        <f t="shared" si="35"/>
        <v>0.52929999999999999</v>
      </c>
      <c r="L122" s="3090">
        <f t="shared" si="35"/>
        <v>0.52929999999999999</v>
      </c>
      <c r="M122" s="3110">
        <f t="shared" si="35"/>
        <v>0.52929999999999999</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Normal="70" zoomScaleSheetLayoutView="100" workbookViewId="0">
      <selection activeCell="C9" sqref="C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09" t="s">
        <v>1775</v>
      </c>
      <c r="Q4" s="3510"/>
      <c r="R4" s="3496" t="s">
        <v>1771</v>
      </c>
      <c r="S4" s="3497"/>
      <c r="T4" s="3496" t="s">
        <v>1772</v>
      </c>
      <c r="U4" s="3497"/>
      <c r="V4" s="3479" t="s">
        <v>1773</v>
      </c>
      <c r="W4" s="3479"/>
      <c r="X4" s="1265"/>
      <c r="Y4" s="3496" t="s">
        <v>1775</v>
      </c>
      <c r="Z4" s="3497"/>
      <c r="AA4" s="3502" t="s">
        <v>1771</v>
      </c>
      <c r="AB4" s="3479" t="s">
        <v>1772</v>
      </c>
      <c r="AC4" s="3502" t="s">
        <v>1773</v>
      </c>
    </row>
    <row r="5" spans="1:29" ht="15">
      <c r="A5" s="348"/>
      <c r="B5" s="349"/>
      <c r="C5" s="3515" t="s">
        <v>3600</v>
      </c>
      <c r="D5" s="3516"/>
      <c r="E5" s="3517" t="str">
        <f>租金案例!O5</f>
        <v>建外SOHO</v>
      </c>
      <c r="F5" s="3518"/>
      <c r="G5" s="3519" t="str">
        <f>租金案例!O6</f>
        <v>华贸商业街</v>
      </c>
      <c r="H5" s="3516"/>
      <c r="I5" s="3519" t="str">
        <f>租金案例!O9</f>
        <v>世贸天阶</v>
      </c>
      <c r="J5" s="3516"/>
      <c r="K5" s="537"/>
      <c r="L5" s="2487"/>
      <c r="M5" s="2488"/>
      <c r="N5" s="2488"/>
      <c r="O5" s="2488"/>
      <c r="P5" s="3511"/>
      <c r="Q5" s="3512"/>
      <c r="R5" s="3498"/>
      <c r="S5" s="3499"/>
      <c r="T5" s="3498"/>
      <c r="U5" s="3499"/>
      <c r="V5" s="3479"/>
      <c r="W5" s="3479"/>
      <c r="X5" s="1265"/>
      <c r="Y5" s="3498"/>
      <c r="Z5" s="3499"/>
      <c r="AA5" s="3503"/>
      <c r="AB5" s="3479"/>
      <c r="AC5" s="350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13"/>
      <c r="Q6" s="3514"/>
      <c r="R6" s="3498"/>
      <c r="S6" s="3499"/>
      <c r="T6" s="3500"/>
      <c r="U6" s="3501"/>
      <c r="V6" s="3479"/>
      <c r="W6" s="3479"/>
      <c r="X6" s="1265"/>
      <c r="Y6" s="3500"/>
      <c r="Z6" s="3501"/>
      <c r="AA6" s="3504"/>
      <c r="AB6" s="3479"/>
      <c r="AC6" s="350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493"/>
      <c r="R7" s="664" t="s">
        <v>14</v>
      </c>
      <c r="S7" s="665">
        <f t="shared" ref="S7:S15" si="0">F7</f>
        <v>100</v>
      </c>
      <c r="T7" s="664" t="s">
        <v>14</v>
      </c>
      <c r="U7" s="665">
        <f t="shared" ref="U7:U15" si="1">H7</f>
        <v>100</v>
      </c>
      <c r="V7" s="664" t="s">
        <v>14</v>
      </c>
      <c r="W7" s="665">
        <f t="shared" ref="W7:W15" si="2">J7</f>
        <v>100</v>
      </c>
      <c r="X7" s="666"/>
      <c r="Y7" s="3492" t="s">
        <v>1680</v>
      </c>
      <c r="Z7" s="3494"/>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492" t="s">
        <v>1683</v>
      </c>
      <c r="Q8" s="3494"/>
      <c r="R8" s="664" t="s">
        <v>14</v>
      </c>
      <c r="S8" s="665">
        <f t="shared" si="0"/>
        <v>100</v>
      </c>
      <c r="T8" s="664" t="s">
        <v>14</v>
      </c>
      <c r="U8" s="665">
        <f t="shared" si="1"/>
        <v>100</v>
      </c>
      <c r="V8" s="664" t="s">
        <v>14</v>
      </c>
      <c r="W8" s="665">
        <f t="shared" si="2"/>
        <v>100</v>
      </c>
      <c r="X8" s="666"/>
      <c r="Y8" s="3492" t="s">
        <v>1683</v>
      </c>
      <c r="Z8" s="34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5"/>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5"/>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83" t="s">
        <v>1691</v>
      </c>
      <c r="Q15" s="1263" t="str">
        <f t="shared" si="6"/>
        <v>商业繁华度</v>
      </c>
      <c r="R15" s="667" t="s">
        <v>14</v>
      </c>
      <c r="S15" s="668">
        <f t="shared" si="0"/>
        <v>100</v>
      </c>
      <c r="T15" s="667" t="s">
        <v>14</v>
      </c>
      <c r="U15" s="668">
        <f t="shared" si="1"/>
        <v>100</v>
      </c>
      <c r="V15" s="667" t="s">
        <v>14</v>
      </c>
      <c r="W15" s="668">
        <f t="shared" si="2"/>
        <v>100</v>
      </c>
      <c r="X15" s="1265"/>
      <c r="Y15" s="3485" t="s">
        <v>1691</v>
      </c>
      <c r="Z15" s="1264" t="str">
        <f t="shared" si="7"/>
        <v>商业繁华度</v>
      </c>
      <c r="AA15" s="1264">
        <f t="shared" si="3"/>
        <v>1</v>
      </c>
      <c r="AB15" s="1264">
        <f t="shared" si="4"/>
        <v>1</v>
      </c>
      <c r="AC15" s="1264">
        <f t="shared" si="5"/>
        <v>1</v>
      </c>
    </row>
    <row r="16" spans="1:29" ht="15">
      <c r="A16" s="367"/>
      <c r="B16" s="385"/>
      <c r="C16" s="386" t="s">
        <v>3549</v>
      </c>
      <c r="D16" s="387"/>
      <c r="E16" s="386" t="s">
        <v>3549</v>
      </c>
      <c r="F16" s="388"/>
      <c r="G16" s="386" t="s">
        <v>3549</v>
      </c>
      <c r="H16" s="389"/>
      <c r="I16" s="386" t="s">
        <v>3549</v>
      </c>
      <c r="J16" s="387"/>
      <c r="K16" s="541"/>
      <c r="L16" s="2493"/>
      <c r="M16" s="2488"/>
      <c r="N16" s="2488"/>
      <c r="O16" s="2488"/>
      <c r="P16" s="3484"/>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98</v>
      </c>
      <c r="K17" s="540">
        <v>2</v>
      </c>
      <c r="L17" s="2493"/>
      <c r="M17" s="2488"/>
      <c r="N17" s="2488"/>
      <c r="O17" s="2488"/>
      <c r="P17" s="3484"/>
      <c r="Q17" s="1263" t="str">
        <f>B17</f>
        <v>交通便捷度</v>
      </c>
      <c r="R17" s="667" t="s">
        <v>14</v>
      </c>
      <c r="S17" s="668">
        <f>F17</f>
        <v>100</v>
      </c>
      <c r="T17" s="667" t="s">
        <v>14</v>
      </c>
      <c r="U17" s="668">
        <f>H17</f>
        <v>100</v>
      </c>
      <c r="V17" s="667" t="s">
        <v>14</v>
      </c>
      <c r="W17" s="668">
        <f>J17</f>
        <v>98</v>
      </c>
      <c r="X17" s="1265"/>
      <c r="Y17" s="3486"/>
      <c r="Z17" s="1264" t="str">
        <f>Q17</f>
        <v>交通便捷度</v>
      </c>
      <c r="AA17" s="1264">
        <f t="shared" si="3"/>
        <v>1</v>
      </c>
      <c r="AB17" s="1264">
        <f t="shared" si="4"/>
        <v>1</v>
      </c>
      <c r="AC17" s="1264">
        <f t="shared" si="5"/>
        <v>1.0204081632653061</v>
      </c>
    </row>
    <row r="18" spans="1:29" ht="15">
      <c r="A18" s="367"/>
      <c r="B18" s="395"/>
      <c r="C18" s="1755" t="s">
        <v>3549</v>
      </c>
      <c r="D18" s="389"/>
      <c r="E18" s="1755" t="s">
        <v>3549</v>
      </c>
      <c r="F18" s="392"/>
      <c r="G18" s="1755" t="s">
        <v>3549</v>
      </c>
      <c r="H18" s="387"/>
      <c r="I18" s="1755" t="s">
        <v>3548</v>
      </c>
      <c r="J18" s="387"/>
      <c r="K18" s="541"/>
      <c r="L18" s="2493"/>
      <c r="M18" s="2488"/>
      <c r="N18" s="2488"/>
      <c r="O18" s="2488"/>
      <c r="P18" s="3484"/>
      <c r="Q18" s="1263"/>
      <c r="R18" s="667"/>
      <c r="S18" s="668"/>
      <c r="T18" s="667"/>
      <c r="U18" s="668"/>
      <c r="V18" s="667"/>
      <c r="W18" s="668"/>
      <c r="X18" s="1265"/>
      <c r="Y18" s="348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484"/>
      <c r="Q20" s="1263"/>
      <c r="R20" s="667"/>
      <c r="S20" s="668"/>
      <c r="T20" s="667"/>
      <c r="U20" s="668"/>
      <c r="V20" s="667"/>
      <c r="W20" s="668"/>
      <c r="X20" s="1265"/>
      <c r="Y20" s="348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484"/>
      <c r="Q22" s="1263"/>
      <c r="R22" s="667"/>
      <c r="S22" s="668"/>
      <c r="T22" s="667"/>
      <c r="U22" s="668"/>
      <c r="V22" s="667"/>
      <c r="W22" s="668"/>
      <c r="X22" s="1265"/>
      <c r="Y22" s="348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4"/>
      <c r="Q23" s="1263" t="str">
        <f>B23</f>
        <v>自然及人文环境</v>
      </c>
      <c r="R23" s="667" t="s">
        <v>14</v>
      </c>
      <c r="S23" s="668">
        <f>F23</f>
        <v>100</v>
      </c>
      <c r="T23" s="667" t="s">
        <v>14</v>
      </c>
      <c r="U23" s="668">
        <f>H23</f>
        <v>100</v>
      </c>
      <c r="V23" s="667" t="s">
        <v>14</v>
      </c>
      <c r="W23" s="668">
        <f>J23</f>
        <v>100</v>
      </c>
      <c r="X23" s="1265"/>
      <c r="Y23" s="3486"/>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484"/>
      <c r="Q24" s="1263"/>
      <c r="R24" s="667"/>
      <c r="S24" s="668"/>
      <c r="T24" s="667"/>
      <c r="U24" s="668"/>
      <c r="V24" s="667"/>
      <c r="W24" s="668"/>
      <c r="X24" s="1265"/>
      <c r="Y24" s="3486"/>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484"/>
      <c r="Q25" s="1263" t="str">
        <f t="shared" ref="Q25:Q46" si="11">B25</f>
        <v>临街状况</v>
      </c>
      <c r="R25" s="667" t="s">
        <v>14</v>
      </c>
      <c r="S25" s="668">
        <f>F25</f>
        <v>100</v>
      </c>
      <c r="T25" s="667" t="s">
        <v>14</v>
      </c>
      <c r="U25" s="668">
        <f>H25</f>
        <v>100</v>
      </c>
      <c r="V25" s="667" t="s">
        <v>14</v>
      </c>
      <c r="W25" s="668">
        <f>J25</f>
        <v>100</v>
      </c>
      <c r="X25" s="1265"/>
      <c r="Y25" s="34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4"/>
      <c r="Q26" s="1263" t="str">
        <f t="shared" si="11"/>
        <v>平面位置/可视性</v>
      </c>
      <c r="R26" s="667" t="s">
        <v>14</v>
      </c>
      <c r="S26" s="668">
        <f>F26</f>
        <v>100</v>
      </c>
      <c r="T26" s="667" t="s">
        <v>14</v>
      </c>
      <c r="U26" s="668">
        <f>H26</f>
        <v>100</v>
      </c>
      <c r="V26" s="667" t="s">
        <v>14</v>
      </c>
      <c r="W26" s="668">
        <f>J26</f>
        <v>100</v>
      </c>
      <c r="X26" s="1265"/>
      <c r="Y26" s="3486"/>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484"/>
      <c r="Q27" s="530" t="str">
        <f t="shared" si="11"/>
        <v>人流量</v>
      </c>
      <c r="R27" s="664" t="s">
        <v>14</v>
      </c>
      <c r="S27" s="665">
        <f>F27</f>
        <v>100</v>
      </c>
      <c r="T27" s="664" t="s">
        <v>14</v>
      </c>
      <c r="U27" s="665">
        <f>H27</f>
        <v>100</v>
      </c>
      <c r="V27" s="664" t="s">
        <v>14</v>
      </c>
      <c r="W27" s="665">
        <f>J27</f>
        <v>100</v>
      </c>
      <c r="X27" s="666"/>
      <c r="Y27" s="3486"/>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4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86"/>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3603</v>
      </c>
      <c r="F29" s="400">
        <f>SUMIF(94:94,E29,95:95)-SUMIF(94:94,C29,95:95)+100</f>
        <v>98</v>
      </c>
      <c r="G29" s="3240" t="s">
        <v>3604</v>
      </c>
      <c r="H29" s="374">
        <f>SUMIF(94:94,G29,95:95)-SUMIF(94:94,C29,95:95)+100</f>
        <v>100</v>
      </c>
      <c r="I29" s="3240" t="s">
        <v>3601</v>
      </c>
      <c r="J29" s="374">
        <f>SUMIF(94:94,I29,95:95)-SUMIF(94:94,C29,95:95)+100</f>
        <v>96</v>
      </c>
      <c r="K29" s="539"/>
      <c r="L29" s="2493"/>
      <c r="M29" s="2488"/>
      <c r="N29" s="2488"/>
      <c r="O29" s="2488"/>
      <c r="P29" s="3484"/>
      <c r="Q29" s="1263" t="str">
        <f t="shared" si="11"/>
        <v>道路级别</v>
      </c>
      <c r="R29" s="667" t="s">
        <v>14</v>
      </c>
      <c r="S29" s="668">
        <f t="shared" si="12"/>
        <v>98</v>
      </c>
      <c r="T29" s="667" t="s">
        <v>14</v>
      </c>
      <c r="U29" s="668">
        <f t="shared" si="13"/>
        <v>100</v>
      </c>
      <c r="V29" s="667" t="s">
        <v>14</v>
      </c>
      <c r="W29" s="668">
        <f t="shared" si="14"/>
        <v>96</v>
      </c>
      <c r="X29" s="1265"/>
      <c r="Y29" s="3486"/>
      <c r="Z29" s="1264" t="str">
        <f t="shared" si="15"/>
        <v>道路级别</v>
      </c>
      <c r="AA29" s="1264">
        <f t="shared" si="3"/>
        <v>1.0204081632653061</v>
      </c>
      <c r="AB29" s="1264">
        <f t="shared" si="4"/>
        <v>1</v>
      </c>
      <c r="AC29" s="1264">
        <f t="shared" si="5"/>
        <v>1.0416666666666667</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264">
        <f t="shared" si="5"/>
        <v>1</v>
      </c>
    </row>
    <row r="32" spans="1:29" ht="15">
      <c r="A32" s="379" t="s">
        <v>1694</v>
      </c>
      <c r="B32" s="60" t="s">
        <v>1784</v>
      </c>
      <c r="C32" s="1764" t="s">
        <v>3617</v>
      </c>
      <c r="D32" s="405">
        <v>100</v>
      </c>
      <c r="E32" s="1764" t="s">
        <v>3617</v>
      </c>
      <c r="F32" s="400">
        <f>SUMIF(100:100,E32,101:101)-SUMIF(100:100,C32,101:101)+100</f>
        <v>100</v>
      </c>
      <c r="G32" s="1764" t="s">
        <v>3617</v>
      </c>
      <c r="H32" s="374">
        <f>SUMIF(100:100,G32,101:101)-SUMIF(100:100,C32,101:101)+100</f>
        <v>100</v>
      </c>
      <c r="I32" s="1764" t="s">
        <v>3564</v>
      </c>
      <c r="J32" s="405">
        <f>SUMIF(100:100,I32,101:101)-SUMIF(100:100,C32,101:101)+100</f>
        <v>101</v>
      </c>
      <c r="K32" s="538">
        <v>1</v>
      </c>
      <c r="L32" s="2493"/>
      <c r="M32" s="2488"/>
      <c r="N32" s="2488"/>
      <c r="O32" s="2488"/>
      <c r="P32" s="3487" t="s">
        <v>1696</v>
      </c>
      <c r="Q32" s="1263" t="str">
        <f t="shared" si="11"/>
        <v>商业类型</v>
      </c>
      <c r="R32" s="667" t="s">
        <v>14</v>
      </c>
      <c r="S32" s="668">
        <f t="shared" si="12"/>
        <v>100</v>
      </c>
      <c r="T32" s="667" t="s">
        <v>14</v>
      </c>
      <c r="U32" s="668">
        <f t="shared" si="13"/>
        <v>100</v>
      </c>
      <c r="V32" s="667" t="s">
        <v>14</v>
      </c>
      <c r="W32" s="668">
        <f t="shared" si="14"/>
        <v>101</v>
      </c>
      <c r="X32" s="1265"/>
      <c r="Y32" s="3490" t="s">
        <v>1696</v>
      </c>
      <c r="Z32" s="1264" t="str">
        <f t="shared" si="15"/>
        <v>商业类型</v>
      </c>
      <c r="AA32" s="1264">
        <f t="shared" si="3"/>
        <v>1</v>
      </c>
      <c r="AB32" s="1264">
        <f t="shared" si="4"/>
        <v>1</v>
      </c>
      <c r="AC32" s="1264">
        <f t="shared" si="5"/>
        <v>0.99009900990099009</v>
      </c>
    </row>
    <row r="33" spans="1:29" s="408" customFormat="1" ht="15">
      <c r="A33" s="406"/>
      <c r="B33" s="364" t="s">
        <v>1697</v>
      </c>
      <c r="C33" s="407">
        <f>'数据-汇总表'!F19</f>
        <v>579.38</v>
      </c>
      <c r="D33" s="119">
        <v>100</v>
      </c>
      <c r="E33" s="369">
        <f>租金案例!P5</f>
        <v>22</v>
      </c>
      <c r="F33" s="364">
        <f>LOOKUP(E33,103:103,104:104)-LOOKUP(C33,103:103,104:104)+100</f>
        <v>103</v>
      </c>
      <c r="G33" s="368">
        <f>租金案例!P6</f>
        <v>980</v>
      </c>
      <c r="H33" s="119">
        <f>LOOKUP(G33,103:103,104:104)-LOOKUP(C33,103:103,104:104)+100</f>
        <v>100</v>
      </c>
      <c r="I33" s="368">
        <f>租金案例!P7</f>
        <v>500</v>
      </c>
      <c r="J33" s="119">
        <f>LOOKUP(I33,103:103,104:104)-LOOKUP(C33,103:103,104:104)+100</f>
        <v>100</v>
      </c>
      <c r="K33" s="539"/>
      <c r="L33" s="2492"/>
      <c r="M33" s="2494"/>
      <c r="N33" s="2494"/>
      <c r="O33" s="2494"/>
      <c r="P33" s="3488"/>
      <c r="Q33" s="531" t="str">
        <f t="shared" si="11"/>
        <v>项目建筑规模</v>
      </c>
      <c r="R33" s="669" t="s">
        <v>14</v>
      </c>
      <c r="S33" s="670">
        <f t="shared" si="12"/>
        <v>103</v>
      </c>
      <c r="T33" s="669" t="s">
        <v>14</v>
      </c>
      <c r="U33" s="670">
        <f t="shared" si="13"/>
        <v>100</v>
      </c>
      <c r="V33" s="669" t="s">
        <v>14</v>
      </c>
      <c r="W33" s="670">
        <f t="shared" si="14"/>
        <v>100</v>
      </c>
      <c r="X33" s="671"/>
      <c r="Y33" s="3490"/>
      <c r="Z33" s="672" t="str">
        <f t="shared" si="15"/>
        <v>项目建筑规模</v>
      </c>
      <c r="AA33" s="1264">
        <f t="shared" si="3"/>
        <v>0.970873786407767</v>
      </c>
      <c r="AB33" s="1264">
        <f t="shared" si="4"/>
        <v>1</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488"/>
      <c r="Q34" s="1263" t="str">
        <f t="shared" si="11"/>
        <v>建筑结构</v>
      </c>
      <c r="R34" s="667" t="s">
        <v>14</v>
      </c>
      <c r="S34" s="668">
        <f t="shared" si="12"/>
        <v>100</v>
      </c>
      <c r="T34" s="667" t="s">
        <v>14</v>
      </c>
      <c r="U34" s="668">
        <f t="shared" si="13"/>
        <v>100</v>
      </c>
      <c r="V34" s="667" t="s">
        <v>14</v>
      </c>
      <c r="W34" s="668">
        <f t="shared" si="14"/>
        <v>100</v>
      </c>
      <c r="X34" s="1265"/>
      <c r="Y34" s="3490"/>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488"/>
      <c r="Q35" s="1263" t="str">
        <f t="shared" si="11"/>
        <v>公共部分装修</v>
      </c>
      <c r="R35" s="667" t="s">
        <v>14</v>
      </c>
      <c r="S35" s="668">
        <f t="shared" si="12"/>
        <v>100</v>
      </c>
      <c r="T35" s="667" t="s">
        <v>14</v>
      </c>
      <c r="U35" s="668">
        <f t="shared" si="13"/>
        <v>100</v>
      </c>
      <c r="V35" s="667" t="s">
        <v>14</v>
      </c>
      <c r="W35" s="668">
        <f t="shared" si="14"/>
        <v>100</v>
      </c>
      <c r="X35" s="1265"/>
      <c r="Y35" s="349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488"/>
      <c r="Q36" s="1263" t="str">
        <f t="shared" si="11"/>
        <v>成新度</v>
      </c>
      <c r="R36" s="667" t="s">
        <v>14</v>
      </c>
      <c r="S36" s="668">
        <f t="shared" si="12"/>
        <v>100</v>
      </c>
      <c r="T36" s="667" t="s">
        <v>14</v>
      </c>
      <c r="U36" s="668">
        <f t="shared" si="13"/>
        <v>100</v>
      </c>
      <c r="V36" s="667" t="s">
        <v>14</v>
      </c>
      <c r="W36" s="668">
        <f t="shared" si="14"/>
        <v>100</v>
      </c>
      <c r="X36" s="1265"/>
      <c r="Y36" s="3490"/>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488"/>
      <c r="Q37" s="530" t="str">
        <f t="shared" si="11"/>
        <v>市政基础设施</v>
      </c>
      <c r="R37" s="664" t="s">
        <v>14</v>
      </c>
      <c r="S37" s="665">
        <f t="shared" si="12"/>
        <v>100</v>
      </c>
      <c r="T37" s="664" t="s">
        <v>14</v>
      </c>
      <c r="U37" s="665">
        <f t="shared" si="13"/>
        <v>100</v>
      </c>
      <c r="V37" s="664" t="s">
        <v>14</v>
      </c>
      <c r="W37" s="665">
        <f t="shared" si="14"/>
        <v>100</v>
      </c>
      <c r="X37" s="666"/>
      <c r="Y37" s="34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8" t="s">
        <v>1696</v>
      </c>
      <c r="Q38" s="1263" t="str">
        <f t="shared" si="11"/>
        <v>业态</v>
      </c>
      <c r="R38" s="667" t="s">
        <v>14</v>
      </c>
      <c r="S38" s="668">
        <f t="shared" si="12"/>
        <v>100</v>
      </c>
      <c r="T38" s="667" t="s">
        <v>14</v>
      </c>
      <c r="U38" s="668">
        <f t="shared" si="13"/>
        <v>100</v>
      </c>
      <c r="V38" s="667" t="s">
        <v>14</v>
      </c>
      <c r="W38" s="668">
        <f t="shared" si="14"/>
        <v>100</v>
      </c>
      <c r="X38" s="1265"/>
      <c r="Y38" s="3490"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488"/>
      <c r="Q39" s="1263" t="str">
        <f t="shared" si="11"/>
        <v>层高</v>
      </c>
      <c r="R39" s="667" t="s">
        <v>14</v>
      </c>
      <c r="S39" s="668">
        <f t="shared" si="12"/>
        <v>100</v>
      </c>
      <c r="T39" s="667" t="s">
        <v>14</v>
      </c>
      <c r="U39" s="668">
        <f t="shared" si="13"/>
        <v>100</v>
      </c>
      <c r="V39" s="667" t="s">
        <v>14</v>
      </c>
      <c r="W39" s="668">
        <f t="shared" si="14"/>
        <v>100</v>
      </c>
      <c r="X39" s="1265"/>
      <c r="Y39" s="34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8"/>
      <c r="Q40" s="1263" t="str">
        <f t="shared" si="11"/>
        <v>单套建筑面积</v>
      </c>
      <c r="R40" s="667" t="s">
        <v>14</v>
      </c>
      <c r="S40" s="668">
        <f t="shared" si="12"/>
        <v>100</v>
      </c>
      <c r="T40" s="667" t="s">
        <v>14</v>
      </c>
      <c r="U40" s="668">
        <f t="shared" si="13"/>
        <v>100</v>
      </c>
      <c r="V40" s="667" t="s">
        <v>14</v>
      </c>
      <c r="W40" s="668">
        <f t="shared" si="14"/>
        <v>100</v>
      </c>
      <c r="X40" s="1265"/>
      <c r="Y40" s="34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8"/>
      <c r="Q41" s="531" t="str">
        <f t="shared" si="11"/>
        <v>进深比</v>
      </c>
      <c r="R41" s="669" t="s">
        <v>14</v>
      </c>
      <c r="S41" s="670">
        <f t="shared" si="12"/>
        <v>100</v>
      </c>
      <c r="T41" s="669" t="s">
        <v>14</v>
      </c>
      <c r="U41" s="670">
        <f t="shared" si="13"/>
        <v>100</v>
      </c>
      <c r="V41" s="669" t="s">
        <v>14</v>
      </c>
      <c r="W41" s="670">
        <f t="shared" si="14"/>
        <v>100</v>
      </c>
      <c r="X41" s="671"/>
      <c r="Y41" s="3490"/>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488"/>
      <c r="Q42" s="1263" t="str">
        <f t="shared" si="11"/>
        <v>内部装修</v>
      </c>
      <c r="R42" s="667" t="s">
        <v>14</v>
      </c>
      <c r="S42" s="668">
        <f t="shared" si="12"/>
        <v>100</v>
      </c>
      <c r="T42" s="667" t="s">
        <v>14</v>
      </c>
      <c r="U42" s="668">
        <f t="shared" si="13"/>
        <v>100</v>
      </c>
      <c r="V42" s="667" t="s">
        <v>14</v>
      </c>
      <c r="W42" s="668">
        <f t="shared" si="14"/>
        <v>100</v>
      </c>
      <c r="X42" s="1265"/>
      <c r="Y42" s="3490"/>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488"/>
      <c r="Q43" s="1263" t="str">
        <f t="shared" si="11"/>
        <v>内部装修维护情况</v>
      </c>
      <c r="R43" s="667" t="s">
        <v>14</v>
      </c>
      <c r="S43" s="668">
        <f t="shared" si="12"/>
        <v>100</v>
      </c>
      <c r="T43" s="667" t="s">
        <v>14</v>
      </c>
      <c r="U43" s="668">
        <f t="shared" si="13"/>
        <v>100</v>
      </c>
      <c r="V43" s="667" t="s">
        <v>14</v>
      </c>
      <c r="W43" s="668">
        <f t="shared" si="14"/>
        <v>100</v>
      </c>
      <c r="X43" s="1265"/>
      <c r="Y43" s="349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8"/>
      <c r="Q44" s="530">
        <f t="shared" si="11"/>
        <v>0</v>
      </c>
      <c r="R44" s="664" t="s">
        <v>14</v>
      </c>
      <c r="S44" s="665">
        <f t="shared" si="12"/>
        <v>100</v>
      </c>
      <c r="T44" s="664" t="s">
        <v>14</v>
      </c>
      <c r="U44" s="665">
        <f t="shared" si="13"/>
        <v>100</v>
      </c>
      <c r="V44" s="664" t="s">
        <v>14</v>
      </c>
      <c r="W44" s="665">
        <f t="shared" si="14"/>
        <v>100</v>
      </c>
      <c r="X44" s="666"/>
      <c r="Y44" s="349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8"/>
      <c r="Q45" s="1263">
        <f t="shared" si="11"/>
        <v>111</v>
      </c>
      <c r="R45" s="667" t="s">
        <v>14</v>
      </c>
      <c r="S45" s="668">
        <f t="shared" si="12"/>
        <v>100</v>
      </c>
      <c r="T45" s="667" t="s">
        <v>14</v>
      </c>
      <c r="U45" s="668">
        <f t="shared" si="13"/>
        <v>100</v>
      </c>
      <c r="V45" s="667" t="s">
        <v>14</v>
      </c>
      <c r="W45" s="668">
        <f t="shared" si="14"/>
        <v>100</v>
      </c>
      <c r="X45" s="1265"/>
      <c r="Y45" s="34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9"/>
      <c r="Q46" s="1263">
        <f t="shared" si="11"/>
        <v>111</v>
      </c>
      <c r="R46" s="667" t="s">
        <v>14</v>
      </c>
      <c r="S46" s="668">
        <f t="shared" si="12"/>
        <v>100</v>
      </c>
      <c r="T46" s="667" t="s">
        <v>14</v>
      </c>
      <c r="U46" s="668">
        <f t="shared" si="13"/>
        <v>100</v>
      </c>
      <c r="V46" s="667" t="s">
        <v>14</v>
      </c>
      <c r="W46" s="668">
        <f t="shared" si="14"/>
        <v>100</v>
      </c>
      <c r="X46" s="1265"/>
      <c r="Y46" s="3491"/>
      <c r="Z46" s="1264">
        <f t="shared" si="15"/>
        <v>111</v>
      </c>
      <c r="AA46" s="1264">
        <f t="shared" si="3"/>
        <v>1</v>
      </c>
      <c r="AB46" s="1264">
        <f t="shared" si="4"/>
        <v>1</v>
      </c>
      <c r="AC46" s="1264">
        <f t="shared" si="5"/>
        <v>1</v>
      </c>
    </row>
    <row r="47" spans="1:29" ht="15">
      <c r="A47" s="416" t="s">
        <v>1708</v>
      </c>
      <c r="B47" s="417"/>
      <c r="C47" s="1081" t="s">
        <v>0</v>
      </c>
      <c r="D47" s="418"/>
      <c r="E47" s="419">
        <f>租金案例!Q5</f>
        <v>25.76</v>
      </c>
      <c r="F47" s="420"/>
      <c r="G47" s="421">
        <f>租金案例!Q6</f>
        <v>29.9</v>
      </c>
      <c r="H47" s="422"/>
      <c r="I47" s="419">
        <f>租金案例!Q9</f>
        <v>29</v>
      </c>
      <c r="J47" s="422"/>
      <c r="K47" s="674"/>
      <c r="L47" s="2495"/>
      <c r="M47" s="2488"/>
      <c r="N47" s="2488"/>
      <c r="O47" s="2488"/>
      <c r="P47" s="3478" t="str">
        <f>A47</f>
        <v>成交单价（元/平方米）</v>
      </c>
      <c r="Q47" s="3478"/>
      <c r="R47" s="3479">
        <f>E47</f>
        <v>25.76</v>
      </c>
      <c r="S47" s="3479"/>
      <c r="T47" s="3479">
        <f>G47</f>
        <v>29.9</v>
      </c>
      <c r="U47" s="3479"/>
      <c r="V47" s="3479">
        <f>I47</f>
        <v>29</v>
      </c>
      <c r="W47" s="3479"/>
      <c r="X47" s="385"/>
      <c r="Y47" s="673"/>
      <c r="Z47" s="385"/>
      <c r="AA47" s="385"/>
      <c r="AB47" s="385"/>
      <c r="AC47" s="385"/>
    </row>
    <row r="48" spans="1:29" ht="15.75" thickBot="1">
      <c r="A48" s="423" t="s">
        <v>1793</v>
      </c>
      <c r="B48" s="424"/>
      <c r="C48" s="1082">
        <f>R49</f>
        <v>28.6</v>
      </c>
      <c r="D48" s="2141" t="s">
        <v>2138</v>
      </c>
      <c r="E48" s="1083">
        <f>R48</f>
        <v>25.5</v>
      </c>
      <c r="F48" s="2142"/>
      <c r="G48" s="1082">
        <f>T48</f>
        <v>29.9</v>
      </c>
      <c r="H48" s="2142"/>
      <c r="I48" s="1083">
        <f>V48</f>
        <v>30.5</v>
      </c>
      <c r="J48" s="2142"/>
      <c r="K48" s="2144">
        <f>F48+H48+J48</f>
        <v>0</v>
      </c>
      <c r="L48" s="2495"/>
      <c r="M48" s="2488"/>
      <c r="N48" s="2488"/>
      <c r="O48" s="2488"/>
      <c r="P48" s="3478" t="str">
        <f>A48</f>
        <v>比较价值（元/平方米）</v>
      </c>
      <c r="Q48" s="3478"/>
      <c r="R48" s="3479">
        <f>IF(F1="售价",ROUND(PRODUCT(R47,AA7:AA46),0),ROUND(PRODUCT(R47,AA7:AA46),1))</f>
        <v>25.5</v>
      </c>
      <c r="S48" s="3479"/>
      <c r="T48" s="3479">
        <f>IF(F1="售价",ROUND(PRODUCT(T47,AB7:AB46),0),ROUND(PRODUCT(T47,AB7:AB46),1))</f>
        <v>29.9</v>
      </c>
      <c r="U48" s="3479"/>
      <c r="V48" s="3479">
        <f>IF(F1="售价",ROUND(PRODUCT(V47,AC7:AC46),0),ROUND(PRODUCT(V47,AC7:AC46),1))</f>
        <v>30.5</v>
      </c>
      <c r="W48" s="3479"/>
      <c r="X48" s="385"/>
      <c r="Y48" s="385"/>
      <c r="Z48" s="385"/>
      <c r="AA48" s="385"/>
      <c r="AB48" s="385"/>
      <c r="AC48" s="385"/>
    </row>
    <row r="49" spans="1:29" ht="15.75" thickBot="1">
      <c r="A49" s="427" t="s">
        <v>1794</v>
      </c>
      <c r="B49" s="428"/>
      <c r="C49" s="351">
        <f>R49</f>
        <v>28.6</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28.6</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1.0196078431372602E-2</v>
      </c>
      <c r="F52" s="435" t="str">
        <f>IF(OR(E52&gt;=0.3,E52&lt;=-0.3),"超过30%","")</f>
        <v/>
      </c>
      <c r="G52" s="434">
        <f>IF(G47&lt;G48,G48/G47-1,G47/G48-1)</f>
        <v>0</v>
      </c>
      <c r="H52" s="435" t="str">
        <f>IF(OR(G52&gt;=0.3,G52&lt;=-0.3),"超过30%","")</f>
        <v/>
      </c>
      <c r="I52" s="434">
        <f>IF(I47&lt;I48,I48/I47-1,I47/I48-1)</f>
        <v>5.1724137931034475E-2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0.17254901960784319</v>
      </c>
      <c r="F53" s="435" t="str">
        <f>IF(OR(E53&gt;=0.2,E53&lt;=-0.2),"超过20%","")</f>
        <v/>
      </c>
      <c r="G53" s="434">
        <f>IF(G48&lt;I48,I48/G48-1,G48/I48-1)</f>
        <v>2.006688963210701E-2</v>
      </c>
      <c r="H53" s="435" t="str">
        <f>IF(OR(G53&gt;=0.2,G53&lt;=-0.2),"超过20%","")</f>
        <v/>
      </c>
      <c r="I53" s="434">
        <f>IF(I48&lt;E48,E48/I48-1,I48/E48-1)</f>
        <v>0.19607843137254899</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0.16071428571428559</v>
      </c>
      <c r="F54" s="435" t="str">
        <f>IF(OR(E54&gt;=0.3,E54&lt;=-0.3),"超过30%","")</f>
        <v/>
      </c>
      <c r="G54" s="434">
        <f>IF(G47&lt;I47,I47/G47-1,G47/I47-1)</f>
        <v>3.1034482758620641E-2</v>
      </c>
      <c r="H54" s="435" t="str">
        <f>IF(OR(G54&gt;=0.3,G54&lt;=-0.3),"超过30%","")</f>
        <v/>
      </c>
      <c r="I54" s="434">
        <f>IF(I47&lt;E47,E47/I47-1,I47/E47-1)</f>
        <v>0.12577639751552794</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城市次干道-景恒街</v>
      </c>
      <c r="E94" s="485" t="str">
        <f>G29</f>
        <v>城市主干道-西大望路</v>
      </c>
      <c r="F94" s="485" t="str">
        <f>I29</f>
        <v>城市支路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98</v>
      </c>
      <c r="E95" s="467">
        <v>100</v>
      </c>
      <c r="F95" s="467">
        <v>96</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3618</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F104" si="24">D104-1</f>
        <v>98</v>
      </c>
      <c r="F104" s="467">
        <f t="shared" si="24"/>
        <v>97</v>
      </c>
      <c r="G104" s="467">
        <f>F104-1</f>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A1:Z109"/>
  <sheetViews>
    <sheetView workbookViewId="0">
      <selection activeCell="O5" sqref="O5"/>
    </sheetView>
  </sheetViews>
  <sheetFormatPr defaultRowHeight="13.5"/>
  <cols>
    <col min="1" max="16384" width="9" style="3164"/>
  </cols>
  <sheetData>
    <row r="1" spans="2:26">
      <c r="B1" s="3163" t="s">
        <v>3590</v>
      </c>
    </row>
    <row r="2" spans="2:26">
      <c r="N2" s="3163"/>
      <c r="U2" s="3163" t="s">
        <v>3598</v>
      </c>
    </row>
    <row r="4" spans="2:26">
      <c r="Z4" s="3163"/>
    </row>
    <row r="5" spans="2:26">
      <c r="O5" s="3239" t="s">
        <v>3591</v>
      </c>
      <c r="P5" s="3239">
        <v>22</v>
      </c>
      <c r="Q5" s="3239">
        <v>25.76</v>
      </c>
      <c r="R5" s="3239" t="s">
        <v>3555</v>
      </c>
    </row>
    <row r="6" spans="2:26">
      <c r="O6" s="3238" t="s">
        <v>3594</v>
      </c>
      <c r="P6" s="3238">
        <v>980</v>
      </c>
      <c r="Q6" s="3238">
        <v>29.9</v>
      </c>
      <c r="R6" s="3238" t="s">
        <v>3555</v>
      </c>
    </row>
    <row r="7" spans="2:26">
      <c r="O7" s="3164" t="s">
        <v>3595</v>
      </c>
      <c r="P7" s="3164">
        <v>500</v>
      </c>
      <c r="Q7" s="3164">
        <v>29</v>
      </c>
      <c r="R7" s="3164" t="s">
        <v>3596</v>
      </c>
    </row>
    <row r="8" spans="2:26">
      <c r="O8" s="3164" t="s">
        <v>3595</v>
      </c>
      <c r="P8" s="3164">
        <v>1300</v>
      </c>
      <c r="Q8" s="3164">
        <v>29</v>
      </c>
      <c r="R8" s="3164" t="s">
        <v>3555</v>
      </c>
    </row>
    <row r="9" spans="2:26">
      <c r="O9" s="3238" t="s">
        <v>3595</v>
      </c>
      <c r="P9" s="3238">
        <v>900</v>
      </c>
      <c r="Q9" s="3238">
        <v>29</v>
      </c>
      <c r="R9" s="3238" t="s">
        <v>3555</v>
      </c>
    </row>
    <row r="10" spans="2:26">
      <c r="O10" s="3164" t="s">
        <v>3610</v>
      </c>
      <c r="P10" s="3164">
        <v>220</v>
      </c>
      <c r="Q10" s="3164">
        <v>10.1</v>
      </c>
      <c r="R10" s="3164" t="s">
        <v>3555</v>
      </c>
    </row>
    <row r="32" spans="14:22">
      <c r="N32" s="3163"/>
      <c r="V32" s="3163" t="s">
        <v>3599</v>
      </c>
    </row>
    <row r="35" spans="2:2">
      <c r="B35" s="3163" t="s">
        <v>3592</v>
      </c>
    </row>
    <row r="72" spans="1:1">
      <c r="A72" s="3163" t="s">
        <v>3593</v>
      </c>
    </row>
    <row r="109" spans="1:1">
      <c r="A109" s="3163" t="s">
        <v>3597</v>
      </c>
    </row>
  </sheetData>
  <phoneticPr fontId="134" type="noConversion"/>
  <hyperlinks>
    <hyperlink ref="B1" r:id="rId1" display="https://shop.fang.com/zu/3_476798519.html?channel=1,16" xr:uid="{E0350957-7325-4E41-AD12-75CAA3278EED}"/>
    <hyperlink ref="B35" r:id="rId2" display="https://shop.fang.com/zu/3_473321307.html?channel=1,16" xr:uid="{82FC59A8-0C06-4972-966A-71571A327275}"/>
    <hyperlink ref="A72" r:id="rId3" display="https://shop.fang.com/zu/3_474641929.html?channel=1,16" xr:uid="{B971BC6F-BB2D-4ABF-A849-3C9865863538}"/>
    <hyperlink ref="A109" r:id="rId4" display="https://shop.fang.com/zu/3_483880241.html?channel=1,16" xr:uid="{4E4DAE8D-524B-45AD-92B7-8AD1D940C626}"/>
    <hyperlink ref="U2" r:id="rId5" display="https://shop.fang.com/zu/3_474641904.html?channel=1,16" xr:uid="{9E8C739C-DF85-4006-986F-F14806BFC6A2}"/>
    <hyperlink ref="V32" r:id="rId6" display="https://shop.fang.com/zu/3_483784633.html?channel=1,16" xr:uid="{C60C2250-6A45-49BD-AAAC-8487A42AB507}"/>
  </hyperlinks>
  <pageMargins left="0.7" right="0.7" top="0.75" bottom="0.75" header="0.3" footer="0.3"/>
  <drawing r:id="rId7"/>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579.38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75" t="s">
        <v>1775</v>
      </c>
      <c r="Q4" s="3576"/>
      <c r="R4" s="3570" t="s">
        <v>1771</v>
      </c>
      <c r="S4" s="3571"/>
      <c r="T4" s="3570" t="s">
        <v>1772</v>
      </c>
      <c r="U4" s="3571"/>
      <c r="V4" s="3579" t="s">
        <v>1773</v>
      </c>
      <c r="W4" s="3579"/>
      <c r="X4" s="1809"/>
      <c r="Y4" s="3570" t="s">
        <v>1775</v>
      </c>
      <c r="Z4" s="3571"/>
      <c r="AA4" s="3569" t="s">
        <v>1771</v>
      </c>
      <c r="AB4" s="3569" t="s">
        <v>1772</v>
      </c>
      <c r="AC4" s="3572" t="s">
        <v>1773</v>
      </c>
    </row>
    <row r="5" spans="1:29" ht="15">
      <c r="A5" s="348"/>
      <c r="B5" s="349"/>
      <c r="C5" s="3519" t="s">
        <v>1673</v>
      </c>
      <c r="D5" s="3516"/>
      <c r="E5" s="3517" t="s">
        <v>1674</v>
      </c>
      <c r="F5" s="3518"/>
      <c r="G5" s="3519" t="s">
        <v>1675</v>
      </c>
      <c r="H5" s="3516"/>
      <c r="I5" s="3519" t="s">
        <v>1676</v>
      </c>
      <c r="J5" s="3516"/>
      <c r="K5" s="537"/>
      <c r="L5" s="2487"/>
      <c r="M5" s="2488"/>
      <c r="N5" s="2488"/>
      <c r="O5" s="2488"/>
      <c r="P5" s="3577"/>
      <c r="Q5" s="3512"/>
      <c r="R5" s="3498"/>
      <c r="S5" s="3499"/>
      <c r="T5" s="3498"/>
      <c r="U5" s="3499"/>
      <c r="V5" s="3479"/>
      <c r="W5" s="3479"/>
      <c r="X5" s="1265"/>
      <c r="Y5" s="3498"/>
      <c r="Z5" s="3499"/>
      <c r="AA5" s="3503"/>
      <c r="AB5" s="3503"/>
      <c r="AC5" s="357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78"/>
      <c r="Q6" s="3514"/>
      <c r="R6" s="3498"/>
      <c r="S6" s="3499"/>
      <c r="T6" s="3500"/>
      <c r="U6" s="3501"/>
      <c r="V6" s="3479"/>
      <c r="W6" s="3479"/>
      <c r="X6" s="1265"/>
      <c r="Y6" s="3500"/>
      <c r="Z6" s="3501"/>
      <c r="AA6" s="3504"/>
      <c r="AB6" s="3504"/>
      <c r="AC6" s="3574"/>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80" t="s">
        <v>1680</v>
      </c>
      <c r="Q7" s="3493"/>
      <c r="R7" s="664" t="s">
        <v>14</v>
      </c>
      <c r="S7" s="665">
        <f t="shared" ref="S7:S15" si="0">F7</f>
        <v>0</v>
      </c>
      <c r="T7" s="664" t="s">
        <v>14</v>
      </c>
      <c r="U7" s="665">
        <f t="shared" ref="U7:U15" si="1">H7</f>
        <v>0</v>
      </c>
      <c r="V7" s="664" t="s">
        <v>14</v>
      </c>
      <c r="W7" s="665">
        <f t="shared" ref="W7:W15" si="2">J7</f>
        <v>0</v>
      </c>
      <c r="X7" s="666"/>
      <c r="Y7" s="3492" t="s">
        <v>1680</v>
      </c>
      <c r="Z7" s="349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80" t="s">
        <v>1683</v>
      </c>
      <c r="Q8" s="3494"/>
      <c r="R8" s="664" t="s">
        <v>14</v>
      </c>
      <c r="S8" s="665">
        <f t="shared" si="0"/>
        <v>100</v>
      </c>
      <c r="T8" s="664" t="s">
        <v>14</v>
      </c>
      <c r="U8" s="665">
        <f t="shared" si="1"/>
        <v>100</v>
      </c>
      <c r="V8" s="664" t="s">
        <v>14</v>
      </c>
      <c r="W8" s="665">
        <f t="shared" si="2"/>
        <v>100</v>
      </c>
      <c r="X8" s="666"/>
      <c r="Y8" s="3492" t="s">
        <v>1683</v>
      </c>
      <c r="Z8" s="349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9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9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95"/>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9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9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95"/>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83" t="s">
        <v>1691</v>
      </c>
      <c r="Q15" s="1263" t="str">
        <f t="shared" si="6"/>
        <v>办公集聚程度</v>
      </c>
      <c r="R15" s="667" t="s">
        <v>14</v>
      </c>
      <c r="S15" s="668">
        <f t="shared" si="0"/>
        <v>100</v>
      </c>
      <c r="T15" s="667" t="s">
        <v>14</v>
      </c>
      <c r="U15" s="668">
        <f t="shared" si="1"/>
        <v>100</v>
      </c>
      <c r="V15" s="667" t="s">
        <v>14</v>
      </c>
      <c r="W15" s="668">
        <f t="shared" si="2"/>
        <v>100</v>
      </c>
      <c r="X15" s="1265"/>
      <c r="Y15" s="34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84"/>
      <c r="Q16" s="1263"/>
      <c r="R16" s="667"/>
      <c r="S16" s="668"/>
      <c r="T16" s="667"/>
      <c r="U16" s="668"/>
      <c r="V16" s="667"/>
      <c r="W16" s="668"/>
      <c r="X16" s="1265"/>
      <c r="Y16" s="348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84"/>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84"/>
      <c r="Q18" s="1263"/>
      <c r="R18" s="667"/>
      <c r="S18" s="668"/>
      <c r="T18" s="667"/>
      <c r="U18" s="668"/>
      <c r="V18" s="667"/>
      <c r="W18" s="668"/>
      <c r="X18" s="1265"/>
      <c r="Y18" s="348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4"/>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4"/>
      <c r="Q20" s="1263"/>
      <c r="R20" s="667"/>
      <c r="S20" s="668"/>
      <c r="T20" s="667"/>
      <c r="U20" s="668"/>
      <c r="V20" s="667"/>
      <c r="W20" s="668"/>
      <c r="X20" s="1265"/>
      <c r="Y20" s="348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4"/>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4"/>
      <c r="Q22" s="1263"/>
      <c r="R22" s="667"/>
      <c r="S22" s="668"/>
      <c r="T22" s="667"/>
      <c r="U22" s="668"/>
      <c r="V22" s="667"/>
      <c r="W22" s="668"/>
      <c r="X22" s="1265"/>
      <c r="Y22" s="348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4"/>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4"/>
      <c r="Q24" s="1263"/>
      <c r="R24" s="667"/>
      <c r="S24" s="668"/>
      <c r="T24" s="667"/>
      <c r="U24" s="668"/>
      <c r="V24" s="667"/>
      <c r="W24" s="668"/>
      <c r="X24" s="1265"/>
      <c r="Y24" s="348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4"/>
      <c r="Q25" s="1263" t="str">
        <f>B25</f>
        <v>毗邻道路的类型与等级</v>
      </c>
      <c r="R25" s="667" t="s">
        <v>14</v>
      </c>
      <c r="S25" s="668">
        <f>F25</f>
        <v>100</v>
      </c>
      <c r="T25" s="667" t="s">
        <v>14</v>
      </c>
      <c r="U25" s="668">
        <f>H25</f>
        <v>100</v>
      </c>
      <c r="V25" s="667" t="s">
        <v>14</v>
      </c>
      <c r="W25" s="668">
        <f>J25</f>
        <v>100</v>
      </c>
      <c r="X25" s="1265"/>
      <c r="Y25" s="34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4"/>
      <c r="Q26" s="1263"/>
      <c r="R26" s="667"/>
      <c r="S26" s="668"/>
      <c r="T26" s="667"/>
      <c r="U26" s="668"/>
      <c r="V26" s="667"/>
      <c r="W26" s="668"/>
      <c r="X26" s="1265"/>
      <c r="Y26" s="34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4"/>
      <c r="Q27" s="1263" t="str">
        <f t="shared" ref="Q27:Q47" si="11">B27</f>
        <v>楼层</v>
      </c>
      <c r="R27" s="667" t="s">
        <v>14</v>
      </c>
      <c r="S27" s="668">
        <f>F27</f>
        <v>100</v>
      </c>
      <c r="T27" s="667" t="s">
        <v>14</v>
      </c>
      <c r="U27" s="668">
        <f>H27</f>
        <v>100</v>
      </c>
      <c r="V27" s="667" t="s">
        <v>14</v>
      </c>
      <c r="W27" s="668">
        <f>J27</f>
        <v>100</v>
      </c>
      <c r="X27" s="1265"/>
      <c r="Y27" s="34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4"/>
      <c r="Q28" s="530" t="str">
        <f t="shared" si="11"/>
        <v>朝向</v>
      </c>
      <c r="R28" s="664" t="s">
        <v>14</v>
      </c>
      <c r="S28" s="665">
        <f>F28</f>
        <v>100</v>
      </c>
      <c r="T28" s="664" t="s">
        <v>14</v>
      </c>
      <c r="U28" s="665">
        <f>H28</f>
        <v>100</v>
      </c>
      <c r="V28" s="664" t="s">
        <v>14</v>
      </c>
      <c r="W28" s="665">
        <f>J28</f>
        <v>100</v>
      </c>
      <c r="X28" s="666"/>
      <c r="Y28" s="34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4"/>
      <c r="Q29" s="1263">
        <f t="shared" si="11"/>
        <v>111</v>
      </c>
      <c r="R29" s="667" t="s">
        <v>14</v>
      </c>
      <c r="S29" s="668">
        <f t="shared" ref="S29:S47" si="12">F29</f>
        <v>100</v>
      </c>
      <c r="T29" s="667" t="s">
        <v>14</v>
      </c>
      <c r="U29" s="668">
        <f t="shared" ref="U29:U47" si="13">H29</f>
        <v>100</v>
      </c>
      <c r="V29" s="667" t="s">
        <v>14</v>
      </c>
      <c r="W29" s="668">
        <f t="shared" ref="W29:W47" si="14">J29</f>
        <v>100</v>
      </c>
      <c r="X29" s="1265"/>
      <c r="Y29" s="34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4"/>
      <c r="Q30" s="1263">
        <f t="shared" si="11"/>
        <v>111</v>
      </c>
      <c r="R30" s="667" t="s">
        <v>14</v>
      </c>
      <c r="S30" s="668">
        <f t="shared" si="12"/>
        <v>100</v>
      </c>
      <c r="T30" s="667" t="s">
        <v>14</v>
      </c>
      <c r="U30" s="668">
        <f t="shared" si="13"/>
        <v>100</v>
      </c>
      <c r="V30" s="667" t="s">
        <v>14</v>
      </c>
      <c r="W30" s="668">
        <f t="shared" si="14"/>
        <v>100</v>
      </c>
      <c r="X30" s="1265"/>
      <c r="Y30" s="34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4"/>
      <c r="Q31" s="1263">
        <f t="shared" si="11"/>
        <v>111</v>
      </c>
      <c r="R31" s="667" t="s">
        <v>14</v>
      </c>
      <c r="S31" s="668">
        <f t="shared" si="12"/>
        <v>100</v>
      </c>
      <c r="T31" s="667" t="s">
        <v>14</v>
      </c>
      <c r="U31" s="668">
        <f t="shared" si="13"/>
        <v>100</v>
      </c>
      <c r="V31" s="667" t="s">
        <v>14</v>
      </c>
      <c r="W31" s="668">
        <f t="shared" si="14"/>
        <v>100</v>
      </c>
      <c r="X31" s="1265"/>
      <c r="Y31" s="348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4"/>
      <c r="Q32" s="1263">
        <f t="shared" si="11"/>
        <v>111</v>
      </c>
      <c r="R32" s="667" t="s">
        <v>14</v>
      </c>
      <c r="S32" s="668">
        <f t="shared" si="12"/>
        <v>100</v>
      </c>
      <c r="T32" s="667" t="s">
        <v>14</v>
      </c>
      <c r="U32" s="668">
        <f t="shared" si="13"/>
        <v>100</v>
      </c>
      <c r="V32" s="667" t="s">
        <v>14</v>
      </c>
      <c r="W32" s="668">
        <f t="shared" si="14"/>
        <v>100</v>
      </c>
      <c r="X32" s="1265"/>
      <c r="Y32" s="34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87" t="s">
        <v>1696</v>
      </c>
      <c r="Q33" s="1263" t="str">
        <f t="shared" si="11"/>
        <v>建筑类型</v>
      </c>
      <c r="R33" s="667" t="s">
        <v>14</v>
      </c>
      <c r="S33" s="668">
        <f t="shared" si="12"/>
        <v>100</v>
      </c>
      <c r="T33" s="667" t="s">
        <v>14</v>
      </c>
      <c r="U33" s="668">
        <f t="shared" si="13"/>
        <v>100</v>
      </c>
      <c r="V33" s="667" t="s">
        <v>14</v>
      </c>
      <c r="W33" s="668">
        <f t="shared" si="14"/>
        <v>100</v>
      </c>
      <c r="X33" s="1265"/>
      <c r="Y33" s="34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88"/>
      <c r="Q34" s="531" t="str">
        <f t="shared" si="11"/>
        <v>项目建筑规模</v>
      </c>
      <c r="R34" s="669" t="s">
        <v>14</v>
      </c>
      <c r="S34" s="670" t="e">
        <f t="shared" si="12"/>
        <v>#N/A</v>
      </c>
      <c r="T34" s="669" t="s">
        <v>14</v>
      </c>
      <c r="U34" s="670" t="e">
        <f t="shared" si="13"/>
        <v>#N/A</v>
      </c>
      <c r="V34" s="669" t="s">
        <v>14</v>
      </c>
      <c r="W34" s="670" t="e">
        <f t="shared" si="14"/>
        <v>#N/A</v>
      </c>
      <c r="X34" s="671"/>
      <c r="Y34" s="34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88"/>
      <c r="Q35" s="1263" t="str">
        <f t="shared" si="11"/>
        <v>建筑结构</v>
      </c>
      <c r="R35" s="667" t="s">
        <v>14</v>
      </c>
      <c r="S35" s="668">
        <f t="shared" si="12"/>
        <v>100</v>
      </c>
      <c r="T35" s="667" t="s">
        <v>14</v>
      </c>
      <c r="U35" s="668">
        <f t="shared" si="13"/>
        <v>100</v>
      </c>
      <c r="V35" s="667" t="s">
        <v>14</v>
      </c>
      <c r="W35" s="668">
        <f t="shared" si="14"/>
        <v>100</v>
      </c>
      <c r="X35" s="1265"/>
      <c r="Y35" s="34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88"/>
      <c r="Q36" s="1263" t="str">
        <f t="shared" si="11"/>
        <v>公共部分装修</v>
      </c>
      <c r="R36" s="667" t="s">
        <v>14</v>
      </c>
      <c r="S36" s="668">
        <f t="shared" si="12"/>
        <v>100</v>
      </c>
      <c r="T36" s="667" t="s">
        <v>14</v>
      </c>
      <c r="U36" s="668">
        <f t="shared" si="13"/>
        <v>100</v>
      </c>
      <c r="V36" s="667" t="s">
        <v>14</v>
      </c>
      <c r="W36" s="668">
        <f t="shared" si="14"/>
        <v>100</v>
      </c>
      <c r="X36" s="1265"/>
      <c r="Y36" s="34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88"/>
      <c r="Q37" s="1263" t="str">
        <f t="shared" si="11"/>
        <v>成新度</v>
      </c>
      <c r="R37" s="667" t="s">
        <v>14</v>
      </c>
      <c r="S37" s="668" t="e">
        <f t="shared" si="12"/>
        <v>#N/A</v>
      </c>
      <c r="T37" s="667" t="s">
        <v>14</v>
      </c>
      <c r="U37" s="668" t="e">
        <f t="shared" si="13"/>
        <v>#N/A</v>
      </c>
      <c r="V37" s="667" t="s">
        <v>14</v>
      </c>
      <c r="W37" s="668" t="e">
        <f t="shared" si="14"/>
        <v>#N/A</v>
      </c>
      <c r="X37" s="1265"/>
      <c r="Y37" s="34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8"/>
      <c r="Q38" s="530" t="str">
        <f t="shared" si="11"/>
        <v>写字楼等级</v>
      </c>
      <c r="R38" s="664" t="s">
        <v>14</v>
      </c>
      <c r="S38" s="665">
        <f t="shared" si="12"/>
        <v>100</v>
      </c>
      <c r="T38" s="664" t="s">
        <v>14</v>
      </c>
      <c r="U38" s="665">
        <f t="shared" si="13"/>
        <v>100</v>
      </c>
      <c r="V38" s="664" t="s">
        <v>14</v>
      </c>
      <c r="W38" s="665">
        <f t="shared" si="14"/>
        <v>100</v>
      </c>
      <c r="X38" s="666"/>
      <c r="Y38" s="34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88" t="s">
        <v>1696</v>
      </c>
      <c r="Q39" s="1263" t="str">
        <f t="shared" si="11"/>
        <v>物业管理</v>
      </c>
      <c r="R39" s="667" t="s">
        <v>14</v>
      </c>
      <c r="S39" s="668">
        <f t="shared" si="12"/>
        <v>100</v>
      </c>
      <c r="T39" s="667" t="s">
        <v>14</v>
      </c>
      <c r="U39" s="668">
        <f t="shared" si="13"/>
        <v>100</v>
      </c>
      <c r="V39" s="667" t="s">
        <v>14</v>
      </c>
      <c r="W39" s="668">
        <f t="shared" si="14"/>
        <v>100</v>
      </c>
      <c r="X39" s="1265"/>
      <c r="Y39" s="34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8"/>
      <c r="Q40" s="1263" t="str">
        <f t="shared" si="11"/>
        <v>市政基础设施</v>
      </c>
      <c r="R40" s="667" t="s">
        <v>14</v>
      </c>
      <c r="S40" s="668">
        <f t="shared" si="12"/>
        <v>100</v>
      </c>
      <c r="T40" s="667" t="s">
        <v>14</v>
      </c>
      <c r="U40" s="668">
        <f t="shared" si="13"/>
        <v>100</v>
      </c>
      <c r="V40" s="667" t="s">
        <v>14</v>
      </c>
      <c r="W40" s="668">
        <f t="shared" si="14"/>
        <v>100</v>
      </c>
      <c r="X40" s="1265"/>
      <c r="Y40" s="34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88"/>
      <c r="Q41" s="1263" t="str">
        <f t="shared" si="11"/>
        <v>层高</v>
      </c>
      <c r="R41" s="667" t="s">
        <v>14</v>
      </c>
      <c r="S41" s="668">
        <f t="shared" si="12"/>
        <v>100</v>
      </c>
      <c r="T41" s="667" t="s">
        <v>14</v>
      </c>
      <c r="U41" s="668">
        <f t="shared" si="13"/>
        <v>100</v>
      </c>
      <c r="V41" s="667" t="s">
        <v>14</v>
      </c>
      <c r="W41" s="668">
        <f t="shared" si="14"/>
        <v>100</v>
      </c>
      <c r="X41" s="1265"/>
      <c r="Y41" s="34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8"/>
      <c r="Q42" s="531" t="str">
        <f t="shared" si="11"/>
        <v>单套建筑面积</v>
      </c>
      <c r="R42" s="669" t="s">
        <v>14</v>
      </c>
      <c r="S42" s="670">
        <f t="shared" si="12"/>
        <v>100</v>
      </c>
      <c r="T42" s="669" t="s">
        <v>14</v>
      </c>
      <c r="U42" s="670">
        <f t="shared" si="13"/>
        <v>100</v>
      </c>
      <c r="V42" s="669" t="s">
        <v>14</v>
      </c>
      <c r="W42" s="670">
        <f t="shared" si="14"/>
        <v>100</v>
      </c>
      <c r="X42" s="671"/>
      <c r="Y42" s="34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88"/>
      <c r="Q43" s="1263" t="str">
        <f t="shared" si="11"/>
        <v>内部装修</v>
      </c>
      <c r="R43" s="667" t="s">
        <v>14</v>
      </c>
      <c r="S43" s="668">
        <f t="shared" si="12"/>
        <v>100</v>
      </c>
      <c r="T43" s="667" t="s">
        <v>14</v>
      </c>
      <c r="U43" s="668">
        <f t="shared" si="13"/>
        <v>100</v>
      </c>
      <c r="V43" s="667" t="s">
        <v>14</v>
      </c>
      <c r="W43" s="668">
        <f t="shared" si="14"/>
        <v>100</v>
      </c>
      <c r="X43" s="1265"/>
      <c r="Y43" s="349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88"/>
      <c r="Q44" s="1263" t="str">
        <f t="shared" si="11"/>
        <v>内部装修维护情况</v>
      </c>
      <c r="R44" s="667" t="s">
        <v>14</v>
      </c>
      <c r="S44" s="668">
        <f t="shared" si="12"/>
        <v>100</v>
      </c>
      <c r="T44" s="667" t="s">
        <v>14</v>
      </c>
      <c r="U44" s="668">
        <f t="shared" si="13"/>
        <v>100</v>
      </c>
      <c r="V44" s="667" t="s">
        <v>14</v>
      </c>
      <c r="W44" s="668">
        <f t="shared" si="14"/>
        <v>100</v>
      </c>
      <c r="X44" s="1265"/>
      <c r="Y44" s="34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88"/>
      <c r="Q45" s="530">
        <f t="shared" si="11"/>
        <v>111</v>
      </c>
      <c r="R45" s="664" t="s">
        <v>14</v>
      </c>
      <c r="S45" s="665">
        <f t="shared" si="12"/>
        <v>100</v>
      </c>
      <c r="T45" s="664" t="s">
        <v>14</v>
      </c>
      <c r="U45" s="665">
        <f t="shared" si="13"/>
        <v>100</v>
      </c>
      <c r="V45" s="664" t="s">
        <v>14</v>
      </c>
      <c r="W45" s="665">
        <f t="shared" si="14"/>
        <v>100</v>
      </c>
      <c r="X45" s="666"/>
      <c r="Y45" s="34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8"/>
      <c r="Q46" s="1263">
        <f t="shared" si="11"/>
        <v>111</v>
      </c>
      <c r="R46" s="667" t="s">
        <v>14</v>
      </c>
      <c r="S46" s="668">
        <f t="shared" si="12"/>
        <v>100</v>
      </c>
      <c r="T46" s="667" t="s">
        <v>14</v>
      </c>
      <c r="U46" s="668">
        <f t="shared" si="13"/>
        <v>100</v>
      </c>
      <c r="V46" s="667" t="s">
        <v>14</v>
      </c>
      <c r="W46" s="668">
        <f t="shared" si="14"/>
        <v>100</v>
      </c>
      <c r="X46" s="1265"/>
      <c r="Y46" s="34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9"/>
      <c r="Q47" s="1263">
        <f t="shared" si="11"/>
        <v>111</v>
      </c>
      <c r="R47" s="667" t="s">
        <v>14</v>
      </c>
      <c r="S47" s="668">
        <f t="shared" si="12"/>
        <v>100</v>
      </c>
      <c r="T47" s="667" t="s">
        <v>14</v>
      </c>
      <c r="U47" s="668">
        <f t="shared" si="13"/>
        <v>100</v>
      </c>
      <c r="V47" s="667" t="s">
        <v>14</v>
      </c>
      <c r="W47" s="668">
        <f t="shared" si="14"/>
        <v>100</v>
      </c>
      <c r="X47" s="1265"/>
      <c r="Y47" s="349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95" t="str">
        <f>A48</f>
        <v>成交单价（元/平方米）</v>
      </c>
      <c r="Q48" s="3478"/>
      <c r="R48" s="3479">
        <f>E48</f>
        <v>0</v>
      </c>
      <c r="S48" s="3479"/>
      <c r="T48" s="3479">
        <f>G48</f>
        <v>0</v>
      </c>
      <c r="U48" s="3479"/>
      <c r="V48" s="3479">
        <f>I48</f>
        <v>0</v>
      </c>
      <c r="W48" s="34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95"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579.38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5" t="s">
        <v>1770</v>
      </c>
      <c r="D4" s="3506"/>
      <c r="E4" s="3507" t="s">
        <v>1771</v>
      </c>
      <c r="F4" s="3508"/>
      <c r="G4" s="3505" t="s">
        <v>1772</v>
      </c>
      <c r="H4" s="3506"/>
      <c r="I4" s="3505" t="s">
        <v>1773</v>
      </c>
      <c r="J4" s="3506"/>
      <c r="K4" s="537" t="s">
        <v>1774</v>
      </c>
      <c r="L4" s="860"/>
      <c r="M4" s="861"/>
      <c r="N4" s="861"/>
      <c r="O4" s="861"/>
      <c r="P4" s="3509" t="s">
        <v>1775</v>
      </c>
      <c r="Q4" s="3510"/>
      <c r="R4" s="3496" t="s">
        <v>1771</v>
      </c>
      <c r="S4" s="3497"/>
      <c r="T4" s="3496" t="s">
        <v>1772</v>
      </c>
      <c r="U4" s="3497"/>
      <c r="V4" s="3479" t="s">
        <v>1773</v>
      </c>
      <c r="W4" s="3479"/>
      <c r="X4" s="1265"/>
      <c r="Y4" s="3496" t="s">
        <v>1775</v>
      </c>
      <c r="Z4" s="3497"/>
      <c r="AA4" s="3502" t="s">
        <v>1771</v>
      </c>
      <c r="AB4" s="3503" t="s">
        <v>1772</v>
      </c>
      <c r="AC4" s="3502" t="s">
        <v>1773</v>
      </c>
    </row>
    <row r="5" spans="1:29" ht="15">
      <c r="A5" s="348"/>
      <c r="B5" s="349"/>
      <c r="C5" s="3519" t="s">
        <v>1673</v>
      </c>
      <c r="D5" s="3516"/>
      <c r="E5" s="3517" t="s">
        <v>1674</v>
      </c>
      <c r="F5" s="3518"/>
      <c r="G5" s="3519" t="s">
        <v>1675</v>
      </c>
      <c r="H5" s="3516"/>
      <c r="I5" s="3519" t="s">
        <v>1676</v>
      </c>
      <c r="J5" s="3516"/>
      <c r="K5" s="537"/>
      <c r="L5" s="860"/>
      <c r="M5" s="861"/>
      <c r="N5" s="861"/>
      <c r="O5" s="861"/>
      <c r="P5" s="3511"/>
      <c r="Q5" s="3512"/>
      <c r="R5" s="3498"/>
      <c r="S5" s="3499"/>
      <c r="T5" s="3498"/>
      <c r="U5" s="3499"/>
      <c r="V5" s="3479"/>
      <c r="W5" s="3479"/>
      <c r="X5" s="1265"/>
      <c r="Y5" s="3498"/>
      <c r="Z5" s="3499"/>
      <c r="AA5" s="3503"/>
      <c r="AB5" s="3503"/>
      <c r="AC5" s="3503"/>
    </row>
    <row r="6" spans="1:29" ht="15.75" thickBot="1">
      <c r="A6" s="350"/>
      <c r="B6" s="351"/>
      <c r="C6" s="3520" t="s">
        <v>1677</v>
      </c>
      <c r="D6" s="3521"/>
      <c r="E6" s="3522" t="s">
        <v>1677</v>
      </c>
      <c r="F6" s="3523"/>
      <c r="G6" s="3520" t="s">
        <v>1677</v>
      </c>
      <c r="H6" s="3521"/>
      <c r="I6" s="3520" t="s">
        <v>1677</v>
      </c>
      <c r="J6" s="3521"/>
      <c r="K6" s="537" t="s">
        <v>1678</v>
      </c>
      <c r="L6" s="860"/>
      <c r="M6" s="861"/>
      <c r="N6" s="861"/>
      <c r="O6" s="861"/>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2" t="s">
        <v>1680</v>
      </c>
      <c r="Q7" s="3493"/>
      <c r="R7" s="664" t="s">
        <v>14</v>
      </c>
      <c r="S7" s="665">
        <f t="shared" ref="S7:S15" si="0">F7</f>
        <v>0</v>
      </c>
      <c r="T7" s="664" t="s">
        <v>14</v>
      </c>
      <c r="U7" s="665">
        <f t="shared" ref="U7:U15" si="1">H7</f>
        <v>0</v>
      </c>
      <c r="V7" s="664" t="s">
        <v>14</v>
      </c>
      <c r="W7" s="665">
        <f t="shared" ref="W7:W15" si="2">J7</f>
        <v>0</v>
      </c>
      <c r="X7" s="666"/>
      <c r="Y7" s="3492" t="s">
        <v>1680</v>
      </c>
      <c r="Z7" s="34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2" t="s">
        <v>1683</v>
      </c>
      <c r="Q8" s="3494"/>
      <c r="R8" s="664" t="s">
        <v>14</v>
      </c>
      <c r="S8" s="665">
        <f t="shared" si="0"/>
        <v>100</v>
      </c>
      <c r="T8" s="664" t="s">
        <v>14</v>
      </c>
      <c r="U8" s="665">
        <f t="shared" si="1"/>
        <v>100</v>
      </c>
      <c r="V8" s="664" t="s">
        <v>14</v>
      </c>
      <c r="W8" s="665">
        <f t="shared" si="2"/>
        <v>100</v>
      </c>
      <c r="X8" s="666"/>
      <c r="Y8" s="3492" t="s">
        <v>1683</v>
      </c>
      <c r="Z8" s="34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8"/>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86"/>
      <c r="Q16" s="1263"/>
      <c r="R16" s="667"/>
      <c r="S16" s="668"/>
      <c r="T16" s="667"/>
      <c r="U16" s="668"/>
      <c r="V16" s="667"/>
      <c r="W16" s="668"/>
      <c r="X16" s="1265"/>
      <c r="Y16" s="348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86"/>
      <c r="Q18" s="1263"/>
      <c r="R18" s="667"/>
      <c r="S18" s="668"/>
      <c r="T18" s="667"/>
      <c r="U18" s="668"/>
      <c r="V18" s="667"/>
      <c r="W18" s="668"/>
      <c r="X18" s="1265"/>
      <c r="Y18" s="348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6"/>
      <c r="Q19" s="1263" t="str">
        <f>B19</f>
        <v>公共配套设施</v>
      </c>
      <c r="R19" s="667" t="s">
        <v>14</v>
      </c>
      <c r="S19" s="668">
        <f>F19</f>
        <v>100</v>
      </c>
      <c r="T19" s="667" t="s">
        <v>14</v>
      </c>
      <c r="U19" s="668">
        <f>H19</f>
        <v>100</v>
      </c>
      <c r="V19" s="667" t="s">
        <v>14</v>
      </c>
      <c r="W19" s="668">
        <f>J19</f>
        <v>100</v>
      </c>
      <c r="X19" s="1265"/>
      <c r="Y19" s="34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86"/>
      <c r="Q20" s="1263"/>
      <c r="R20" s="667"/>
      <c r="S20" s="668"/>
      <c r="T20" s="667"/>
      <c r="U20" s="668"/>
      <c r="V20" s="667"/>
      <c r="W20" s="668"/>
      <c r="X20" s="1265"/>
      <c r="Y20" s="348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6"/>
      <c r="Q21" s="1263" t="str">
        <f>B21</f>
        <v>基础设施水平</v>
      </c>
      <c r="R21" s="667" t="s">
        <v>14</v>
      </c>
      <c r="S21" s="668">
        <f>F21</f>
        <v>100</v>
      </c>
      <c r="T21" s="667" t="s">
        <v>14</v>
      </c>
      <c r="U21" s="668">
        <f>H21</f>
        <v>100</v>
      </c>
      <c r="V21" s="667" t="s">
        <v>14</v>
      </c>
      <c r="W21" s="668">
        <f>J21</f>
        <v>100</v>
      </c>
      <c r="X21" s="1265"/>
      <c r="Y21" s="34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86"/>
      <c r="Q22" s="1263"/>
      <c r="R22" s="667"/>
      <c r="S22" s="668"/>
      <c r="T22" s="667"/>
      <c r="U22" s="668"/>
      <c r="V22" s="667"/>
      <c r="W22" s="668"/>
      <c r="X22" s="1265"/>
      <c r="Y22" s="348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6"/>
      <c r="Q23" s="1263" t="str">
        <f>B23</f>
        <v>环境质量</v>
      </c>
      <c r="R23" s="667" t="s">
        <v>14</v>
      </c>
      <c r="S23" s="668">
        <f>F23</f>
        <v>100</v>
      </c>
      <c r="T23" s="667" t="s">
        <v>14</v>
      </c>
      <c r="U23" s="668">
        <f>H23</f>
        <v>100</v>
      </c>
      <c r="V23" s="667" t="s">
        <v>14</v>
      </c>
      <c r="W23" s="668">
        <f>J23</f>
        <v>100</v>
      </c>
      <c r="X23" s="1265"/>
      <c r="Y23" s="34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86"/>
      <c r="Q24" s="1263"/>
      <c r="R24" s="667"/>
      <c r="S24" s="668"/>
      <c r="T24" s="667"/>
      <c r="U24" s="668"/>
      <c r="V24" s="667"/>
      <c r="W24" s="668"/>
      <c r="X24" s="1265"/>
      <c r="Y24" s="34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6"/>
      <c r="Q25" s="1263">
        <f>B25</f>
        <v>111</v>
      </c>
      <c r="R25" s="667" t="s">
        <v>14</v>
      </c>
      <c r="S25" s="668">
        <f>F25</f>
        <v>100</v>
      </c>
      <c r="T25" s="667" t="s">
        <v>14</v>
      </c>
      <c r="U25" s="668">
        <f>H25</f>
        <v>100</v>
      </c>
      <c r="V25" s="667" t="s">
        <v>14</v>
      </c>
      <c r="W25" s="668">
        <f>J25</f>
        <v>100</v>
      </c>
      <c r="X25" s="1265"/>
      <c r="Y25" s="34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6"/>
      <c r="Q26" s="1263">
        <f t="shared" ref="Q26:Q40" si="11">B26</f>
        <v>111</v>
      </c>
      <c r="R26" s="667" t="s">
        <v>14</v>
      </c>
      <c r="S26" s="668">
        <f>F26</f>
        <v>100</v>
      </c>
      <c r="T26" s="667" t="s">
        <v>14</v>
      </c>
      <c r="U26" s="668">
        <f>H26</f>
        <v>100</v>
      </c>
      <c r="V26" s="667" t="s">
        <v>14</v>
      </c>
      <c r="W26" s="668">
        <f>J26</f>
        <v>100</v>
      </c>
      <c r="X26" s="1265"/>
      <c r="Y26" s="34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6"/>
      <c r="Q27" s="530">
        <f t="shared" si="11"/>
        <v>111</v>
      </c>
      <c r="R27" s="664" t="s">
        <v>14</v>
      </c>
      <c r="S27" s="665">
        <f>F27</f>
        <v>100</v>
      </c>
      <c r="T27" s="664" t="s">
        <v>14</v>
      </c>
      <c r="U27" s="665">
        <f>H27</f>
        <v>100</v>
      </c>
      <c r="V27" s="664" t="s">
        <v>14</v>
      </c>
      <c r="W27" s="665">
        <f>J27</f>
        <v>100</v>
      </c>
      <c r="X27" s="666"/>
      <c r="Y27" s="348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6"/>
      <c r="Q28" s="1263">
        <f t="shared" si="11"/>
        <v>111</v>
      </c>
      <c r="R28" s="667" t="s">
        <v>14</v>
      </c>
      <c r="S28" s="668">
        <f t="shared" ref="S28:S40" si="12">F28</f>
        <v>100</v>
      </c>
      <c r="T28" s="667" t="s">
        <v>14</v>
      </c>
      <c r="U28" s="668">
        <f t="shared" ref="U28:U40" si="13">H28</f>
        <v>100</v>
      </c>
      <c r="V28" s="667" t="s">
        <v>14</v>
      </c>
      <c r="W28" s="668">
        <f t="shared" ref="W28:W40" si="14">J28</f>
        <v>100</v>
      </c>
      <c r="X28" s="1265"/>
      <c r="Y28" s="348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4" t="s">
        <v>1696</v>
      </c>
      <c r="Q29" s="1263" t="str">
        <f t="shared" si="11"/>
        <v>建筑类型</v>
      </c>
      <c r="R29" s="667" t="s">
        <v>14</v>
      </c>
      <c r="S29" s="668">
        <f t="shared" si="12"/>
        <v>100</v>
      </c>
      <c r="T29" s="667" t="s">
        <v>14</v>
      </c>
      <c r="U29" s="668">
        <f t="shared" si="13"/>
        <v>100</v>
      </c>
      <c r="V29" s="667" t="s">
        <v>14</v>
      </c>
      <c r="W29" s="668">
        <f t="shared" si="14"/>
        <v>100</v>
      </c>
      <c r="X29" s="1265"/>
      <c r="Y29" s="34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0"/>
      <c r="Q30" s="531" t="str">
        <f t="shared" si="11"/>
        <v>项目建筑规模</v>
      </c>
      <c r="R30" s="669" t="s">
        <v>14</v>
      </c>
      <c r="S30" s="670" t="e">
        <f t="shared" si="12"/>
        <v>#N/A</v>
      </c>
      <c r="T30" s="669" t="s">
        <v>14</v>
      </c>
      <c r="U30" s="670" t="e">
        <f t="shared" si="13"/>
        <v>#N/A</v>
      </c>
      <c r="V30" s="669" t="s">
        <v>14</v>
      </c>
      <c r="W30" s="670" t="e">
        <f t="shared" si="14"/>
        <v>#N/A</v>
      </c>
      <c r="X30" s="671"/>
      <c r="Y30" s="34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0"/>
      <c r="Q31" s="1263" t="str">
        <f t="shared" si="11"/>
        <v>建筑结构</v>
      </c>
      <c r="R31" s="667" t="s">
        <v>14</v>
      </c>
      <c r="S31" s="668">
        <f t="shared" si="12"/>
        <v>100</v>
      </c>
      <c r="T31" s="667" t="s">
        <v>14</v>
      </c>
      <c r="U31" s="668">
        <f t="shared" si="13"/>
        <v>100</v>
      </c>
      <c r="V31" s="667" t="s">
        <v>14</v>
      </c>
      <c r="W31" s="668">
        <f t="shared" si="14"/>
        <v>100</v>
      </c>
      <c r="X31" s="1265"/>
      <c r="Y31" s="34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0"/>
      <c r="Q32" s="1263" t="str">
        <f t="shared" si="11"/>
        <v>公共部分装修</v>
      </c>
      <c r="R32" s="667" t="s">
        <v>14</v>
      </c>
      <c r="S32" s="668">
        <f t="shared" si="12"/>
        <v>100</v>
      </c>
      <c r="T32" s="667" t="s">
        <v>14</v>
      </c>
      <c r="U32" s="668">
        <f t="shared" si="13"/>
        <v>100</v>
      </c>
      <c r="V32" s="667" t="s">
        <v>14</v>
      </c>
      <c r="W32" s="668">
        <f t="shared" si="14"/>
        <v>100</v>
      </c>
      <c r="X32" s="1265"/>
      <c r="Y32" s="34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0"/>
      <c r="Q33" s="1263" t="str">
        <f t="shared" si="11"/>
        <v>成新度</v>
      </c>
      <c r="R33" s="667" t="s">
        <v>14</v>
      </c>
      <c r="S33" s="668" t="e">
        <f t="shared" si="12"/>
        <v>#N/A</v>
      </c>
      <c r="T33" s="667" t="s">
        <v>14</v>
      </c>
      <c r="U33" s="668" t="e">
        <f t="shared" si="13"/>
        <v>#N/A</v>
      </c>
      <c r="V33" s="667" t="s">
        <v>14</v>
      </c>
      <c r="W33" s="668" t="e">
        <f t="shared" si="14"/>
        <v>#N/A</v>
      </c>
      <c r="X33" s="1265"/>
      <c r="Y33" s="34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0"/>
      <c r="Q34" s="530" t="str">
        <f t="shared" si="11"/>
        <v>物业管理</v>
      </c>
      <c r="R34" s="664" t="s">
        <v>14</v>
      </c>
      <c r="S34" s="665">
        <f t="shared" si="12"/>
        <v>100</v>
      </c>
      <c r="T34" s="664" t="s">
        <v>14</v>
      </c>
      <c r="U34" s="665">
        <f t="shared" si="13"/>
        <v>100</v>
      </c>
      <c r="V34" s="664" t="s">
        <v>14</v>
      </c>
      <c r="W34" s="665">
        <f t="shared" si="14"/>
        <v>100</v>
      </c>
      <c r="X34" s="666"/>
      <c r="Y34" s="34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0" t="s">
        <v>1696</v>
      </c>
      <c r="Q35" s="1263" t="str">
        <f t="shared" si="11"/>
        <v>市政基础设施</v>
      </c>
      <c r="R35" s="667" t="s">
        <v>14</v>
      </c>
      <c r="S35" s="668">
        <f t="shared" si="12"/>
        <v>100</v>
      </c>
      <c r="T35" s="667" t="s">
        <v>14</v>
      </c>
      <c r="U35" s="668">
        <f t="shared" si="13"/>
        <v>100</v>
      </c>
      <c r="V35" s="667" t="s">
        <v>14</v>
      </c>
      <c r="W35" s="668">
        <f t="shared" si="14"/>
        <v>100</v>
      </c>
      <c r="X35" s="1265"/>
      <c r="Y35" s="34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0"/>
      <c r="Q36" s="1263" t="str">
        <f t="shared" si="11"/>
        <v>内部装修</v>
      </c>
      <c r="R36" s="667" t="s">
        <v>14</v>
      </c>
      <c r="S36" s="668">
        <f t="shared" si="12"/>
        <v>100</v>
      </c>
      <c r="T36" s="667" t="s">
        <v>14</v>
      </c>
      <c r="U36" s="668">
        <f t="shared" si="13"/>
        <v>100</v>
      </c>
      <c r="V36" s="667" t="s">
        <v>14</v>
      </c>
      <c r="W36" s="668">
        <f t="shared" si="14"/>
        <v>100</v>
      </c>
      <c r="X36" s="1265"/>
      <c r="Y36" s="34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0"/>
      <c r="Q37" s="1263" t="str">
        <f t="shared" si="11"/>
        <v>内部装修状况</v>
      </c>
      <c r="R37" s="667" t="s">
        <v>14</v>
      </c>
      <c r="S37" s="668">
        <f t="shared" si="12"/>
        <v>100</v>
      </c>
      <c r="T37" s="667" t="s">
        <v>14</v>
      </c>
      <c r="U37" s="668">
        <f t="shared" si="13"/>
        <v>100</v>
      </c>
      <c r="V37" s="667" t="s">
        <v>14</v>
      </c>
      <c r="W37" s="668">
        <f t="shared" si="14"/>
        <v>100</v>
      </c>
      <c r="X37" s="1265"/>
      <c r="Y37" s="34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0"/>
      <c r="Q38" s="531">
        <f t="shared" si="11"/>
        <v>111</v>
      </c>
      <c r="R38" s="669" t="s">
        <v>14</v>
      </c>
      <c r="S38" s="670">
        <f t="shared" si="12"/>
        <v>100</v>
      </c>
      <c r="T38" s="669" t="s">
        <v>14</v>
      </c>
      <c r="U38" s="670">
        <f t="shared" si="13"/>
        <v>100</v>
      </c>
      <c r="V38" s="669" t="s">
        <v>14</v>
      </c>
      <c r="W38" s="670">
        <f t="shared" si="14"/>
        <v>100</v>
      </c>
      <c r="X38" s="671"/>
      <c r="Y38" s="34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0"/>
      <c r="Q39" s="1263">
        <f t="shared" si="11"/>
        <v>111</v>
      </c>
      <c r="R39" s="667" t="s">
        <v>14</v>
      </c>
      <c r="S39" s="668">
        <f t="shared" si="12"/>
        <v>100</v>
      </c>
      <c r="T39" s="667" t="s">
        <v>14</v>
      </c>
      <c r="U39" s="668">
        <f t="shared" si="13"/>
        <v>100</v>
      </c>
      <c r="V39" s="667" t="s">
        <v>14</v>
      </c>
      <c r="W39" s="668">
        <f t="shared" si="14"/>
        <v>100</v>
      </c>
      <c r="X39" s="1265"/>
      <c r="Y39" s="34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1"/>
      <c r="Q40" s="1263">
        <f t="shared" si="11"/>
        <v>111</v>
      </c>
      <c r="R40" s="667" t="s">
        <v>14</v>
      </c>
      <c r="S40" s="668">
        <f t="shared" si="12"/>
        <v>100</v>
      </c>
      <c r="T40" s="667" t="s">
        <v>14</v>
      </c>
      <c r="U40" s="668">
        <f t="shared" si="13"/>
        <v>100</v>
      </c>
      <c r="V40" s="667" t="s">
        <v>14</v>
      </c>
      <c r="W40" s="668">
        <f t="shared" si="14"/>
        <v>100</v>
      </c>
      <c r="X40" s="1265"/>
      <c r="Y40" s="349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78" t="str">
        <f>A41</f>
        <v>成交单价（元/平方米）</v>
      </c>
      <c r="Q41" s="3478"/>
      <c r="R41" s="3479">
        <f>E41</f>
        <v>0</v>
      </c>
      <c r="S41" s="3479"/>
      <c r="T41" s="3479">
        <f>G41</f>
        <v>0</v>
      </c>
      <c r="U41" s="3479"/>
      <c r="V41" s="3479">
        <f>I41</f>
        <v>0</v>
      </c>
      <c r="W41" s="34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09" t="s">
        <v>1775</v>
      </c>
      <c r="Q4" s="3510"/>
      <c r="R4" s="3496" t="s">
        <v>1771</v>
      </c>
      <c r="S4" s="3497"/>
      <c r="T4" s="3496" t="s">
        <v>1772</v>
      </c>
      <c r="U4" s="3497"/>
      <c r="V4" s="3479" t="s">
        <v>1773</v>
      </c>
      <c r="W4" s="3479"/>
      <c r="X4" s="1265"/>
      <c r="Y4" s="3496" t="s">
        <v>1775</v>
      </c>
      <c r="Z4" s="3497"/>
      <c r="AA4" s="3502" t="s">
        <v>1771</v>
      </c>
      <c r="AB4" s="3503" t="s">
        <v>1772</v>
      </c>
      <c r="AC4" s="3502" t="s">
        <v>1773</v>
      </c>
    </row>
    <row r="5" spans="1:29" ht="15">
      <c r="A5" s="348"/>
      <c r="B5" s="349"/>
      <c r="C5" s="3519" t="s">
        <v>1673</v>
      </c>
      <c r="D5" s="3516"/>
      <c r="E5" s="3517" t="s">
        <v>1674</v>
      </c>
      <c r="F5" s="3518"/>
      <c r="G5" s="3519" t="s">
        <v>1675</v>
      </c>
      <c r="H5" s="3516"/>
      <c r="I5" s="3519" t="s">
        <v>1676</v>
      </c>
      <c r="J5" s="3516"/>
      <c r="K5" s="537"/>
      <c r="L5" s="2487"/>
      <c r="M5" s="2488"/>
      <c r="N5" s="2488"/>
      <c r="O5" s="2488"/>
      <c r="P5" s="3511"/>
      <c r="Q5" s="3512"/>
      <c r="R5" s="3498"/>
      <c r="S5" s="3499"/>
      <c r="T5" s="3498"/>
      <c r="U5" s="3499"/>
      <c r="V5" s="3479"/>
      <c r="W5" s="3479"/>
      <c r="X5" s="1265"/>
      <c r="Y5" s="3498"/>
      <c r="Z5" s="3499"/>
      <c r="AA5" s="3503"/>
      <c r="AB5" s="3503"/>
      <c r="AC5" s="350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2" t="s">
        <v>1680</v>
      </c>
      <c r="Q7" s="3493"/>
      <c r="R7" s="664" t="s">
        <v>14</v>
      </c>
      <c r="S7" s="665">
        <f t="shared" ref="S7:S14" si="0">F7</f>
        <v>0</v>
      </c>
      <c r="T7" s="664" t="s">
        <v>14</v>
      </c>
      <c r="U7" s="665">
        <f t="shared" ref="U7:U14" si="1">H7</f>
        <v>0</v>
      </c>
      <c r="V7" s="664" t="s">
        <v>14</v>
      </c>
      <c r="W7" s="665">
        <f t="shared" ref="W7:W14" si="2">J7</f>
        <v>0</v>
      </c>
      <c r="X7" s="666"/>
      <c r="Y7" s="3492" t="s">
        <v>1680</v>
      </c>
      <c r="Z7" s="349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2" t="s">
        <v>1683</v>
      </c>
      <c r="Q8" s="3494"/>
      <c r="R8" s="664" t="s">
        <v>14</v>
      </c>
      <c r="S8" s="665">
        <f t="shared" si="0"/>
        <v>100</v>
      </c>
      <c r="T8" s="664" t="s">
        <v>14</v>
      </c>
      <c r="U8" s="665">
        <f t="shared" si="1"/>
        <v>100</v>
      </c>
      <c r="V8" s="664" t="s">
        <v>14</v>
      </c>
      <c r="W8" s="665">
        <f t="shared" si="2"/>
        <v>100</v>
      </c>
      <c r="X8" s="666"/>
      <c r="Y8" s="3492" t="s">
        <v>1683</v>
      </c>
      <c r="Z8" s="34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8"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8"/>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86"/>
      <c r="Q15" s="1263"/>
      <c r="R15" s="667"/>
      <c r="S15" s="668"/>
      <c r="T15" s="667"/>
      <c r="U15" s="668"/>
      <c r="V15" s="667"/>
      <c r="W15" s="668"/>
      <c r="X15" s="1265"/>
      <c r="Y15" s="348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86"/>
      <c r="Q17" s="1263"/>
      <c r="R17" s="667"/>
      <c r="S17" s="668"/>
      <c r="T17" s="667"/>
      <c r="U17" s="668"/>
      <c r="V17" s="667"/>
      <c r="W17" s="668"/>
      <c r="X17" s="1265"/>
      <c r="Y17" s="348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86"/>
      <c r="Q19" s="1263"/>
      <c r="R19" s="667"/>
      <c r="S19" s="668"/>
      <c r="T19" s="667"/>
      <c r="U19" s="668"/>
      <c r="V19" s="667"/>
      <c r="W19" s="668"/>
      <c r="X19" s="1265"/>
      <c r="Y19" s="348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86"/>
      <c r="Q21" s="1263"/>
      <c r="R21" s="667"/>
      <c r="S21" s="668"/>
      <c r="T21" s="667"/>
      <c r="U21" s="668"/>
      <c r="V21" s="667"/>
      <c r="W21" s="668"/>
      <c r="X21" s="1265"/>
      <c r="Y21" s="34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86"/>
      <c r="Q23" s="1263">
        <f>B23</f>
        <v>111</v>
      </c>
      <c r="R23" s="667" t="s">
        <v>14</v>
      </c>
      <c r="S23" s="668">
        <f>F23</f>
        <v>100</v>
      </c>
      <c r="T23" s="667" t="s">
        <v>14</v>
      </c>
      <c r="U23" s="668">
        <f>H23</f>
        <v>100</v>
      </c>
      <c r="V23" s="667" t="s">
        <v>14</v>
      </c>
      <c r="W23" s="668">
        <f>J23</f>
        <v>100</v>
      </c>
      <c r="X23" s="1265"/>
      <c r="Y23" s="34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86"/>
      <c r="Q24" s="1263">
        <f t="shared" ref="Q24:Q36"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8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0"/>
      <c r="Q27" s="531" t="str">
        <f t="shared" si="11"/>
        <v>项目停车位配比</v>
      </c>
      <c r="R27" s="669" t="s">
        <v>14</v>
      </c>
      <c r="S27" s="670">
        <f t="shared" si="12"/>
        <v>100</v>
      </c>
      <c r="T27" s="669" t="s">
        <v>14</v>
      </c>
      <c r="U27" s="670">
        <f t="shared" si="13"/>
        <v>100</v>
      </c>
      <c r="V27" s="669" t="s">
        <v>14</v>
      </c>
      <c r="W27" s="670">
        <f t="shared" si="14"/>
        <v>100</v>
      </c>
      <c r="X27" s="671"/>
      <c r="Y27" s="34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0"/>
      <c r="Q28" s="1263" t="str">
        <f t="shared" si="11"/>
        <v>公共部分装修</v>
      </c>
      <c r="R28" s="667" t="s">
        <v>14</v>
      </c>
      <c r="S28" s="668">
        <f t="shared" si="12"/>
        <v>100</v>
      </c>
      <c r="T28" s="667" t="s">
        <v>14</v>
      </c>
      <c r="U28" s="668">
        <f t="shared" si="13"/>
        <v>100</v>
      </c>
      <c r="V28" s="667" t="s">
        <v>14</v>
      </c>
      <c r="W28" s="668">
        <f t="shared" si="14"/>
        <v>100</v>
      </c>
      <c r="X28" s="1265"/>
      <c r="Y28" s="34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90"/>
      <c r="Q29" s="1263" t="str">
        <f t="shared" si="11"/>
        <v>成新率</v>
      </c>
      <c r="R29" s="667" t="s">
        <v>14</v>
      </c>
      <c r="S29" s="668" t="e">
        <f t="shared" si="12"/>
        <v>#N/A</v>
      </c>
      <c r="T29" s="667" t="s">
        <v>14</v>
      </c>
      <c r="U29" s="668" t="e">
        <f t="shared" si="13"/>
        <v>#N/A</v>
      </c>
      <c r="V29" s="667" t="s">
        <v>14</v>
      </c>
      <c r="W29" s="668" t="e">
        <f t="shared" si="14"/>
        <v>#N/A</v>
      </c>
      <c r="X29" s="1265"/>
      <c r="Y29" s="34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0"/>
      <c r="Q30" s="1263" t="str">
        <f t="shared" si="11"/>
        <v>物业等级</v>
      </c>
      <c r="R30" s="667" t="s">
        <v>14</v>
      </c>
      <c r="S30" s="668">
        <f t="shared" si="12"/>
        <v>100</v>
      </c>
      <c r="T30" s="667" t="s">
        <v>14</v>
      </c>
      <c r="U30" s="668">
        <f t="shared" si="13"/>
        <v>100</v>
      </c>
      <c r="V30" s="667" t="s">
        <v>14</v>
      </c>
      <c r="W30" s="668">
        <f t="shared" si="14"/>
        <v>100</v>
      </c>
      <c r="X30" s="1265"/>
      <c r="Y30" s="34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90"/>
      <c r="Q31" s="530" t="str">
        <f t="shared" si="11"/>
        <v>停车位面积</v>
      </c>
      <c r="R31" s="664" t="s">
        <v>14</v>
      </c>
      <c r="S31" s="665" t="e">
        <f t="shared" si="12"/>
        <v>#N/A</v>
      </c>
      <c r="T31" s="664" t="s">
        <v>14</v>
      </c>
      <c r="U31" s="665" t="e">
        <f t="shared" si="13"/>
        <v>#N/A</v>
      </c>
      <c r="V31" s="664" t="s">
        <v>14</v>
      </c>
      <c r="W31" s="665" t="e">
        <f t="shared" si="14"/>
        <v>#N/A</v>
      </c>
      <c r="X31" s="666"/>
      <c r="Y31" s="34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0" t="s">
        <v>1696</v>
      </c>
      <c r="Q32" s="1263" t="str">
        <f t="shared" si="11"/>
        <v>车位类型</v>
      </c>
      <c r="R32" s="667" t="s">
        <v>14</v>
      </c>
      <c r="S32" s="668">
        <f t="shared" si="12"/>
        <v>100</v>
      </c>
      <c r="T32" s="667" t="s">
        <v>14</v>
      </c>
      <c r="U32" s="668">
        <f t="shared" si="13"/>
        <v>100</v>
      </c>
      <c r="V32" s="667" t="s">
        <v>14</v>
      </c>
      <c r="W32" s="668">
        <f t="shared" si="14"/>
        <v>100</v>
      </c>
      <c r="X32" s="1265"/>
      <c r="Y32" s="34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0"/>
      <c r="Q33" s="1263" t="str">
        <f t="shared" si="11"/>
        <v>是否直接入户</v>
      </c>
      <c r="R33" s="667" t="s">
        <v>14</v>
      </c>
      <c r="S33" s="668">
        <f t="shared" si="12"/>
        <v>100</v>
      </c>
      <c r="T33" s="667" t="s">
        <v>14</v>
      </c>
      <c r="U33" s="668">
        <f t="shared" si="13"/>
        <v>100</v>
      </c>
      <c r="V33" s="667" t="s">
        <v>14</v>
      </c>
      <c r="W33" s="668">
        <f t="shared" si="14"/>
        <v>100</v>
      </c>
      <c r="X33" s="1265"/>
      <c r="Y33" s="34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0"/>
      <c r="Q35" s="531">
        <f t="shared" si="11"/>
        <v>111</v>
      </c>
      <c r="R35" s="669" t="s">
        <v>14</v>
      </c>
      <c r="S35" s="670">
        <f t="shared" si="12"/>
        <v>100</v>
      </c>
      <c r="T35" s="669" t="s">
        <v>14</v>
      </c>
      <c r="U35" s="670">
        <f t="shared" si="13"/>
        <v>100</v>
      </c>
      <c r="V35" s="669" t="s">
        <v>14</v>
      </c>
      <c r="W35" s="670">
        <f t="shared" si="14"/>
        <v>100</v>
      </c>
      <c r="X35" s="671"/>
      <c r="Y35" s="34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0"/>
      <c r="Q36" s="1263">
        <f t="shared" si="11"/>
        <v>111</v>
      </c>
      <c r="R36" s="667" t="s">
        <v>14</v>
      </c>
      <c r="S36" s="668">
        <f t="shared" si="12"/>
        <v>100</v>
      </c>
      <c r="T36" s="667" t="s">
        <v>14</v>
      </c>
      <c r="U36" s="668">
        <f t="shared" si="13"/>
        <v>100</v>
      </c>
      <c r="V36" s="667" t="s">
        <v>14</v>
      </c>
      <c r="W36" s="668">
        <f t="shared" si="14"/>
        <v>100</v>
      </c>
      <c r="X36" s="1265"/>
      <c r="Y36" s="349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78" t="str">
        <f>A37</f>
        <v>成交单价</v>
      </c>
      <c r="Q37" s="3478"/>
      <c r="R37" s="3479">
        <f>E37</f>
        <v>0</v>
      </c>
      <c r="S37" s="3479"/>
      <c r="T37" s="3479">
        <f>G37</f>
        <v>0</v>
      </c>
      <c r="U37" s="3479"/>
      <c r="V37" s="3479">
        <f>I37</f>
        <v>0</v>
      </c>
      <c r="W37" s="34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80" t="str">
        <f>A39</f>
        <v>估价对象XX用房的比较价值（楼面单价，元/平方米）</v>
      </c>
      <c r="Q39" s="3481"/>
      <c r="R39" s="3585" t="e">
        <f>IF(F1="售价",ROUND(IF(D38="简单平均",AVERAGE(R38:W38),R38*F38+T38*H38+V38*J38),0),ROUND(IF(D38="简单平均",AVERAGE(R38:V38),R38*F38+T38*H38+V38*J38),1))</f>
        <v>#DIV/0!</v>
      </c>
      <c r="S39" s="3585"/>
      <c r="T39" s="3585"/>
      <c r="U39" s="3585"/>
      <c r="V39" s="3585"/>
      <c r="W39" s="358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09" t="s">
        <v>1775</v>
      </c>
      <c r="Q4" s="3510"/>
      <c r="R4" s="3496" t="s">
        <v>1771</v>
      </c>
      <c r="S4" s="3497"/>
      <c r="T4" s="3496" t="s">
        <v>1772</v>
      </c>
      <c r="U4" s="3497"/>
      <c r="V4" s="3479" t="s">
        <v>1773</v>
      </c>
      <c r="W4" s="3479"/>
      <c r="X4" s="1265"/>
      <c r="Y4" s="3496" t="s">
        <v>1775</v>
      </c>
      <c r="Z4" s="3497"/>
      <c r="AA4" s="3502" t="s">
        <v>1771</v>
      </c>
      <c r="AB4" s="3503" t="s">
        <v>1772</v>
      </c>
      <c r="AC4" s="3502" t="s">
        <v>1773</v>
      </c>
    </row>
    <row r="5" spans="1:29" ht="15">
      <c r="A5" s="348"/>
      <c r="B5" s="349"/>
      <c r="C5" s="3519" t="s">
        <v>1673</v>
      </c>
      <c r="D5" s="3516"/>
      <c r="E5" s="3517" t="s">
        <v>1674</v>
      </c>
      <c r="F5" s="3518"/>
      <c r="G5" s="3519" t="s">
        <v>1675</v>
      </c>
      <c r="H5" s="3516"/>
      <c r="I5" s="3519" t="s">
        <v>1676</v>
      </c>
      <c r="J5" s="3516"/>
      <c r="K5" s="537"/>
      <c r="L5" s="2487"/>
      <c r="M5" s="2488"/>
      <c r="N5" s="2488"/>
      <c r="O5" s="2488"/>
      <c r="P5" s="3511"/>
      <c r="Q5" s="3512"/>
      <c r="R5" s="3498"/>
      <c r="S5" s="3499"/>
      <c r="T5" s="3498"/>
      <c r="U5" s="3499"/>
      <c r="V5" s="3479"/>
      <c r="W5" s="3479"/>
      <c r="X5" s="1265"/>
      <c r="Y5" s="3498"/>
      <c r="Z5" s="3499"/>
      <c r="AA5" s="3503"/>
      <c r="AB5" s="3503"/>
      <c r="AC5" s="350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2" t="s">
        <v>1680</v>
      </c>
      <c r="Q7" s="3493"/>
      <c r="R7" s="664" t="s">
        <v>14</v>
      </c>
      <c r="S7" s="665">
        <f t="shared" ref="S7:S14" si="0">F7</f>
        <v>0</v>
      </c>
      <c r="T7" s="664" t="s">
        <v>14</v>
      </c>
      <c r="U7" s="665">
        <f t="shared" ref="U7:U14" si="1">H7</f>
        <v>0</v>
      </c>
      <c r="V7" s="664" t="s">
        <v>14</v>
      </c>
      <c r="W7" s="665">
        <f t="shared" ref="W7:W14" si="2">J7</f>
        <v>0</v>
      </c>
      <c r="X7" s="666"/>
      <c r="Y7" s="3492" t="s">
        <v>1680</v>
      </c>
      <c r="Z7" s="34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2" t="s">
        <v>1683</v>
      </c>
      <c r="Q8" s="3494"/>
      <c r="R8" s="664" t="s">
        <v>14</v>
      </c>
      <c r="S8" s="665">
        <f t="shared" si="0"/>
        <v>100</v>
      </c>
      <c r="T8" s="664" t="s">
        <v>14</v>
      </c>
      <c r="U8" s="665">
        <f t="shared" si="1"/>
        <v>100</v>
      </c>
      <c r="V8" s="664" t="s">
        <v>14</v>
      </c>
      <c r="W8" s="665">
        <f t="shared" si="2"/>
        <v>100</v>
      </c>
      <c r="X8" s="666"/>
      <c r="Y8" s="3492" t="s">
        <v>1683</v>
      </c>
      <c r="Z8" s="34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8"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8"/>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85" t="s">
        <v>1691</v>
      </c>
      <c r="Q14" s="1263" t="str">
        <f t="shared" si="6"/>
        <v>交通便捷度</v>
      </c>
      <c r="R14" s="667" t="s">
        <v>14</v>
      </c>
      <c r="S14" s="668">
        <f t="shared" si="0"/>
        <v>100</v>
      </c>
      <c r="T14" s="667" t="s">
        <v>14</v>
      </c>
      <c r="U14" s="668">
        <f t="shared" si="1"/>
        <v>100</v>
      </c>
      <c r="V14" s="667" t="s">
        <v>14</v>
      </c>
      <c r="W14" s="668">
        <f t="shared" si="2"/>
        <v>100</v>
      </c>
      <c r="X14" s="1265"/>
      <c r="Y14" s="34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86"/>
      <c r="Q15" s="1263"/>
      <c r="R15" s="667"/>
      <c r="S15" s="668"/>
      <c r="T15" s="667"/>
      <c r="U15" s="668"/>
      <c r="V15" s="667"/>
      <c r="W15" s="668"/>
      <c r="X15" s="1265"/>
      <c r="Y15" s="348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86"/>
      <c r="Q16" s="1263" t="str">
        <f>B16</f>
        <v>公共配套设施</v>
      </c>
      <c r="R16" s="667" t="s">
        <v>14</v>
      </c>
      <c r="S16" s="668">
        <f>F16</f>
        <v>100</v>
      </c>
      <c r="T16" s="667" t="s">
        <v>14</v>
      </c>
      <c r="U16" s="668">
        <f>H16</f>
        <v>100</v>
      </c>
      <c r="V16" s="667" t="s">
        <v>14</v>
      </c>
      <c r="W16" s="668">
        <f>J16</f>
        <v>100</v>
      </c>
      <c r="X16" s="1265"/>
      <c r="Y16" s="34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86"/>
      <c r="Q17" s="1263"/>
      <c r="R17" s="667"/>
      <c r="S17" s="668"/>
      <c r="T17" s="667"/>
      <c r="U17" s="668"/>
      <c r="V17" s="667"/>
      <c r="W17" s="668"/>
      <c r="X17" s="1265"/>
      <c r="Y17" s="348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86"/>
      <c r="Q18" s="1263" t="str">
        <f>B18</f>
        <v>基础设施水平</v>
      </c>
      <c r="R18" s="667" t="s">
        <v>14</v>
      </c>
      <c r="S18" s="668">
        <f>F18</f>
        <v>100</v>
      </c>
      <c r="T18" s="667" t="s">
        <v>14</v>
      </c>
      <c r="U18" s="668">
        <f>H18</f>
        <v>100</v>
      </c>
      <c r="V18" s="667" t="s">
        <v>14</v>
      </c>
      <c r="W18" s="668">
        <f>J18</f>
        <v>100</v>
      </c>
      <c r="X18" s="1265"/>
      <c r="Y18" s="34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86"/>
      <c r="Q19" s="1263"/>
      <c r="R19" s="667"/>
      <c r="S19" s="668"/>
      <c r="T19" s="667"/>
      <c r="U19" s="668"/>
      <c r="V19" s="667"/>
      <c r="W19" s="668"/>
      <c r="X19" s="1265"/>
      <c r="Y19" s="348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86"/>
      <c r="Q20" s="1263" t="str">
        <f>B20</f>
        <v>自然及人文环境</v>
      </c>
      <c r="R20" s="667" t="s">
        <v>14</v>
      </c>
      <c r="S20" s="668">
        <f>F20</f>
        <v>100</v>
      </c>
      <c r="T20" s="667" t="s">
        <v>14</v>
      </c>
      <c r="U20" s="668">
        <f>H20</f>
        <v>100</v>
      </c>
      <c r="V20" s="667" t="s">
        <v>14</v>
      </c>
      <c r="W20" s="668">
        <f>J20</f>
        <v>100</v>
      </c>
      <c r="X20" s="1265"/>
      <c r="Y20" s="34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86"/>
      <c r="Q21" s="1263"/>
      <c r="R21" s="667"/>
      <c r="S21" s="668"/>
      <c r="T21" s="667"/>
      <c r="U21" s="668"/>
      <c r="V21" s="667"/>
      <c r="W21" s="668"/>
      <c r="X21" s="1265"/>
      <c r="Y21" s="34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86"/>
      <c r="Q22" s="1263" t="str">
        <f>B22</f>
        <v>楼层</v>
      </c>
      <c r="R22" s="667" t="s">
        <v>14</v>
      </c>
      <c r="S22" s="668">
        <f>F22</f>
        <v>100</v>
      </c>
      <c r="T22" s="667" t="s">
        <v>14</v>
      </c>
      <c r="U22" s="668">
        <f>H22</f>
        <v>100</v>
      </c>
      <c r="V22" s="667" t="s">
        <v>14</v>
      </c>
      <c r="W22" s="668">
        <f>J22</f>
        <v>100</v>
      </c>
      <c r="X22" s="1265"/>
      <c r="Y22" s="34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86"/>
      <c r="Q23" s="1263">
        <f>B23</f>
        <v>111</v>
      </c>
      <c r="R23" s="667" t="s">
        <v>14</v>
      </c>
      <c r="S23" s="668">
        <f>F23</f>
        <v>100</v>
      </c>
      <c r="T23" s="667" t="s">
        <v>14</v>
      </c>
      <c r="U23" s="668">
        <f>H23</f>
        <v>100</v>
      </c>
      <c r="V23" s="667" t="s">
        <v>14</v>
      </c>
      <c r="W23" s="668">
        <f>J23</f>
        <v>100</v>
      </c>
      <c r="X23" s="1265"/>
      <c r="Y23" s="34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86"/>
      <c r="Q24" s="1263">
        <f t="shared" ref="Q24:Q34" si="11">B24</f>
        <v>111</v>
      </c>
      <c r="R24" s="667" t="s">
        <v>14</v>
      </c>
      <c r="S24" s="668">
        <f>F24</f>
        <v>100</v>
      </c>
      <c r="T24" s="667" t="s">
        <v>14</v>
      </c>
      <c r="U24" s="668">
        <f>H24</f>
        <v>100</v>
      </c>
      <c r="V24" s="667" t="s">
        <v>14</v>
      </c>
      <c r="W24" s="668">
        <f>J24</f>
        <v>100</v>
      </c>
      <c r="X24" s="1265"/>
      <c r="Y24" s="348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86"/>
      <c r="Q25" s="530">
        <f t="shared" si="11"/>
        <v>111</v>
      </c>
      <c r="R25" s="664" t="s">
        <v>14</v>
      </c>
      <c r="S25" s="665">
        <f>F25</f>
        <v>100</v>
      </c>
      <c r="T25" s="664" t="s">
        <v>14</v>
      </c>
      <c r="U25" s="665">
        <f>H25</f>
        <v>100</v>
      </c>
      <c r="V25" s="664" t="s">
        <v>14</v>
      </c>
      <c r="W25" s="665">
        <f>J25</f>
        <v>100</v>
      </c>
      <c r="X25" s="666"/>
      <c r="Y25" s="348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8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90"/>
      <c r="Q27" s="531" t="str">
        <f t="shared" si="11"/>
        <v>成新率</v>
      </c>
      <c r="R27" s="669" t="s">
        <v>14</v>
      </c>
      <c r="S27" s="670" t="e">
        <f t="shared" si="12"/>
        <v>#N/A</v>
      </c>
      <c r="T27" s="669" t="s">
        <v>14</v>
      </c>
      <c r="U27" s="670" t="e">
        <f t="shared" si="13"/>
        <v>#N/A</v>
      </c>
      <c r="V27" s="669" t="s">
        <v>14</v>
      </c>
      <c r="W27" s="670" t="e">
        <f t="shared" si="14"/>
        <v>#N/A</v>
      </c>
      <c r="X27" s="671"/>
      <c r="Y27" s="34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90"/>
      <c r="Q28" s="1263" t="str">
        <f t="shared" si="11"/>
        <v>物业等级</v>
      </c>
      <c r="R28" s="667" t="s">
        <v>14</v>
      </c>
      <c r="S28" s="668">
        <f t="shared" si="12"/>
        <v>100</v>
      </c>
      <c r="T28" s="667" t="s">
        <v>14</v>
      </c>
      <c r="U28" s="668">
        <f t="shared" si="13"/>
        <v>100</v>
      </c>
      <c r="V28" s="667" t="s">
        <v>14</v>
      </c>
      <c r="W28" s="668">
        <f t="shared" si="14"/>
        <v>100</v>
      </c>
      <c r="X28" s="1265"/>
      <c r="Y28" s="34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90"/>
      <c r="Q29" s="1263" t="str">
        <f t="shared" si="11"/>
        <v>有无电梯</v>
      </c>
      <c r="R29" s="667" t="s">
        <v>14</v>
      </c>
      <c r="S29" s="668">
        <f t="shared" si="12"/>
        <v>100</v>
      </c>
      <c r="T29" s="667" t="s">
        <v>14</v>
      </c>
      <c r="U29" s="668">
        <f t="shared" si="13"/>
        <v>100</v>
      </c>
      <c r="V29" s="667" t="s">
        <v>14</v>
      </c>
      <c r="W29" s="668">
        <f t="shared" si="14"/>
        <v>100</v>
      </c>
      <c r="X29" s="1265"/>
      <c r="Y29" s="34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90"/>
      <c r="Q30" s="1263" t="str">
        <f t="shared" si="11"/>
        <v>建筑面积</v>
      </c>
      <c r="R30" s="667" t="s">
        <v>14</v>
      </c>
      <c r="S30" s="668" t="e">
        <f t="shared" si="12"/>
        <v>#N/A</v>
      </c>
      <c r="T30" s="667" t="s">
        <v>14</v>
      </c>
      <c r="U30" s="668" t="e">
        <f t="shared" si="13"/>
        <v>#N/A</v>
      </c>
      <c r="V30" s="667" t="s">
        <v>14</v>
      </c>
      <c r="W30" s="668" t="e">
        <f t="shared" si="14"/>
        <v>#N/A</v>
      </c>
      <c r="X30" s="1265"/>
      <c r="Y30" s="34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90"/>
      <c r="Q31" s="530" t="str">
        <f t="shared" si="11"/>
        <v>是否封闭</v>
      </c>
      <c r="R31" s="664" t="s">
        <v>14</v>
      </c>
      <c r="S31" s="665">
        <f t="shared" si="12"/>
        <v>100</v>
      </c>
      <c r="T31" s="664" t="s">
        <v>14</v>
      </c>
      <c r="U31" s="665">
        <f t="shared" si="13"/>
        <v>100</v>
      </c>
      <c r="V31" s="664" t="s">
        <v>14</v>
      </c>
      <c r="W31" s="665">
        <f t="shared" si="14"/>
        <v>100</v>
      </c>
      <c r="X31" s="666"/>
      <c r="Y31" s="34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90" t="s">
        <v>1696</v>
      </c>
      <c r="Q32" s="1263">
        <f t="shared" si="11"/>
        <v>111</v>
      </c>
      <c r="R32" s="667" t="s">
        <v>14</v>
      </c>
      <c r="S32" s="668">
        <f t="shared" si="12"/>
        <v>100</v>
      </c>
      <c r="T32" s="667" t="s">
        <v>14</v>
      </c>
      <c r="U32" s="668">
        <f t="shared" si="13"/>
        <v>100</v>
      </c>
      <c r="V32" s="667" t="s">
        <v>14</v>
      </c>
      <c r="W32" s="668">
        <f t="shared" si="14"/>
        <v>100</v>
      </c>
      <c r="X32" s="1265"/>
      <c r="Y32" s="34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0"/>
      <c r="Q33" s="1263">
        <f t="shared" si="11"/>
        <v>111</v>
      </c>
      <c r="R33" s="667" t="s">
        <v>14</v>
      </c>
      <c r="S33" s="668">
        <f t="shared" si="12"/>
        <v>100</v>
      </c>
      <c r="T33" s="667" t="s">
        <v>14</v>
      </c>
      <c r="U33" s="668">
        <f t="shared" si="13"/>
        <v>100</v>
      </c>
      <c r="V33" s="667" t="s">
        <v>14</v>
      </c>
      <c r="W33" s="668">
        <f t="shared" si="14"/>
        <v>100</v>
      </c>
      <c r="X33" s="1265"/>
      <c r="Y33" s="34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0"/>
      <c r="Q34" s="1263">
        <f t="shared" si="11"/>
        <v>111</v>
      </c>
      <c r="R34" s="667" t="s">
        <v>14</v>
      </c>
      <c r="S34" s="668">
        <f t="shared" si="12"/>
        <v>100</v>
      </c>
      <c r="T34" s="667" t="s">
        <v>14</v>
      </c>
      <c r="U34" s="668">
        <f t="shared" si="13"/>
        <v>100</v>
      </c>
      <c r="V34" s="667" t="s">
        <v>14</v>
      </c>
      <c r="W34" s="668">
        <f t="shared" si="14"/>
        <v>100</v>
      </c>
      <c r="X34" s="1265"/>
      <c r="Y34" s="349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78" t="str">
        <f>A35</f>
        <v>成交单价（元/平方米）</v>
      </c>
      <c r="Q35" s="3478"/>
      <c r="R35" s="3479">
        <f>E35</f>
        <v>0</v>
      </c>
      <c r="S35" s="3479"/>
      <c r="T35" s="3479">
        <f>G35</f>
        <v>0</v>
      </c>
      <c r="U35" s="3479"/>
      <c r="V35" s="3479">
        <f>I35</f>
        <v>0</v>
      </c>
      <c r="W35" s="34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80" t="str">
        <f>A37</f>
        <v>估价对象XX用房的比较价值（楼面单价，元/平方米）</v>
      </c>
      <c r="Q37" s="3481"/>
      <c r="R37" s="3585" t="e">
        <f>IF(F1="售价",ROUND(IF(D36="简单平均",AVERAGE(R36:W36),R36*F36+T36*H36+V36*J36),0),ROUND(IF(D36="简单平均",AVERAGE(R36:V36),R36*F36+T36*H36+V36*J36),1))</f>
        <v>#DIV/0!</v>
      </c>
      <c r="S37" s="3585"/>
      <c r="T37" s="3585"/>
      <c r="U37" s="3585"/>
      <c r="V37" s="3585"/>
      <c r="W37" s="358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09" t="s">
        <v>1775</v>
      </c>
      <c r="Q4" s="3510"/>
      <c r="R4" s="3496" t="s">
        <v>1771</v>
      </c>
      <c r="S4" s="3497"/>
      <c r="T4" s="3496" t="s">
        <v>1772</v>
      </c>
      <c r="U4" s="3497"/>
      <c r="V4" s="3479" t="s">
        <v>1773</v>
      </c>
      <c r="W4" s="3479"/>
      <c r="X4" s="1265"/>
      <c r="Y4" s="3496" t="s">
        <v>1775</v>
      </c>
      <c r="Z4" s="3497"/>
      <c r="AA4" s="3502" t="s">
        <v>1771</v>
      </c>
      <c r="AB4" s="3503" t="s">
        <v>1772</v>
      </c>
      <c r="AC4" s="3502" t="s">
        <v>1773</v>
      </c>
    </row>
    <row r="5" spans="1:29" ht="15">
      <c r="A5" s="348"/>
      <c r="B5" s="349"/>
      <c r="C5" s="3519" t="s">
        <v>1673</v>
      </c>
      <c r="D5" s="3516"/>
      <c r="E5" s="3517" t="s">
        <v>1674</v>
      </c>
      <c r="F5" s="3518"/>
      <c r="G5" s="3519" t="s">
        <v>1675</v>
      </c>
      <c r="H5" s="3516"/>
      <c r="I5" s="3519" t="s">
        <v>1676</v>
      </c>
      <c r="J5" s="3516"/>
      <c r="K5" s="537"/>
      <c r="L5" s="2487"/>
      <c r="M5" s="2488"/>
      <c r="N5" s="2488"/>
      <c r="O5" s="2488"/>
      <c r="P5" s="3511"/>
      <c r="Q5" s="3512"/>
      <c r="R5" s="3498"/>
      <c r="S5" s="3499"/>
      <c r="T5" s="3498"/>
      <c r="U5" s="3499"/>
      <c r="V5" s="3479"/>
      <c r="W5" s="3479"/>
      <c r="X5" s="1265"/>
      <c r="Y5" s="3498"/>
      <c r="Z5" s="3499"/>
      <c r="AA5" s="3503"/>
      <c r="AB5" s="3503"/>
      <c r="AC5" s="3503"/>
    </row>
    <row r="6" spans="1:29" ht="15.75" thickBot="1">
      <c r="A6" s="350"/>
      <c r="B6" s="351"/>
      <c r="C6" s="3520" t="s">
        <v>1677</v>
      </c>
      <c r="D6" s="3521"/>
      <c r="E6" s="3522" t="s">
        <v>1677</v>
      </c>
      <c r="F6" s="3523"/>
      <c r="G6" s="3520" t="s">
        <v>1677</v>
      </c>
      <c r="H6" s="3521"/>
      <c r="I6" s="3520" t="s">
        <v>1677</v>
      </c>
      <c r="J6" s="3521"/>
      <c r="K6" s="537" t="s">
        <v>1678</v>
      </c>
      <c r="L6" s="2487"/>
      <c r="M6" s="2488"/>
      <c r="N6" s="2488"/>
      <c r="O6" s="2488"/>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2" t="s">
        <v>1680</v>
      </c>
      <c r="Q7" s="3493"/>
      <c r="R7" s="664" t="s">
        <v>14</v>
      </c>
      <c r="S7" s="665">
        <f t="shared" ref="S7:S15" si="0">F7</f>
        <v>0</v>
      </c>
      <c r="T7" s="664" t="s">
        <v>14</v>
      </c>
      <c r="U7" s="665">
        <f t="shared" ref="U7:U15" si="1">H7</f>
        <v>0</v>
      </c>
      <c r="V7" s="664" t="s">
        <v>14</v>
      </c>
      <c r="W7" s="665">
        <f t="shared" ref="W7:W15" si="2">J7</f>
        <v>0</v>
      </c>
      <c r="X7" s="666"/>
      <c r="Y7" s="3492" t="s">
        <v>1680</v>
      </c>
      <c r="Z7" s="349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2" t="s">
        <v>1683</v>
      </c>
      <c r="Q8" s="3494"/>
      <c r="R8" s="664" t="s">
        <v>14</v>
      </c>
      <c r="S8" s="665">
        <f t="shared" si="0"/>
        <v>0</v>
      </c>
      <c r="T8" s="664" t="s">
        <v>14</v>
      </c>
      <c r="U8" s="665">
        <f t="shared" si="1"/>
        <v>0</v>
      </c>
      <c r="V8" s="664" t="s">
        <v>14</v>
      </c>
      <c r="W8" s="665">
        <f t="shared" si="2"/>
        <v>0</v>
      </c>
      <c r="X8" s="666"/>
      <c r="Y8" s="3492" t="s">
        <v>1683</v>
      </c>
      <c r="Z8" s="349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41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8"/>
      <c r="Q12" s="530" t="str">
        <f t="shared" si="6"/>
        <v>配建</v>
      </c>
      <c r="R12" s="664" t="s">
        <v>14</v>
      </c>
      <c r="S12" s="665">
        <f t="shared" si="0"/>
        <v>100</v>
      </c>
      <c r="T12" s="664" t="s">
        <v>14</v>
      </c>
      <c r="U12" s="665">
        <f t="shared" si="1"/>
        <v>100</v>
      </c>
      <c r="V12" s="664" t="s">
        <v>14</v>
      </c>
      <c r="W12" s="665">
        <f t="shared" si="2"/>
        <v>100</v>
      </c>
      <c r="X12" s="666"/>
      <c r="Y12" s="34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85" t="s">
        <v>1691</v>
      </c>
      <c r="Q15" s="1263" t="str">
        <f t="shared" si="6"/>
        <v>居住社区成熟度</v>
      </c>
      <c r="R15" s="667" t="s">
        <v>14</v>
      </c>
      <c r="S15" s="668">
        <f t="shared" si="0"/>
        <v>100</v>
      </c>
      <c r="T15" s="667" t="s">
        <v>14</v>
      </c>
      <c r="U15" s="668">
        <f t="shared" si="1"/>
        <v>100</v>
      </c>
      <c r="V15" s="667" t="s">
        <v>14</v>
      </c>
      <c r="W15" s="668">
        <f t="shared" si="2"/>
        <v>100</v>
      </c>
      <c r="X15" s="1265"/>
      <c r="Y15" s="34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86"/>
      <c r="Q17" s="1263" t="str">
        <f>B17</f>
        <v>商业繁华度</v>
      </c>
      <c r="R17" s="667" t="s">
        <v>14</v>
      </c>
      <c r="S17" s="668">
        <f>F17</f>
        <v>100</v>
      </c>
      <c r="T17" s="667" t="s">
        <v>14</v>
      </c>
      <c r="U17" s="668">
        <f>H17</f>
        <v>100</v>
      </c>
      <c r="V17" s="667" t="s">
        <v>14</v>
      </c>
      <c r="W17" s="668">
        <f>J17</f>
        <v>100</v>
      </c>
      <c r="X17" s="1265"/>
      <c r="Y17" s="34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86"/>
      <c r="Q19" s="1263" t="str">
        <f>B19</f>
        <v>办公集聚程度</v>
      </c>
      <c r="R19" s="667" t="s">
        <v>14</v>
      </c>
      <c r="S19" s="668">
        <f>F19</f>
        <v>100</v>
      </c>
      <c r="T19" s="667" t="s">
        <v>14</v>
      </c>
      <c r="U19" s="668">
        <f>H19</f>
        <v>100</v>
      </c>
      <c r="V19" s="667" t="s">
        <v>14</v>
      </c>
      <c r="W19" s="668">
        <f>J19</f>
        <v>100</v>
      </c>
      <c r="X19" s="1265"/>
      <c r="Y19" s="34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86"/>
      <c r="Q20" s="1263"/>
      <c r="R20" s="667"/>
      <c r="S20" s="668"/>
      <c r="T20" s="667"/>
      <c r="U20" s="668"/>
      <c r="V20" s="667"/>
      <c r="W20" s="668"/>
      <c r="X20" s="1265"/>
      <c r="Y20" s="348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86"/>
      <c r="Q21" s="1263" t="str">
        <f>B21</f>
        <v>交通便捷度</v>
      </c>
      <c r="R21" s="667" t="s">
        <v>14</v>
      </c>
      <c r="S21" s="668">
        <f>F21</f>
        <v>100</v>
      </c>
      <c r="T21" s="667" t="s">
        <v>14</v>
      </c>
      <c r="U21" s="668">
        <f>H21</f>
        <v>100</v>
      </c>
      <c r="V21" s="667" t="s">
        <v>14</v>
      </c>
      <c r="W21" s="668">
        <f>J21</f>
        <v>100</v>
      </c>
      <c r="X21" s="1265"/>
      <c r="Y21" s="34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86"/>
      <c r="Q23" s="1263" t="str">
        <f t="shared" ref="Q23:Q37" si="8">B23</f>
        <v>区域土地利用方向</v>
      </c>
      <c r="R23" s="667" t="s">
        <v>14</v>
      </c>
      <c r="S23" s="668">
        <f>F23</f>
        <v>100</v>
      </c>
      <c r="T23" s="667" t="s">
        <v>14</v>
      </c>
      <c r="U23" s="668">
        <f>H23</f>
        <v>100</v>
      </c>
      <c r="V23" s="667" t="s">
        <v>14</v>
      </c>
      <c r="W23" s="668">
        <f>J23</f>
        <v>100</v>
      </c>
      <c r="X23" s="1265"/>
      <c r="Y23" s="34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86"/>
      <c r="Q24" s="1263"/>
      <c r="R24" s="667"/>
      <c r="S24" s="668"/>
      <c r="T24" s="667"/>
      <c r="U24" s="668"/>
      <c r="V24" s="667"/>
      <c r="W24" s="668"/>
      <c r="X24" s="1265"/>
      <c r="Y24" s="348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86"/>
      <c r="Q25" s="1263" t="str">
        <f t="shared" si="8"/>
        <v>自然及人文环境状况</v>
      </c>
      <c r="R25" s="667" t="s">
        <v>14</v>
      </c>
      <c r="S25" s="668">
        <f>F25</f>
        <v>100</v>
      </c>
      <c r="T25" s="667" t="s">
        <v>14</v>
      </c>
      <c r="U25" s="668">
        <f>H25</f>
        <v>100</v>
      </c>
      <c r="V25" s="667" t="s">
        <v>14</v>
      </c>
      <c r="W25" s="668">
        <f>J25</f>
        <v>100</v>
      </c>
      <c r="X25" s="1265"/>
      <c r="Y25" s="34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86"/>
      <c r="Q26" s="1263"/>
      <c r="R26" s="667"/>
      <c r="S26" s="668"/>
      <c r="T26" s="667"/>
      <c r="U26" s="668"/>
      <c r="V26" s="667"/>
      <c r="W26" s="668"/>
      <c r="X26" s="1265"/>
      <c r="Y26" s="348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86"/>
      <c r="Q27" s="530" t="str">
        <f t="shared" si="8"/>
        <v>公共配套设施</v>
      </c>
      <c r="R27" s="664" t="s">
        <v>14</v>
      </c>
      <c r="S27" s="665">
        <f>F27</f>
        <v>100</v>
      </c>
      <c r="T27" s="664" t="s">
        <v>14</v>
      </c>
      <c r="U27" s="665">
        <f>H27</f>
        <v>100</v>
      </c>
      <c r="V27" s="664" t="s">
        <v>14</v>
      </c>
      <c r="W27" s="665">
        <f>J27</f>
        <v>100</v>
      </c>
      <c r="X27" s="666"/>
      <c r="Y27" s="34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86"/>
      <c r="Q28" s="530"/>
      <c r="R28" s="664"/>
      <c r="S28" s="665"/>
      <c r="T28" s="664"/>
      <c r="U28" s="665"/>
      <c r="V28" s="664"/>
      <c r="W28" s="665"/>
      <c r="X28" s="666"/>
      <c r="Y28" s="348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86"/>
      <c r="Q29" s="530" t="str">
        <f t="shared" ref="Q29" si="9">B29</f>
        <v>基础设施水平</v>
      </c>
      <c r="R29" s="664" t="s">
        <v>14</v>
      </c>
      <c r="S29" s="665">
        <f>F29</f>
        <v>100</v>
      </c>
      <c r="T29" s="664" t="s">
        <v>14</v>
      </c>
      <c r="U29" s="665">
        <f>H29</f>
        <v>100</v>
      </c>
      <c r="V29" s="664" t="s">
        <v>14</v>
      </c>
      <c r="W29" s="665">
        <f>J29</f>
        <v>100</v>
      </c>
      <c r="X29" s="666"/>
      <c r="Y29" s="34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86"/>
      <c r="Q30" s="530"/>
      <c r="R30" s="664"/>
      <c r="S30" s="665"/>
      <c r="T30" s="664"/>
      <c r="U30" s="665"/>
      <c r="V30" s="664"/>
      <c r="W30" s="665"/>
      <c r="X30" s="666"/>
      <c r="Y30" s="34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8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86"/>
      <c r="Q32" s="1263" t="str">
        <f t="shared" si="8"/>
        <v>毗邻道路的类型与等级</v>
      </c>
      <c r="R32" s="667" t="s">
        <v>14</v>
      </c>
      <c r="S32" s="668">
        <f t="shared" si="10"/>
        <v>100</v>
      </c>
      <c r="T32" s="667" t="s">
        <v>14</v>
      </c>
      <c r="U32" s="668">
        <f t="shared" si="11"/>
        <v>100</v>
      </c>
      <c r="V32" s="667" t="s">
        <v>14</v>
      </c>
      <c r="W32" s="668">
        <f t="shared" si="12"/>
        <v>100</v>
      </c>
      <c r="X32" s="1265"/>
      <c r="Y32" s="34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86"/>
      <c r="Q33" s="1263"/>
      <c r="R33" s="667"/>
      <c r="S33" s="668"/>
      <c r="T33" s="667"/>
      <c r="U33" s="668"/>
      <c r="V33" s="667"/>
      <c r="W33" s="668"/>
      <c r="X33" s="1265"/>
      <c r="Y33" s="34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86"/>
      <c r="Q34" s="1263" t="str">
        <f t="shared" si="8"/>
        <v>土地级别</v>
      </c>
      <c r="R34" s="667" t="s">
        <v>14</v>
      </c>
      <c r="S34" s="668">
        <f t="shared" si="10"/>
        <v>100</v>
      </c>
      <c r="T34" s="667" t="s">
        <v>14</v>
      </c>
      <c r="U34" s="668">
        <f t="shared" si="11"/>
        <v>100</v>
      </c>
      <c r="V34" s="667" t="s">
        <v>14</v>
      </c>
      <c r="W34" s="668">
        <f t="shared" si="12"/>
        <v>100</v>
      </c>
      <c r="X34" s="1265"/>
      <c r="Y34" s="34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86"/>
      <c r="Q35" s="1263">
        <f t="shared" si="8"/>
        <v>111</v>
      </c>
      <c r="R35" s="667" t="s">
        <v>14</v>
      </c>
      <c r="S35" s="668">
        <f t="shared" si="10"/>
        <v>100</v>
      </c>
      <c r="T35" s="667" t="s">
        <v>14</v>
      </c>
      <c r="U35" s="668">
        <f t="shared" si="11"/>
        <v>100</v>
      </c>
      <c r="V35" s="667" t="s">
        <v>14</v>
      </c>
      <c r="W35" s="668">
        <f t="shared" si="12"/>
        <v>100</v>
      </c>
      <c r="X35" s="1265"/>
      <c r="Y35" s="34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84" t="s">
        <v>1696</v>
      </c>
      <c r="Q36" s="1263">
        <f t="shared" si="8"/>
        <v>111</v>
      </c>
      <c r="R36" s="667" t="s">
        <v>14</v>
      </c>
      <c r="S36" s="668">
        <f t="shared" si="10"/>
        <v>100</v>
      </c>
      <c r="T36" s="667" t="s">
        <v>14</v>
      </c>
      <c r="U36" s="668">
        <f t="shared" si="11"/>
        <v>100</v>
      </c>
      <c r="V36" s="667" t="s">
        <v>14</v>
      </c>
      <c r="W36" s="668">
        <f t="shared" si="12"/>
        <v>100</v>
      </c>
      <c r="X36" s="1265"/>
      <c r="Y36" s="349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0"/>
      <c r="Q37" s="1263">
        <f t="shared" si="8"/>
        <v>111</v>
      </c>
      <c r="R37" s="669" t="s">
        <v>14</v>
      </c>
      <c r="S37" s="670">
        <f t="shared" si="10"/>
        <v>100</v>
      </c>
      <c r="T37" s="669" t="s">
        <v>14</v>
      </c>
      <c r="U37" s="670">
        <f t="shared" si="11"/>
        <v>100</v>
      </c>
      <c r="V37" s="669" t="s">
        <v>14</v>
      </c>
      <c r="W37" s="670">
        <f t="shared" si="12"/>
        <v>100</v>
      </c>
      <c r="X37" s="671"/>
      <c r="Y37" s="349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90"/>
      <c r="Q38" s="1263" t="str">
        <f>B38</f>
        <v>宗地面积</v>
      </c>
      <c r="R38" s="667" t="s">
        <v>14</v>
      </c>
      <c r="S38" s="668" t="e">
        <f t="shared" si="10"/>
        <v>#N/A</v>
      </c>
      <c r="T38" s="667" t="s">
        <v>14</v>
      </c>
      <c r="U38" s="668" t="e">
        <f t="shared" si="11"/>
        <v>#N/A</v>
      </c>
      <c r="V38" s="667" t="s">
        <v>14</v>
      </c>
      <c r="W38" s="668" t="e">
        <f t="shared" si="12"/>
        <v>#N/A</v>
      </c>
      <c r="X38" s="1265"/>
      <c r="Y38" s="34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0"/>
      <c r="Q39" s="1263" t="str">
        <f t="shared" ref="Q39:Q45" si="14">B39</f>
        <v>宗地形状</v>
      </c>
      <c r="R39" s="667" t="s">
        <v>14</v>
      </c>
      <c r="S39" s="668">
        <f t="shared" si="10"/>
        <v>100</v>
      </c>
      <c r="T39" s="667" t="s">
        <v>14</v>
      </c>
      <c r="U39" s="668">
        <f t="shared" si="11"/>
        <v>100</v>
      </c>
      <c r="V39" s="667" t="s">
        <v>14</v>
      </c>
      <c r="W39" s="668">
        <f t="shared" si="12"/>
        <v>100</v>
      </c>
      <c r="X39" s="1265"/>
      <c r="Y39" s="34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0"/>
      <c r="Q40" s="1263" t="str">
        <f t="shared" si="14"/>
        <v>临街宽度及深度</v>
      </c>
      <c r="R40" s="667" t="s">
        <v>14</v>
      </c>
      <c r="S40" s="668">
        <f t="shared" si="10"/>
        <v>100</v>
      </c>
      <c r="T40" s="667" t="s">
        <v>14</v>
      </c>
      <c r="U40" s="668">
        <f t="shared" si="11"/>
        <v>100</v>
      </c>
      <c r="V40" s="667" t="s">
        <v>14</v>
      </c>
      <c r="W40" s="668">
        <f t="shared" si="12"/>
        <v>100</v>
      </c>
      <c r="X40" s="1265"/>
      <c r="Y40" s="34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0"/>
      <c r="Q41" s="1263" t="str">
        <f t="shared" si="14"/>
        <v>宗地开发程度</v>
      </c>
      <c r="R41" s="664" t="s">
        <v>14</v>
      </c>
      <c r="S41" s="665">
        <f t="shared" si="10"/>
        <v>100</v>
      </c>
      <c r="T41" s="664" t="s">
        <v>14</v>
      </c>
      <c r="U41" s="665">
        <f t="shared" si="11"/>
        <v>100</v>
      </c>
      <c r="V41" s="664" t="s">
        <v>14</v>
      </c>
      <c r="W41" s="665">
        <f t="shared" si="12"/>
        <v>100</v>
      </c>
      <c r="X41" s="666"/>
      <c r="Y41" s="34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0" t="s">
        <v>1696</v>
      </c>
      <c r="Q42" s="1263" t="str">
        <f t="shared" si="14"/>
        <v>工程地质条件</v>
      </c>
      <c r="R42" s="667" t="s">
        <v>14</v>
      </c>
      <c r="S42" s="668">
        <f t="shared" si="10"/>
        <v>100</v>
      </c>
      <c r="T42" s="667" t="s">
        <v>14</v>
      </c>
      <c r="U42" s="668">
        <f t="shared" si="11"/>
        <v>100</v>
      </c>
      <c r="V42" s="667" t="s">
        <v>14</v>
      </c>
      <c r="W42" s="668">
        <f t="shared" si="12"/>
        <v>100</v>
      </c>
      <c r="X42" s="1265"/>
      <c r="Y42" s="34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0"/>
      <c r="Q43" s="1263">
        <f t="shared" si="14"/>
        <v>111</v>
      </c>
      <c r="R43" s="667" t="s">
        <v>14</v>
      </c>
      <c r="S43" s="668">
        <f t="shared" si="10"/>
        <v>100</v>
      </c>
      <c r="T43" s="667" t="s">
        <v>14</v>
      </c>
      <c r="U43" s="668">
        <f t="shared" si="11"/>
        <v>100</v>
      </c>
      <c r="V43" s="667" t="s">
        <v>14</v>
      </c>
      <c r="W43" s="668">
        <f t="shared" si="12"/>
        <v>100</v>
      </c>
      <c r="X43" s="1265"/>
      <c r="Y43" s="34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0"/>
      <c r="Q44" s="1263">
        <f t="shared" si="14"/>
        <v>111</v>
      </c>
      <c r="R44" s="667" t="s">
        <v>14</v>
      </c>
      <c r="S44" s="668">
        <f t="shared" si="10"/>
        <v>100</v>
      </c>
      <c r="T44" s="667" t="s">
        <v>14</v>
      </c>
      <c r="U44" s="668">
        <f t="shared" si="11"/>
        <v>100</v>
      </c>
      <c r="V44" s="667" t="s">
        <v>14</v>
      </c>
      <c r="W44" s="668">
        <f t="shared" si="12"/>
        <v>100</v>
      </c>
      <c r="X44" s="1265"/>
      <c r="Y44" s="349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0"/>
      <c r="Q45" s="1263">
        <f t="shared" si="14"/>
        <v>111</v>
      </c>
      <c r="R45" s="669" t="s">
        <v>14</v>
      </c>
      <c r="S45" s="670">
        <f t="shared" si="10"/>
        <v>100</v>
      </c>
      <c r="T45" s="669" t="s">
        <v>14</v>
      </c>
      <c r="U45" s="670">
        <f t="shared" si="11"/>
        <v>100</v>
      </c>
      <c r="V45" s="669" t="s">
        <v>14</v>
      </c>
      <c r="W45" s="670">
        <f t="shared" si="12"/>
        <v>100</v>
      </c>
      <c r="X45" s="671"/>
      <c r="Y45" s="349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78" t="str">
        <f>A46</f>
        <v>成交单价</v>
      </c>
      <c r="Q46" s="3478"/>
      <c r="R46" s="3479">
        <f>E46</f>
        <v>0</v>
      </c>
      <c r="S46" s="3479"/>
      <c r="T46" s="3479">
        <f>G46</f>
        <v>0</v>
      </c>
      <c r="U46" s="3479"/>
      <c r="V46" s="3479">
        <f>I46</f>
        <v>0</v>
      </c>
      <c r="W46" s="34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78" t="str">
        <f>A47</f>
        <v>比较价值（元/平方米）</v>
      </c>
      <c r="Q47" s="3478"/>
      <c r="R47" s="3586" t="e">
        <f>ROUND(PRODUCT(R46,AA7:AA45),0)</f>
        <v>#DIV/0!</v>
      </c>
      <c r="S47" s="3586"/>
      <c r="T47" s="3586" t="e">
        <f>ROUND(PRODUCT(T46,AB7:AB45),0)</f>
        <v>#DIV/0!</v>
      </c>
      <c r="U47" s="3586"/>
      <c r="V47" s="3586" t="e">
        <f>ROUND(PRODUCT(V46,AC7:AC45),0)</f>
        <v>#DIV/0!</v>
      </c>
      <c r="W47" s="358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80" t="str">
        <f>A48</f>
        <v>估价对象XX用房的比较价值（楼面单价，元/平方米）</v>
      </c>
      <c r="Q48" s="3481"/>
      <c r="R48" s="3587" t="e">
        <f>ROUND(IF(D47="简单平均",AVERAGE(R47:W47),R47*F47+T47*H47+V47*J47),0)</f>
        <v>#DIV/0!</v>
      </c>
      <c r="S48" s="3587"/>
      <c r="T48" s="3587"/>
      <c r="U48" s="3587"/>
      <c r="V48" s="3587"/>
      <c r="W48" s="358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5" t="s">
        <v>1887</v>
      </c>
      <c r="H55" s="358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579.38</v>
      </c>
      <c r="F56" s="833" t="e">
        <f t="shared" ref="F56:F64" si="15">ROUND(B56*E56/10000,0)</f>
        <v>#DIV/0!</v>
      </c>
      <c r="G56" s="3495"/>
      <c r="H56" s="34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579.38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5" t="s">
        <v>1770</v>
      </c>
      <c r="D4" s="3506"/>
      <c r="E4" s="3507" t="s">
        <v>1771</v>
      </c>
      <c r="F4" s="3508"/>
      <c r="G4" s="3505" t="s">
        <v>1772</v>
      </c>
      <c r="H4" s="3506"/>
      <c r="I4" s="3505" t="s">
        <v>1773</v>
      </c>
      <c r="J4" s="3506"/>
      <c r="K4" s="537" t="s">
        <v>1774</v>
      </c>
      <c r="L4" s="2487"/>
      <c r="M4" s="2488"/>
      <c r="N4" s="2488"/>
      <c r="O4" s="2488"/>
      <c r="P4" s="3509" t="s">
        <v>1775</v>
      </c>
      <c r="Q4" s="3510"/>
      <c r="R4" s="3496" t="s">
        <v>1771</v>
      </c>
      <c r="S4" s="3497"/>
      <c r="T4" s="3496" t="s">
        <v>1772</v>
      </c>
      <c r="U4" s="3497"/>
      <c r="V4" s="3479" t="s">
        <v>1773</v>
      </c>
      <c r="W4" s="3479"/>
      <c r="X4" s="1265"/>
      <c r="Y4" s="3496" t="s">
        <v>1775</v>
      </c>
      <c r="Z4" s="3497"/>
      <c r="AA4" s="3502" t="s">
        <v>1771</v>
      </c>
      <c r="AB4" s="3503" t="s">
        <v>1772</v>
      </c>
      <c r="AC4" s="3502" t="s">
        <v>1773</v>
      </c>
    </row>
    <row r="5" spans="1:29" ht="15">
      <c r="A5" s="348"/>
      <c r="B5" s="349"/>
      <c r="C5" s="3519" t="s">
        <v>1673</v>
      </c>
      <c r="D5" s="3516"/>
      <c r="E5" s="3517" t="s">
        <v>1674</v>
      </c>
      <c r="F5" s="3518"/>
      <c r="G5" s="3519" t="s">
        <v>1675</v>
      </c>
      <c r="H5" s="3516"/>
      <c r="I5" s="3519" t="s">
        <v>1676</v>
      </c>
      <c r="J5" s="3516"/>
      <c r="K5" s="537"/>
      <c r="L5" s="2487"/>
      <c r="M5" s="2488"/>
      <c r="N5" s="2488"/>
      <c r="O5" s="2488"/>
      <c r="P5" s="3511"/>
      <c r="Q5" s="3512"/>
      <c r="R5" s="3498"/>
      <c r="S5" s="3499"/>
      <c r="T5" s="3498"/>
      <c r="U5" s="3499"/>
      <c r="V5" s="3479"/>
      <c r="W5" s="3479"/>
      <c r="X5" s="1265"/>
      <c r="Y5" s="3498"/>
      <c r="Z5" s="3499"/>
      <c r="AA5" s="3503"/>
      <c r="AB5" s="3503"/>
      <c r="AC5" s="3503"/>
    </row>
    <row r="6" spans="1:29" ht="15.75" thickBot="1">
      <c r="A6" s="350"/>
      <c r="B6" s="351"/>
      <c r="C6" s="3589" t="s">
        <v>1919</v>
      </c>
      <c r="D6" s="3590"/>
      <c r="E6" s="3591" t="s">
        <v>1919</v>
      </c>
      <c r="F6" s="3592"/>
      <c r="G6" s="3589" t="s">
        <v>1919</v>
      </c>
      <c r="H6" s="3590"/>
      <c r="I6" s="3589" t="s">
        <v>1919</v>
      </c>
      <c r="J6" s="3590"/>
      <c r="K6" s="537" t="s">
        <v>1678</v>
      </c>
      <c r="L6" s="2487"/>
      <c r="M6" s="2488"/>
      <c r="N6" s="2488"/>
      <c r="O6" s="2488"/>
      <c r="P6" s="3513"/>
      <c r="Q6" s="3514"/>
      <c r="R6" s="3498"/>
      <c r="S6" s="3499"/>
      <c r="T6" s="3500"/>
      <c r="U6" s="3501"/>
      <c r="V6" s="3479"/>
      <c r="W6" s="3479"/>
      <c r="X6" s="1265"/>
      <c r="Y6" s="3500"/>
      <c r="Z6" s="3501"/>
      <c r="AA6" s="3504"/>
      <c r="AB6" s="3504"/>
      <c r="AC6" s="3504"/>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2" t="s">
        <v>1680</v>
      </c>
      <c r="Q7" s="3493"/>
      <c r="R7" s="664" t="s">
        <v>14</v>
      </c>
      <c r="S7" s="665">
        <f t="shared" ref="S7:S15" si="0">F7</f>
        <v>0</v>
      </c>
      <c r="T7" s="664" t="s">
        <v>14</v>
      </c>
      <c r="U7" s="665">
        <f t="shared" ref="U7:U15" si="1">H7</f>
        <v>0</v>
      </c>
      <c r="V7" s="664" t="s">
        <v>14</v>
      </c>
      <c r="W7" s="665">
        <f t="shared" ref="W7:W15" si="2">J7</f>
        <v>0</v>
      </c>
      <c r="X7" s="666"/>
      <c r="Y7" s="3492" t="s">
        <v>1680</v>
      </c>
      <c r="Z7" s="34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2" t="s">
        <v>1683</v>
      </c>
      <c r="Q8" s="3494"/>
      <c r="R8" s="664" t="s">
        <v>14</v>
      </c>
      <c r="S8" s="665">
        <f t="shared" si="0"/>
        <v>0</v>
      </c>
      <c r="T8" s="664" t="s">
        <v>14</v>
      </c>
      <c r="U8" s="665">
        <f t="shared" si="1"/>
        <v>0</v>
      </c>
      <c r="V8" s="664" t="s">
        <v>14</v>
      </c>
      <c r="W8" s="665">
        <f t="shared" si="2"/>
        <v>0</v>
      </c>
      <c r="X8" s="666"/>
      <c r="Y8" s="3492" t="s">
        <v>1683</v>
      </c>
      <c r="Z8" s="349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41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85" t="s">
        <v>1691</v>
      </c>
      <c r="Q15" s="1263" t="str">
        <f t="shared" si="6"/>
        <v>产业集聚程度</v>
      </c>
      <c r="R15" s="667" t="s">
        <v>14</v>
      </c>
      <c r="S15" s="668">
        <f t="shared" si="0"/>
        <v>100</v>
      </c>
      <c r="T15" s="667" t="s">
        <v>14</v>
      </c>
      <c r="U15" s="668">
        <f t="shared" si="1"/>
        <v>100</v>
      </c>
      <c r="V15" s="667" t="s">
        <v>14</v>
      </c>
      <c r="W15" s="668">
        <f t="shared" si="2"/>
        <v>100</v>
      </c>
      <c r="X15" s="1265"/>
      <c r="Y15" s="34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86"/>
      <c r="Q16" s="1263"/>
      <c r="R16" s="667"/>
      <c r="S16" s="668"/>
      <c r="T16" s="667"/>
      <c r="U16" s="668"/>
      <c r="V16" s="667"/>
      <c r="W16" s="668"/>
      <c r="X16" s="1265"/>
      <c r="Y16" s="348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86"/>
      <c r="Q17" s="1263" t="str">
        <f>B17</f>
        <v>交通便捷度</v>
      </c>
      <c r="R17" s="667" t="s">
        <v>14</v>
      </c>
      <c r="S17" s="668">
        <f>F17</f>
        <v>100</v>
      </c>
      <c r="T17" s="667" t="s">
        <v>14</v>
      </c>
      <c r="U17" s="668">
        <f>H17</f>
        <v>100</v>
      </c>
      <c r="V17" s="667" t="s">
        <v>14</v>
      </c>
      <c r="W17" s="668">
        <f>J17</f>
        <v>100</v>
      </c>
      <c r="X17" s="1265"/>
      <c r="Y17" s="34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86"/>
      <c r="Q18" s="1263"/>
      <c r="R18" s="667"/>
      <c r="S18" s="668"/>
      <c r="T18" s="667"/>
      <c r="U18" s="668"/>
      <c r="V18" s="667"/>
      <c r="W18" s="668"/>
      <c r="X18" s="1265"/>
      <c r="Y18" s="348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86"/>
      <c r="Q19" s="1263" t="str">
        <f t="shared" ref="Q19:Q33" si="8">B19</f>
        <v>区域土地利用方向</v>
      </c>
      <c r="R19" s="667" t="s">
        <v>14</v>
      </c>
      <c r="S19" s="668">
        <f>F19</f>
        <v>100</v>
      </c>
      <c r="T19" s="667" t="s">
        <v>14</v>
      </c>
      <c r="U19" s="668">
        <f>H19</f>
        <v>100</v>
      </c>
      <c r="V19" s="667" t="s">
        <v>14</v>
      </c>
      <c r="W19" s="668">
        <f>J19</f>
        <v>100</v>
      </c>
      <c r="X19" s="1265"/>
      <c r="Y19" s="34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86"/>
      <c r="Q20" s="1263"/>
      <c r="R20" s="667"/>
      <c r="S20" s="668"/>
      <c r="T20" s="667"/>
      <c r="U20" s="668"/>
      <c r="V20" s="667"/>
      <c r="W20" s="668"/>
      <c r="X20" s="1265"/>
      <c r="Y20" s="348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86"/>
      <c r="Q21" s="1263" t="str">
        <f t="shared" si="8"/>
        <v>环境状况</v>
      </c>
      <c r="R21" s="667" t="s">
        <v>14</v>
      </c>
      <c r="S21" s="668">
        <f>F21</f>
        <v>100</v>
      </c>
      <c r="T21" s="667" t="s">
        <v>14</v>
      </c>
      <c r="U21" s="668">
        <f>H21</f>
        <v>100</v>
      </c>
      <c r="V21" s="667" t="s">
        <v>14</v>
      </c>
      <c r="W21" s="668">
        <f>J21</f>
        <v>100</v>
      </c>
      <c r="X21" s="1265"/>
      <c r="Y21" s="34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86"/>
      <c r="Q22" s="1263"/>
      <c r="R22" s="667"/>
      <c r="S22" s="668"/>
      <c r="T22" s="667"/>
      <c r="U22" s="668"/>
      <c r="V22" s="667"/>
      <c r="W22" s="668"/>
      <c r="X22" s="1265"/>
      <c r="Y22" s="348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86"/>
      <c r="Q23" s="530" t="str">
        <f t="shared" si="8"/>
        <v>公共配套设施</v>
      </c>
      <c r="R23" s="664" t="s">
        <v>14</v>
      </c>
      <c r="S23" s="665">
        <f>F23</f>
        <v>100</v>
      </c>
      <c r="T23" s="664" t="s">
        <v>14</v>
      </c>
      <c r="U23" s="665">
        <f>H23</f>
        <v>100</v>
      </c>
      <c r="V23" s="664" t="s">
        <v>14</v>
      </c>
      <c r="W23" s="665">
        <f>J23</f>
        <v>100</v>
      </c>
      <c r="X23" s="666"/>
      <c r="Y23" s="34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86"/>
      <c r="Q24" s="530"/>
      <c r="R24" s="664"/>
      <c r="S24" s="665"/>
      <c r="T24" s="664"/>
      <c r="U24" s="665"/>
      <c r="V24" s="664"/>
      <c r="W24" s="665"/>
      <c r="X24" s="666"/>
      <c r="Y24" s="348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86"/>
      <c r="Q25" s="530" t="str">
        <f t="shared" ref="Q25" si="9">B25</f>
        <v>基础设施水平</v>
      </c>
      <c r="R25" s="664" t="s">
        <v>14</v>
      </c>
      <c r="S25" s="665">
        <f>F25</f>
        <v>100</v>
      </c>
      <c r="T25" s="664" t="s">
        <v>14</v>
      </c>
      <c r="U25" s="665">
        <f>H25</f>
        <v>100</v>
      </c>
      <c r="V25" s="664" t="s">
        <v>14</v>
      </c>
      <c r="W25" s="665">
        <f>J25</f>
        <v>100</v>
      </c>
      <c r="X25" s="666"/>
      <c r="Y25" s="34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86"/>
      <c r="Q26" s="530"/>
      <c r="R26" s="664"/>
      <c r="S26" s="665"/>
      <c r="T26" s="664"/>
      <c r="U26" s="665"/>
      <c r="V26" s="664"/>
      <c r="W26" s="665"/>
      <c r="X26" s="666"/>
      <c r="Y26" s="34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8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86"/>
      <c r="Q28" s="1263" t="str">
        <f t="shared" si="8"/>
        <v>毗邻道路的类型与等级</v>
      </c>
      <c r="R28" s="667" t="s">
        <v>14</v>
      </c>
      <c r="S28" s="668">
        <f t="shared" si="10"/>
        <v>100</v>
      </c>
      <c r="T28" s="667" t="s">
        <v>14</v>
      </c>
      <c r="U28" s="668">
        <f t="shared" si="11"/>
        <v>100</v>
      </c>
      <c r="V28" s="667" t="s">
        <v>14</v>
      </c>
      <c r="W28" s="668">
        <f t="shared" si="12"/>
        <v>100</v>
      </c>
      <c r="X28" s="1265"/>
      <c r="Y28" s="34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86"/>
      <c r="Q29" s="1263"/>
      <c r="R29" s="667"/>
      <c r="S29" s="668"/>
      <c r="T29" s="667"/>
      <c r="U29" s="668"/>
      <c r="V29" s="667"/>
      <c r="W29" s="668"/>
      <c r="X29" s="1265"/>
      <c r="Y29" s="34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86"/>
      <c r="Q30" s="1263" t="str">
        <f t="shared" si="8"/>
        <v>土地级别</v>
      </c>
      <c r="R30" s="667" t="s">
        <v>14</v>
      </c>
      <c r="S30" s="668">
        <f t="shared" si="10"/>
        <v>100</v>
      </c>
      <c r="T30" s="667" t="s">
        <v>14</v>
      </c>
      <c r="U30" s="668">
        <f t="shared" si="11"/>
        <v>100</v>
      </c>
      <c r="V30" s="667" t="s">
        <v>14</v>
      </c>
      <c r="W30" s="668">
        <f t="shared" si="12"/>
        <v>100</v>
      </c>
      <c r="X30" s="1265"/>
      <c r="Y30" s="34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86"/>
      <c r="Q31" s="1263">
        <f t="shared" si="8"/>
        <v>111</v>
      </c>
      <c r="R31" s="667" t="s">
        <v>14</v>
      </c>
      <c r="S31" s="668">
        <f t="shared" si="10"/>
        <v>100</v>
      </c>
      <c r="T31" s="667" t="s">
        <v>14</v>
      </c>
      <c r="U31" s="668">
        <f t="shared" si="11"/>
        <v>100</v>
      </c>
      <c r="V31" s="667" t="s">
        <v>14</v>
      </c>
      <c r="W31" s="668">
        <f t="shared" si="12"/>
        <v>100</v>
      </c>
      <c r="X31" s="1265"/>
      <c r="Y31" s="34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84" t="s">
        <v>1696</v>
      </c>
      <c r="Q32" s="1263">
        <f t="shared" si="8"/>
        <v>111</v>
      </c>
      <c r="R32" s="667" t="s">
        <v>14</v>
      </c>
      <c r="S32" s="668">
        <f t="shared" si="10"/>
        <v>100</v>
      </c>
      <c r="T32" s="667" t="s">
        <v>14</v>
      </c>
      <c r="U32" s="668">
        <f t="shared" si="11"/>
        <v>100</v>
      </c>
      <c r="V32" s="667" t="s">
        <v>14</v>
      </c>
      <c r="W32" s="668">
        <f t="shared" si="12"/>
        <v>100</v>
      </c>
      <c r="X32" s="1265"/>
      <c r="Y32" s="34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0"/>
      <c r="Q33" s="1263">
        <f t="shared" si="8"/>
        <v>111</v>
      </c>
      <c r="R33" s="669" t="s">
        <v>14</v>
      </c>
      <c r="S33" s="670">
        <f t="shared" si="10"/>
        <v>100</v>
      </c>
      <c r="T33" s="669" t="s">
        <v>14</v>
      </c>
      <c r="U33" s="670">
        <f t="shared" si="11"/>
        <v>100</v>
      </c>
      <c r="V33" s="669" t="s">
        <v>14</v>
      </c>
      <c r="W33" s="670">
        <f t="shared" si="12"/>
        <v>100</v>
      </c>
      <c r="X33" s="671"/>
      <c r="Y33" s="34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0"/>
      <c r="Q34" s="1263" t="str">
        <f>B34</f>
        <v>宗地面积</v>
      </c>
      <c r="R34" s="667" t="s">
        <v>14</v>
      </c>
      <c r="S34" s="668" t="e">
        <f t="shared" si="10"/>
        <v>#N/A</v>
      </c>
      <c r="T34" s="667" t="s">
        <v>14</v>
      </c>
      <c r="U34" s="668" t="e">
        <f t="shared" si="11"/>
        <v>#N/A</v>
      </c>
      <c r="V34" s="667" t="s">
        <v>14</v>
      </c>
      <c r="W34" s="668" t="e">
        <f t="shared" si="12"/>
        <v>#N/A</v>
      </c>
      <c r="X34" s="1265"/>
      <c r="Y34" s="34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0"/>
      <c r="Q35" s="1263" t="str">
        <f t="shared" ref="Q35:Q40" si="14">B35</f>
        <v>宗地形状</v>
      </c>
      <c r="R35" s="667" t="s">
        <v>14</v>
      </c>
      <c r="S35" s="668">
        <f t="shared" si="10"/>
        <v>100</v>
      </c>
      <c r="T35" s="667" t="s">
        <v>14</v>
      </c>
      <c r="U35" s="668">
        <f t="shared" si="11"/>
        <v>100</v>
      </c>
      <c r="V35" s="667" t="s">
        <v>14</v>
      </c>
      <c r="W35" s="668">
        <f t="shared" si="12"/>
        <v>100</v>
      </c>
      <c r="X35" s="1265"/>
      <c r="Y35" s="34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0"/>
      <c r="Q36" s="1263" t="str">
        <f t="shared" si="14"/>
        <v>宗地开发程度</v>
      </c>
      <c r="R36" s="664" t="s">
        <v>14</v>
      </c>
      <c r="S36" s="665">
        <f t="shared" si="10"/>
        <v>100</v>
      </c>
      <c r="T36" s="664" t="s">
        <v>14</v>
      </c>
      <c r="U36" s="665">
        <f t="shared" si="11"/>
        <v>100</v>
      </c>
      <c r="V36" s="664" t="s">
        <v>14</v>
      </c>
      <c r="W36" s="665">
        <f t="shared" si="12"/>
        <v>100</v>
      </c>
      <c r="X36" s="666"/>
      <c r="Y36" s="34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0" t="s">
        <v>1696</v>
      </c>
      <c r="Q37" s="1263" t="str">
        <f t="shared" si="14"/>
        <v>工程地质条件</v>
      </c>
      <c r="R37" s="667" t="s">
        <v>14</v>
      </c>
      <c r="S37" s="668">
        <f t="shared" si="10"/>
        <v>100</v>
      </c>
      <c r="T37" s="667" t="s">
        <v>14</v>
      </c>
      <c r="U37" s="668">
        <f t="shared" si="11"/>
        <v>100</v>
      </c>
      <c r="V37" s="667" t="s">
        <v>14</v>
      </c>
      <c r="W37" s="668">
        <f t="shared" si="12"/>
        <v>100</v>
      </c>
      <c r="X37" s="1265"/>
      <c r="Y37" s="34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0"/>
      <c r="Q38" s="1263">
        <f t="shared" si="14"/>
        <v>111</v>
      </c>
      <c r="R38" s="667" t="s">
        <v>14</v>
      </c>
      <c r="S38" s="668">
        <f t="shared" si="10"/>
        <v>100</v>
      </c>
      <c r="T38" s="667" t="s">
        <v>14</v>
      </c>
      <c r="U38" s="668">
        <f t="shared" si="11"/>
        <v>100</v>
      </c>
      <c r="V38" s="667" t="s">
        <v>14</v>
      </c>
      <c r="W38" s="668">
        <f t="shared" si="12"/>
        <v>100</v>
      </c>
      <c r="X38" s="1265"/>
      <c r="Y38" s="34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0"/>
      <c r="Q39" s="1263">
        <f t="shared" si="14"/>
        <v>111</v>
      </c>
      <c r="R39" s="667" t="s">
        <v>14</v>
      </c>
      <c r="S39" s="668">
        <f t="shared" si="10"/>
        <v>100</v>
      </c>
      <c r="T39" s="667" t="s">
        <v>14</v>
      </c>
      <c r="U39" s="668">
        <f t="shared" si="11"/>
        <v>100</v>
      </c>
      <c r="V39" s="667" t="s">
        <v>14</v>
      </c>
      <c r="W39" s="668">
        <f t="shared" si="12"/>
        <v>100</v>
      </c>
      <c r="X39" s="1265"/>
      <c r="Y39" s="34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0"/>
      <c r="Q40" s="1263">
        <f t="shared" si="14"/>
        <v>111</v>
      </c>
      <c r="R40" s="669" t="s">
        <v>14</v>
      </c>
      <c r="S40" s="670">
        <f t="shared" si="10"/>
        <v>100</v>
      </c>
      <c r="T40" s="669" t="s">
        <v>14</v>
      </c>
      <c r="U40" s="670">
        <f t="shared" si="11"/>
        <v>100</v>
      </c>
      <c r="V40" s="669" t="s">
        <v>14</v>
      </c>
      <c r="W40" s="670">
        <f t="shared" si="12"/>
        <v>100</v>
      </c>
      <c r="X40" s="671"/>
      <c r="Y40" s="34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78" t="str">
        <f>A41</f>
        <v>成交单价</v>
      </c>
      <c r="Q41" s="3478"/>
      <c r="R41" s="3479">
        <f>E41</f>
        <v>0</v>
      </c>
      <c r="S41" s="3479"/>
      <c r="T41" s="3479">
        <f>G41</f>
        <v>0</v>
      </c>
      <c r="U41" s="3479"/>
      <c r="V41" s="3479">
        <f>I41</f>
        <v>0</v>
      </c>
      <c r="W41" s="34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78" t="str">
        <f>A42</f>
        <v>比较价值（元/平方米）</v>
      </c>
      <c r="Q42" s="3478"/>
      <c r="R42" s="3586" t="e">
        <f>ROUND(PRODUCT(R41,AA7:AA40),0)</f>
        <v>#DIV/0!</v>
      </c>
      <c r="S42" s="3586"/>
      <c r="T42" s="3586" t="e">
        <f>ROUND(PRODUCT(T41,AB7:AB40),0)</f>
        <v>#DIV/0!</v>
      </c>
      <c r="U42" s="3586"/>
      <c r="V42" s="3586" t="e">
        <f>ROUND(PRODUCT(V41,AC7:AC40),0)</f>
        <v>#DIV/0!</v>
      </c>
      <c r="W42" s="358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80" t="str">
        <f>A43</f>
        <v>估价对象XX用房的比较价值（楼面单价，元/平方米）</v>
      </c>
      <c r="Q43" s="3481"/>
      <c r="R43" s="3587" t="e">
        <f>ROUND(IF(D42="简单平均",AVERAGE(R42:W42),R42*F42+T42*H42+V42*J42),0)</f>
        <v>#DIV/0!</v>
      </c>
      <c r="S43" s="3587"/>
      <c r="T43" s="3587"/>
      <c r="U43" s="3587"/>
      <c r="V43" s="3587"/>
      <c r="W43" s="358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5" t="s">
        <v>1887</v>
      </c>
      <c r="H50" s="358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579.38</v>
      </c>
      <c r="F51" s="611" t="e">
        <f t="shared" ref="F51:F60" si="15">ROUND(B51*E51/10000,0)</f>
        <v>#DIV/0!</v>
      </c>
      <c r="G51" s="3495"/>
      <c r="H51" s="34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41.13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6" t="s">
        <v>2084</v>
      </c>
      <c r="D1" s="3597"/>
      <c r="E1" s="3597"/>
      <c r="F1" s="3597"/>
      <c r="G1" s="3597"/>
      <c r="H1" s="3597"/>
      <c r="I1" s="3597"/>
      <c r="J1" s="3597"/>
      <c r="K1" s="3597"/>
      <c r="L1" s="3597"/>
      <c r="M1" s="3597"/>
      <c r="N1" s="3597"/>
      <c r="O1" s="3597"/>
      <c r="P1" s="3597"/>
      <c r="Q1" s="3597"/>
      <c r="R1" s="3597"/>
      <c r="S1" s="359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3" t="s">
        <v>27</v>
      </c>
      <c r="D22" s="3594"/>
      <c r="E22" s="3594"/>
      <c r="F22" s="3594"/>
      <c r="G22" s="3594"/>
      <c r="H22" s="3594"/>
      <c r="I22" s="3594"/>
      <c r="J22" s="3594"/>
      <c r="K22" s="3594"/>
      <c r="L22" s="3594"/>
      <c r="M22" s="3594"/>
      <c r="N22" s="3594"/>
      <c r="O22" s="3594"/>
      <c r="P22" s="3594"/>
      <c r="Q22" s="35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估价结果一览表（市场价值不需“结果表-1”）</v>
      </c>
      <c r="B3" s="3258"/>
      <c r="C3" s="3258"/>
      <c r="D3" s="3258"/>
      <c r="E3" s="3258"/>
    </row>
    <row r="4" spans="1:5" ht="19.5" thickBot="1">
      <c r="A4" s="1391"/>
      <c r="B4" s="3256" t="s">
        <v>917</v>
      </c>
      <c r="C4" s="3256"/>
      <c r="D4" s="3256"/>
      <c r="E4" s="1391"/>
    </row>
    <row r="5" spans="1:5" ht="16.5" thickTop="1">
      <c r="B5" s="3254" t="s">
        <v>909</v>
      </c>
      <c r="C5" s="1392" t="s">
        <v>910</v>
      </c>
      <c r="D5" s="797" t="e">
        <f ca="1">结果表!H101</f>
        <v>#REF!</v>
      </c>
    </row>
    <row r="6" spans="1:5" ht="15.75">
      <c r="B6" s="3254"/>
      <c r="C6" s="1392" t="s">
        <v>911</v>
      </c>
      <c r="D6" s="797" t="e">
        <f ca="1">NUMBERSTRING(INT(D5*10000),2)&amp;"元整"</f>
        <v>#REF!</v>
      </c>
    </row>
    <row r="7" spans="1:5" ht="15.75">
      <c r="B7" s="3259"/>
      <c r="C7" s="1393" t="s">
        <v>912</v>
      </c>
      <c r="D7" s="798" t="e">
        <f ca="1">结果表!H102</f>
        <v>#REF!</v>
      </c>
    </row>
    <row r="8" spans="1:5" ht="15.75">
      <c r="B8" s="3260" t="str">
        <f>结果表!E103</f>
        <v>2.估价师知悉的法定优先受偿款</v>
      </c>
      <c r="C8" s="1394" t="s">
        <v>913</v>
      </c>
      <c r="D8" s="798">
        <f>结果表!H103</f>
        <v>0</v>
      </c>
    </row>
    <row r="9" spans="1:5" ht="15.75">
      <c r="B9" s="32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3" t="str">
        <f>结果表!E107</f>
        <v>3.房地产抵押价值</v>
      </c>
      <c r="C13" s="1397" t="s">
        <v>910</v>
      </c>
      <c r="D13" s="800" t="e">
        <f ca="1">结果表!H107</f>
        <v>#REF!</v>
      </c>
    </row>
    <row r="14" spans="1:5" ht="15.75">
      <c r="B14" s="3254"/>
      <c r="C14" s="1392" t="s">
        <v>911</v>
      </c>
      <c r="D14" s="797" t="e">
        <f ca="1">NUMBERSTRING(INT(D13*10000),2)&amp;"元整"</f>
        <v>#REF!</v>
      </c>
    </row>
    <row r="15" spans="1:5" ht="15">
      <c r="B15" s="3259"/>
      <c r="C15" s="1393" t="s">
        <v>921</v>
      </c>
      <c r="D15" s="806" t="e">
        <f ca="1">结果表!H108</f>
        <v>#REF!</v>
      </c>
    </row>
    <row r="16" spans="1:5" ht="15">
      <c r="B16" s="3260" t="str">
        <f>结果表!E109</f>
        <v>——</v>
      </c>
      <c r="C16" s="1397" t="s">
        <v>922</v>
      </c>
      <c r="D16" s="1398" t="str">
        <f>结果表!H109</f>
        <v>——</v>
      </c>
    </row>
    <row r="17" spans="1:5" ht="15.75">
      <c r="B17" s="3261"/>
      <c r="C17" s="1392" t="s">
        <v>923</v>
      </c>
      <c r="D17" s="797" t="e">
        <f>NUMBERSTRING(INT(D16*10000),2)&amp;"元整"</f>
        <v>#VALUE!</v>
      </c>
    </row>
    <row r="18" spans="1:5" ht="15">
      <c r="B18" s="3262"/>
      <c r="C18" s="1393" t="s">
        <v>912</v>
      </c>
      <c r="D18" s="806" t="str">
        <f>结果表!H110</f>
        <v>——</v>
      </c>
    </row>
    <row r="19" spans="1:5" ht="15.75">
      <c r="B19" s="3253" t="str">
        <f>结果表!E111</f>
        <v>——</v>
      </c>
      <c r="C19" s="1397" t="s">
        <v>910</v>
      </c>
      <c r="D19" s="798" t="str">
        <f>结果表!H111</f>
        <v>——</v>
      </c>
    </row>
    <row r="20" spans="1:5" ht="15.75">
      <c r="B20" s="3254"/>
      <c r="C20" s="1392" t="s">
        <v>923</v>
      </c>
      <c r="D20" s="797" t="e">
        <f>NUMBERSTRING(INT(D19*10000),2)&amp;"元整"</f>
        <v>#VALUE!</v>
      </c>
    </row>
    <row r="21" spans="1:5" ht="15.75" thickBot="1">
      <c r="B21" s="32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1598</v>
      </c>
      <c r="C2" s="1984" t="s">
        <v>2074</v>
      </c>
      <c r="D2" s="1984" t="s">
        <v>2075</v>
      </c>
      <c r="E2" s="2398">
        <f ca="1">SUMIF(E6:E13,"&lt;&gt;#ref!",E6:E13)</f>
        <v>579.38</v>
      </c>
      <c r="F2" s="2545"/>
      <c r="G2" s="2545"/>
      <c r="H2" s="2545"/>
      <c r="I2" s="2545"/>
      <c r="J2" s="2545"/>
      <c r="K2" s="2545"/>
      <c r="L2" s="2545"/>
      <c r="M2" s="2545"/>
      <c r="N2" s="2545"/>
      <c r="O2" s="2545"/>
      <c r="P2" s="2545"/>
    </row>
    <row r="3" spans="1:16" ht="15.75">
      <c r="A3" s="1984" t="s">
        <v>2076</v>
      </c>
      <c r="B3" s="2388">
        <f ca="1">ROUND(B2*10000/E2,0)</f>
        <v>27581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1598</v>
      </c>
      <c r="C6" s="1984" t="s">
        <v>2074</v>
      </c>
      <c r="D6" s="2545"/>
      <c r="E6" s="2398">
        <f ca="1">SUMIF(INDIRECT("'"&amp;A6&amp;"'"&amp;"!C:C"),"建筑面积",INDIRECT("'"&amp;A6&amp;"'"&amp;"!D:D"))</f>
        <v>579.38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06" t="s">
        <v>2607</v>
      </c>
      <c r="B20" s="3599" t="s">
        <v>2628</v>
      </c>
      <c r="C20" s="2843" t="s">
        <v>2439</v>
      </c>
      <c r="D20" s="2844"/>
      <c r="E20" s="2845">
        <v>1</v>
      </c>
      <c r="F20" s="2846" t="s">
        <v>2440</v>
      </c>
      <c r="G20" s="2846"/>
    </row>
    <row r="21" spans="1:13" ht="19.5" customHeight="1">
      <c r="A21" s="3607"/>
      <c r="B21" s="3600"/>
      <c r="C21" s="2847" t="s">
        <v>2441</v>
      </c>
      <c r="D21" s="2848"/>
      <c r="E21" s="2849">
        <v>1</v>
      </c>
      <c r="F21" s="2846" t="s">
        <v>2442</v>
      </c>
      <c r="G21" s="2846"/>
    </row>
    <row r="22" spans="1:13" ht="19.5" customHeight="1">
      <c r="A22" s="3607"/>
      <c r="B22" s="3600"/>
      <c r="C22" s="2847" t="s">
        <v>2443</v>
      </c>
      <c r="D22" s="2848"/>
      <c r="E22" s="2849">
        <v>0.9</v>
      </c>
      <c r="F22" s="2846" t="s">
        <v>2444</v>
      </c>
      <c r="G22" s="2846"/>
    </row>
    <row r="23" spans="1:13" ht="19.5" customHeight="1">
      <c r="A23" s="3607"/>
      <c r="B23" s="3600"/>
      <c r="C23" s="2847" t="s">
        <v>2445</v>
      </c>
      <c r="D23" s="2848"/>
      <c r="E23" s="2849">
        <v>0.9</v>
      </c>
      <c r="F23" s="2846" t="s">
        <v>2446</v>
      </c>
      <c r="G23" s="2846"/>
    </row>
    <row r="24" spans="1:13" ht="19.5" customHeight="1">
      <c r="A24" s="3607"/>
      <c r="B24" s="3600"/>
      <c r="C24" s="2847" t="s">
        <v>2447</v>
      </c>
      <c r="D24" s="2848"/>
      <c r="E24" s="2849">
        <v>0.8</v>
      </c>
      <c r="F24" s="2846" t="s">
        <v>2448</v>
      </c>
      <c r="G24" s="2846"/>
    </row>
    <row r="25" spans="1:13" ht="19.5" customHeight="1" thickBot="1">
      <c r="A25" s="3608"/>
      <c r="B25" s="3601"/>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602" t="s">
        <v>2631</v>
      </c>
      <c r="B27" s="3599" t="s">
        <v>2612</v>
      </c>
      <c r="C27" s="2843" t="s">
        <v>2452</v>
      </c>
      <c r="D27" s="2844"/>
      <c r="E27" s="2845">
        <v>1</v>
      </c>
      <c r="F27" s="2846" t="s">
        <v>2453</v>
      </c>
      <c r="G27" s="2846"/>
    </row>
    <row r="28" spans="1:13" ht="19.5" customHeight="1">
      <c r="A28" s="3603"/>
      <c r="B28" s="3600"/>
      <c r="C28" s="2847" t="s">
        <v>2454</v>
      </c>
      <c r="D28" s="2848"/>
      <c r="E28" s="2849">
        <v>1</v>
      </c>
      <c r="F28" s="2846" t="s">
        <v>2455</v>
      </c>
      <c r="G28" s="2846"/>
    </row>
    <row r="29" spans="1:13" ht="19.5" customHeight="1">
      <c r="A29" s="3603"/>
      <c r="B29" s="3600"/>
      <c r="C29" s="2847" t="s">
        <v>2456</v>
      </c>
      <c r="D29" s="2848"/>
      <c r="E29" s="2849">
        <v>0.8</v>
      </c>
      <c r="F29" s="2846" t="s">
        <v>2457</v>
      </c>
      <c r="G29" s="2846"/>
    </row>
    <row r="30" spans="1:13" ht="19.5" customHeight="1">
      <c r="A30" s="3603"/>
      <c r="B30" s="3600"/>
      <c r="C30" s="2847" t="s">
        <v>2458</v>
      </c>
      <c r="D30" s="2848"/>
      <c r="E30" s="2849">
        <v>0.8</v>
      </c>
      <c r="F30" s="2846" t="s">
        <v>2459</v>
      </c>
      <c r="G30" s="2846"/>
    </row>
    <row r="31" spans="1:13" ht="19.5" customHeight="1">
      <c r="A31" s="3603"/>
      <c r="B31" s="3600"/>
      <c r="C31" s="2847" t="s">
        <v>2460</v>
      </c>
      <c r="D31" s="2848"/>
      <c r="E31" s="2849">
        <v>0.8</v>
      </c>
      <c r="F31" s="2846" t="s">
        <v>2461</v>
      </c>
      <c r="G31" s="2846"/>
    </row>
    <row r="32" spans="1:13" ht="19.5" customHeight="1">
      <c r="A32" s="3603"/>
      <c r="B32" s="3600"/>
      <c r="C32" s="2847" t="s">
        <v>2462</v>
      </c>
      <c r="D32" s="2848"/>
      <c r="E32" s="2849">
        <v>0.7</v>
      </c>
      <c r="F32" s="2846" t="s">
        <v>2463</v>
      </c>
      <c r="G32" s="2846"/>
    </row>
    <row r="33" spans="1:7" ht="19.5" customHeight="1">
      <c r="A33" s="3603"/>
      <c r="B33" s="3600"/>
      <c r="C33" s="2847" t="s">
        <v>2464</v>
      </c>
      <c r="D33" s="2848"/>
      <c r="E33" s="2849">
        <v>0.8</v>
      </c>
      <c r="F33" s="2846" t="s">
        <v>2465</v>
      </c>
      <c r="G33" s="2846"/>
    </row>
    <row r="34" spans="1:7" ht="19.5" customHeight="1">
      <c r="A34" s="3603"/>
      <c r="B34" s="3600"/>
      <c r="C34" s="2847" t="s">
        <v>2466</v>
      </c>
      <c r="D34" s="2848"/>
      <c r="E34" s="2849">
        <v>0.6</v>
      </c>
      <c r="F34" s="2846" t="s">
        <v>2467</v>
      </c>
      <c r="G34" s="2846"/>
    </row>
    <row r="35" spans="1:7" ht="19.5" customHeight="1">
      <c r="A35" s="3603"/>
      <c r="B35" s="3600"/>
      <c r="C35" s="2847" t="s">
        <v>2468</v>
      </c>
      <c r="D35" s="2848"/>
      <c r="E35" s="2849">
        <v>0.2</v>
      </c>
      <c r="F35" s="2846" t="s">
        <v>2469</v>
      </c>
      <c r="G35" s="2846"/>
    </row>
    <row r="36" spans="1:7" ht="19.5" customHeight="1">
      <c r="A36" s="3603"/>
      <c r="B36" s="3600"/>
      <c r="C36" s="2847" t="s">
        <v>2470</v>
      </c>
      <c r="D36" s="2848"/>
      <c r="E36" s="2849">
        <v>0.2</v>
      </c>
      <c r="F36" s="2846" t="s">
        <v>2471</v>
      </c>
      <c r="G36" s="2846"/>
    </row>
    <row r="37" spans="1:7" ht="19.5" customHeight="1">
      <c r="A37" s="3603"/>
      <c r="B37" s="3605" t="s">
        <v>2632</v>
      </c>
      <c r="C37" s="2847" t="s">
        <v>2472</v>
      </c>
      <c r="D37" s="2848"/>
      <c r="E37" s="2849">
        <v>0.6</v>
      </c>
      <c r="F37" s="2846" t="s">
        <v>2473</v>
      </c>
      <c r="G37" s="2846"/>
    </row>
    <row r="38" spans="1:7" ht="19.5" customHeight="1">
      <c r="A38" s="3603"/>
      <c r="B38" s="3600"/>
      <c r="C38" s="2847" t="s">
        <v>2474</v>
      </c>
      <c r="D38" s="2848"/>
      <c r="E38" s="2849">
        <v>0.6</v>
      </c>
      <c r="F38" s="2846" t="s">
        <v>2475</v>
      </c>
      <c r="G38" s="2846"/>
    </row>
    <row r="39" spans="1:7" ht="19.5" customHeight="1" thickBot="1">
      <c r="A39" s="3604"/>
      <c r="B39" s="3601"/>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606" t="s">
        <v>2610</v>
      </c>
      <c r="B41" s="3599" t="s">
        <v>2634</v>
      </c>
      <c r="C41" s="2843" t="s">
        <v>2479</v>
      </c>
      <c r="D41" s="2844"/>
      <c r="E41" s="2845">
        <v>1</v>
      </c>
      <c r="F41" s="2846" t="s">
        <v>2480</v>
      </c>
      <c r="G41" s="2846"/>
    </row>
    <row r="42" spans="1:7" ht="19.5" customHeight="1">
      <c r="A42" s="3607"/>
      <c r="B42" s="3600"/>
      <c r="C42" s="2847" t="s">
        <v>2481</v>
      </c>
      <c r="D42" s="2848"/>
      <c r="E42" s="2849">
        <v>1</v>
      </c>
      <c r="F42" s="2846" t="s">
        <v>2482</v>
      </c>
      <c r="G42" s="2846"/>
    </row>
    <row r="43" spans="1:7" ht="19.5" customHeight="1">
      <c r="A43" s="3607"/>
      <c r="B43" s="3609"/>
      <c r="C43" s="2847" t="s">
        <v>2483</v>
      </c>
      <c r="D43" s="2848"/>
      <c r="E43" s="2849">
        <v>1.5</v>
      </c>
      <c r="F43" s="2846" t="s">
        <v>2484</v>
      </c>
      <c r="G43" s="2846"/>
    </row>
    <row r="44" spans="1:7" ht="19.5" customHeight="1">
      <c r="A44" s="3607"/>
      <c r="B44" s="2858" t="s">
        <v>2635</v>
      </c>
      <c r="C44" s="2847" t="s">
        <v>2636</v>
      </c>
      <c r="D44" s="2848"/>
      <c r="E44" s="2849">
        <v>2</v>
      </c>
      <c r="F44" s="2846" t="s">
        <v>2485</v>
      </c>
      <c r="G44" s="2846"/>
    </row>
    <row r="45" spans="1:7" ht="19.5" customHeight="1">
      <c r="A45" s="3607"/>
      <c r="B45" s="3605" t="s">
        <v>2637</v>
      </c>
      <c r="C45" s="2847" t="s">
        <v>2486</v>
      </c>
      <c r="D45" s="2848"/>
      <c r="E45" s="2849">
        <v>1</v>
      </c>
      <c r="F45" s="2846" t="s">
        <v>2487</v>
      </c>
      <c r="G45" s="2846"/>
    </row>
    <row r="46" spans="1:7" ht="19.5" customHeight="1">
      <c r="A46" s="3607"/>
      <c r="B46" s="3600"/>
      <c r="C46" s="2847" t="s">
        <v>2488</v>
      </c>
      <c r="D46" s="2848"/>
      <c r="E46" s="2849">
        <v>1</v>
      </c>
      <c r="F46" s="2846" t="s">
        <v>2489</v>
      </c>
      <c r="G46" s="2846"/>
    </row>
    <row r="47" spans="1:7" ht="19.5" customHeight="1">
      <c r="A47" s="3607"/>
      <c r="B47" s="3600"/>
      <c r="C47" s="2847" t="s">
        <v>2490</v>
      </c>
      <c r="D47" s="2848"/>
      <c r="E47" s="2849">
        <v>1</v>
      </c>
      <c r="F47" s="2846" t="s">
        <v>2491</v>
      </c>
      <c r="G47" s="2846"/>
    </row>
    <row r="48" spans="1:7" ht="19.5" customHeight="1">
      <c r="A48" s="3607"/>
      <c r="B48" s="3600"/>
      <c r="C48" s="2847" t="s">
        <v>2492</v>
      </c>
      <c r="D48" s="2848"/>
      <c r="E48" s="2849">
        <v>1</v>
      </c>
      <c r="F48" s="2846" t="s">
        <v>2493</v>
      </c>
      <c r="G48" s="2846"/>
    </row>
    <row r="49" spans="1:7" ht="19.5" customHeight="1">
      <c r="A49" s="3607"/>
      <c r="B49" s="3600"/>
      <c r="C49" s="2847" t="s">
        <v>2494</v>
      </c>
      <c r="D49" s="2848"/>
      <c r="E49" s="2849">
        <v>1</v>
      </c>
      <c r="F49" s="2846" t="s">
        <v>2495</v>
      </c>
      <c r="G49" s="2846"/>
    </row>
    <row r="50" spans="1:7" ht="19.5" customHeight="1">
      <c r="A50" s="3607"/>
      <c r="B50" s="3600"/>
      <c r="C50" s="2847" t="s">
        <v>2496</v>
      </c>
      <c r="D50" s="2848"/>
      <c r="E50" s="2849">
        <v>1</v>
      </c>
      <c r="F50" s="2846" t="s">
        <v>2497</v>
      </c>
      <c r="G50" s="2846"/>
    </row>
    <row r="51" spans="1:7" ht="19.5" customHeight="1" thickBot="1">
      <c r="A51" s="3608"/>
      <c r="B51" s="3601"/>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605" t="s">
        <v>2651</v>
      </c>
      <c r="C73" s="2832" t="s">
        <v>2652</v>
      </c>
      <c r="D73" s="2832" t="s">
        <v>2653</v>
      </c>
      <c r="E73" s="2858">
        <v>0.2</v>
      </c>
      <c r="F73" s="2858">
        <v>25</v>
      </c>
    </row>
    <row r="74" spans="1:7" ht="24">
      <c r="A74" s="2858">
        <v>2</v>
      </c>
      <c r="B74" s="3600"/>
      <c r="C74" s="2832" t="s">
        <v>2654</v>
      </c>
      <c r="D74" s="2832" t="s">
        <v>2655</v>
      </c>
      <c r="E74" s="2858">
        <v>0.2</v>
      </c>
      <c r="F74" s="2858">
        <v>25</v>
      </c>
    </row>
    <row r="75" spans="1:7" ht="24">
      <c r="A75" s="2858">
        <v>3</v>
      </c>
      <c r="B75" s="3600"/>
      <c r="C75" s="2832" t="s">
        <v>2656</v>
      </c>
      <c r="D75" s="2832" t="s">
        <v>2657</v>
      </c>
      <c r="E75" s="2858">
        <v>0.2</v>
      </c>
      <c r="F75" s="2858">
        <v>25</v>
      </c>
    </row>
    <row r="76" spans="1:7" ht="13.5">
      <c r="A76" s="2858">
        <v>4</v>
      </c>
      <c r="B76" s="3600"/>
      <c r="C76" s="2832" t="s">
        <v>2658</v>
      </c>
      <c r="D76" s="2832" t="s">
        <v>2659</v>
      </c>
      <c r="E76" s="2858">
        <v>0.15</v>
      </c>
      <c r="F76" s="2858">
        <v>20</v>
      </c>
    </row>
    <row r="77" spans="1:7" ht="24">
      <c r="A77" s="2858">
        <v>5</v>
      </c>
      <c r="B77" s="3600"/>
      <c r="C77" s="2832" t="s">
        <v>2660</v>
      </c>
      <c r="D77" s="2832" t="s">
        <v>2661</v>
      </c>
      <c r="E77" s="2858">
        <v>0.15</v>
      </c>
      <c r="F77" s="2858">
        <v>20</v>
      </c>
    </row>
    <row r="78" spans="1:7" ht="24">
      <c r="A78" s="2858">
        <v>6</v>
      </c>
      <c r="B78" s="3600"/>
      <c r="C78" s="2832" t="s">
        <v>2662</v>
      </c>
      <c r="D78" s="2832" t="s">
        <v>2663</v>
      </c>
      <c r="E78" s="2858">
        <v>0.15</v>
      </c>
      <c r="F78" s="2858">
        <v>20</v>
      </c>
    </row>
    <row r="79" spans="1:7" ht="24">
      <c r="A79" s="2858">
        <v>7</v>
      </c>
      <c r="B79" s="3600"/>
      <c r="C79" s="2832" t="s">
        <v>2664</v>
      </c>
      <c r="D79" s="2832" t="s">
        <v>2665</v>
      </c>
      <c r="E79" s="2858">
        <v>0.15</v>
      </c>
      <c r="F79" s="2858">
        <v>20</v>
      </c>
    </row>
    <row r="80" spans="1:7" ht="24">
      <c r="A80" s="2858">
        <v>8</v>
      </c>
      <c r="B80" s="3600"/>
      <c r="C80" s="2832" t="s">
        <v>2666</v>
      </c>
      <c r="D80" s="2832" t="s">
        <v>2667</v>
      </c>
      <c r="E80" s="2858">
        <v>0.1</v>
      </c>
      <c r="F80" s="2858">
        <v>15</v>
      </c>
    </row>
    <row r="81" spans="1:6" ht="24">
      <c r="A81" s="2858">
        <v>9</v>
      </c>
      <c r="B81" s="3600"/>
      <c r="C81" s="2832" t="s">
        <v>2668</v>
      </c>
      <c r="D81" s="2832" t="s">
        <v>2669</v>
      </c>
      <c r="E81" s="2858">
        <v>0.1</v>
      </c>
      <c r="F81" s="2858">
        <v>15</v>
      </c>
    </row>
    <row r="82" spans="1:6" ht="24">
      <c r="A82" s="2858">
        <v>10</v>
      </c>
      <c r="B82" s="3600"/>
      <c r="C82" s="2832" t="s">
        <v>2670</v>
      </c>
      <c r="D82" s="2832" t="s">
        <v>2671</v>
      </c>
      <c r="E82" s="2858">
        <v>0.1</v>
      </c>
      <c r="F82" s="2858">
        <v>15</v>
      </c>
    </row>
    <row r="83" spans="1:6" ht="24">
      <c r="A83" s="2858">
        <v>11</v>
      </c>
      <c r="B83" s="3600"/>
      <c r="C83" s="2832" t="s">
        <v>2672</v>
      </c>
      <c r="D83" s="2832" t="s">
        <v>2673</v>
      </c>
      <c r="E83" s="2858">
        <v>0.1</v>
      </c>
      <c r="F83" s="2858">
        <v>15</v>
      </c>
    </row>
    <row r="84" spans="1:6" ht="24">
      <c r="A84" s="2858">
        <v>12</v>
      </c>
      <c r="B84" s="3600"/>
      <c r="C84" s="2832" t="s">
        <v>2674</v>
      </c>
      <c r="D84" s="2832" t="s">
        <v>2675</v>
      </c>
      <c r="E84" s="2858">
        <v>0.1</v>
      </c>
      <c r="F84" s="2858">
        <v>15</v>
      </c>
    </row>
    <row r="85" spans="1:6" ht="13.5">
      <c r="A85" s="2858">
        <v>13</v>
      </c>
      <c r="B85" s="3600"/>
      <c r="C85" s="2832" t="s">
        <v>2676</v>
      </c>
      <c r="D85" s="2832" t="s">
        <v>2677</v>
      </c>
      <c r="E85" s="2858">
        <v>0.1</v>
      </c>
      <c r="F85" s="2858">
        <v>15</v>
      </c>
    </row>
    <row r="86" spans="1:6" ht="13.5">
      <c r="A86" s="2858">
        <v>14</v>
      </c>
      <c r="B86" s="3600"/>
      <c r="C86" s="2832" t="s">
        <v>2678</v>
      </c>
      <c r="D86" s="2832" t="s">
        <v>2679</v>
      </c>
      <c r="E86" s="2858">
        <v>0.1</v>
      </c>
      <c r="F86" s="2858">
        <v>15</v>
      </c>
    </row>
    <row r="87" spans="1:6" ht="13.5">
      <c r="A87" s="2858">
        <v>15</v>
      </c>
      <c r="B87" s="3600"/>
      <c r="C87" s="2832" t="s">
        <v>2680</v>
      </c>
      <c r="D87" s="2832" t="s">
        <v>2681</v>
      </c>
      <c r="E87" s="2858">
        <v>0.1</v>
      </c>
      <c r="F87" s="2858">
        <v>15</v>
      </c>
    </row>
    <row r="88" spans="1:6" ht="24">
      <c r="A88" s="2858">
        <v>16</v>
      </c>
      <c r="B88" s="3600"/>
      <c r="C88" s="2832" t="s">
        <v>2682</v>
      </c>
      <c r="D88" s="2832" t="s">
        <v>2683</v>
      </c>
      <c r="E88" s="2858">
        <v>0.1</v>
      </c>
      <c r="F88" s="2858">
        <v>15</v>
      </c>
    </row>
    <row r="89" spans="1:6" ht="24">
      <c r="A89" s="2858">
        <v>17</v>
      </c>
      <c r="B89" s="3609"/>
      <c r="C89" s="2832" t="s">
        <v>2684</v>
      </c>
      <c r="D89" s="2832" t="s">
        <v>2685</v>
      </c>
      <c r="E89" s="2858">
        <v>0.1</v>
      </c>
      <c r="F89" s="2858">
        <v>15</v>
      </c>
    </row>
    <row r="90" spans="1:6" ht="13.5">
      <c r="A90" s="2858">
        <v>18</v>
      </c>
      <c r="B90" s="3605" t="s">
        <v>2686</v>
      </c>
      <c r="C90" s="2832" t="s">
        <v>2687</v>
      </c>
      <c r="D90" s="2832" t="s">
        <v>2688</v>
      </c>
      <c r="E90" s="2858">
        <v>0.2</v>
      </c>
      <c r="F90" s="2858">
        <v>25</v>
      </c>
    </row>
    <row r="91" spans="1:6" ht="24">
      <c r="A91" s="2858">
        <v>19</v>
      </c>
      <c r="B91" s="3600"/>
      <c r="C91" s="2832" t="s">
        <v>2689</v>
      </c>
      <c r="D91" s="2832" t="s">
        <v>2690</v>
      </c>
      <c r="E91" s="2858">
        <v>0.2</v>
      </c>
      <c r="F91" s="2858">
        <v>25</v>
      </c>
    </row>
    <row r="92" spans="1:6" ht="13.5">
      <c r="A92" s="2858">
        <v>20</v>
      </c>
      <c r="B92" s="3600"/>
      <c r="C92" s="2832" t="s">
        <v>2691</v>
      </c>
      <c r="D92" s="2832" t="s">
        <v>2692</v>
      </c>
      <c r="E92" s="2858">
        <v>0.15</v>
      </c>
      <c r="F92" s="2858">
        <v>20</v>
      </c>
    </row>
    <row r="93" spans="1:6" ht="13.5">
      <c r="A93" s="2858">
        <v>21</v>
      </c>
      <c r="B93" s="3600"/>
      <c r="C93" s="2832" t="s">
        <v>2693</v>
      </c>
      <c r="D93" s="2832" t="s">
        <v>2694</v>
      </c>
      <c r="E93" s="2858">
        <v>0.15</v>
      </c>
      <c r="F93" s="2858">
        <v>20</v>
      </c>
    </row>
    <row r="94" spans="1:6" ht="13.5">
      <c r="A94" s="2858">
        <v>22</v>
      </c>
      <c r="B94" s="3600"/>
      <c r="C94" s="2832" t="s">
        <v>2695</v>
      </c>
      <c r="D94" s="2832" t="s">
        <v>2696</v>
      </c>
      <c r="E94" s="2858">
        <v>0.15</v>
      </c>
      <c r="F94" s="2858">
        <v>20</v>
      </c>
    </row>
    <row r="95" spans="1:6" ht="36">
      <c r="A95" s="2858">
        <v>23</v>
      </c>
      <c r="B95" s="3600"/>
      <c r="C95" s="2832" t="s">
        <v>2697</v>
      </c>
      <c r="D95" s="2832" t="s">
        <v>2698</v>
      </c>
      <c r="E95" s="2858">
        <v>0.15</v>
      </c>
      <c r="F95" s="2858">
        <v>20</v>
      </c>
    </row>
    <row r="96" spans="1:6" ht="13.5">
      <c r="A96" s="2858">
        <v>24</v>
      </c>
      <c r="B96" s="3600"/>
      <c r="C96" s="2832" t="s">
        <v>2699</v>
      </c>
      <c r="D96" s="2832" t="s">
        <v>2700</v>
      </c>
      <c r="E96" s="2858">
        <v>0.1</v>
      </c>
      <c r="F96" s="2858">
        <v>15</v>
      </c>
    </row>
    <row r="97" spans="1:6" ht="13.5">
      <c r="A97" s="2858">
        <v>25</v>
      </c>
      <c r="B97" s="3600"/>
      <c r="C97" s="2832" t="s">
        <v>2701</v>
      </c>
      <c r="D97" s="2832" t="s">
        <v>2702</v>
      </c>
      <c r="E97" s="2858">
        <v>0.1</v>
      </c>
      <c r="F97" s="2858">
        <v>15</v>
      </c>
    </row>
    <row r="98" spans="1:6" ht="24">
      <c r="A98" s="2858">
        <v>26</v>
      </c>
      <c r="B98" s="3600"/>
      <c r="C98" s="2832" t="s">
        <v>2703</v>
      </c>
      <c r="D98" s="2832" t="s">
        <v>2704</v>
      </c>
      <c r="E98" s="2858">
        <v>0.1</v>
      </c>
      <c r="F98" s="2858">
        <v>15</v>
      </c>
    </row>
    <row r="99" spans="1:6" ht="24">
      <c r="A99" s="2858">
        <v>27</v>
      </c>
      <c r="B99" s="3600"/>
      <c r="C99" s="2832" t="s">
        <v>2705</v>
      </c>
      <c r="D99" s="2832" t="s">
        <v>2706</v>
      </c>
      <c r="E99" s="2858">
        <v>0.1</v>
      </c>
      <c r="F99" s="2858">
        <v>15</v>
      </c>
    </row>
    <row r="100" spans="1:6" ht="13.5">
      <c r="A100" s="2858">
        <v>28</v>
      </c>
      <c r="B100" s="3600"/>
      <c r="C100" s="2832" t="s">
        <v>2707</v>
      </c>
      <c r="D100" s="2832" t="s">
        <v>2708</v>
      </c>
      <c r="E100" s="2858">
        <v>0.1</v>
      </c>
      <c r="F100" s="2858">
        <v>15</v>
      </c>
    </row>
    <row r="101" spans="1:6" ht="13.5">
      <c r="A101" s="2858">
        <v>29</v>
      </c>
      <c r="B101" s="3600"/>
      <c r="C101" s="2832" t="s">
        <v>2709</v>
      </c>
      <c r="D101" s="2832" t="s">
        <v>2710</v>
      </c>
      <c r="E101" s="2858">
        <v>0.1</v>
      </c>
      <c r="F101" s="2858">
        <v>15</v>
      </c>
    </row>
    <row r="102" spans="1:6" ht="13.5">
      <c r="A102" s="2858">
        <v>30</v>
      </c>
      <c r="B102" s="3600"/>
      <c r="C102" s="2832" t="s">
        <v>2711</v>
      </c>
      <c r="D102" s="2832" t="s">
        <v>2712</v>
      </c>
      <c r="E102" s="2858">
        <v>0.1</v>
      </c>
      <c r="F102" s="2858">
        <v>15</v>
      </c>
    </row>
    <row r="103" spans="1:6" ht="24">
      <c r="A103" s="2858">
        <v>31</v>
      </c>
      <c r="B103" s="3600"/>
      <c r="C103" s="2832" t="s">
        <v>2713</v>
      </c>
      <c r="D103" s="2832" t="s">
        <v>2714</v>
      </c>
      <c r="E103" s="2858">
        <v>0.1</v>
      </c>
      <c r="F103" s="2858">
        <v>15</v>
      </c>
    </row>
    <row r="104" spans="1:6" ht="24">
      <c r="A104" s="2858">
        <v>32</v>
      </c>
      <c r="B104" s="3600"/>
      <c r="C104" s="2832" t="s">
        <v>2715</v>
      </c>
      <c r="D104" s="2832" t="s">
        <v>2716</v>
      </c>
      <c r="E104" s="2858">
        <v>0.1</v>
      </c>
      <c r="F104" s="2858">
        <v>15</v>
      </c>
    </row>
    <row r="105" spans="1:6" ht="24">
      <c r="A105" s="2858">
        <v>33</v>
      </c>
      <c r="B105" s="3600"/>
      <c r="C105" s="2832" t="s">
        <v>2717</v>
      </c>
      <c r="D105" s="2832" t="s">
        <v>2718</v>
      </c>
      <c r="E105" s="2858">
        <v>0.1</v>
      </c>
      <c r="F105" s="2858">
        <v>15</v>
      </c>
    </row>
    <row r="106" spans="1:6" ht="24">
      <c r="A106" s="2858">
        <v>34</v>
      </c>
      <c r="B106" s="3609"/>
      <c r="C106" s="2832" t="s">
        <v>2719</v>
      </c>
      <c r="D106" s="2832" t="s">
        <v>2720</v>
      </c>
      <c r="E106" s="2858">
        <v>0.1</v>
      </c>
      <c r="F106" s="2858">
        <v>15</v>
      </c>
    </row>
    <row r="107" spans="1:6" ht="24">
      <c r="A107" s="2858">
        <v>35</v>
      </c>
      <c r="B107" s="3605" t="s">
        <v>2721</v>
      </c>
      <c r="C107" s="2858" t="s">
        <v>2722</v>
      </c>
      <c r="D107" s="2832" t="s">
        <v>2723</v>
      </c>
      <c r="E107" s="2858">
        <v>0.15</v>
      </c>
      <c r="F107" s="2858">
        <v>20</v>
      </c>
    </row>
    <row r="108" spans="1:6" ht="13.5">
      <c r="A108" s="2858">
        <v>36</v>
      </c>
      <c r="B108" s="3600"/>
      <c r="C108" s="2858" t="s">
        <v>2724</v>
      </c>
      <c r="D108" s="2832" t="s">
        <v>2725</v>
      </c>
      <c r="E108" s="2858">
        <v>0.15</v>
      </c>
      <c r="F108" s="2858">
        <v>20</v>
      </c>
    </row>
    <row r="109" spans="1:6" ht="13.5">
      <c r="A109" s="2858">
        <v>37</v>
      </c>
      <c r="B109" s="3600"/>
      <c r="C109" s="2858" t="s">
        <v>2726</v>
      </c>
      <c r="D109" s="2832" t="s">
        <v>2727</v>
      </c>
      <c r="E109" s="2858">
        <v>0.15</v>
      </c>
      <c r="F109" s="2858">
        <v>20</v>
      </c>
    </row>
    <row r="110" spans="1:6" ht="13.5">
      <c r="A110" s="2858">
        <v>38</v>
      </c>
      <c r="B110" s="3600"/>
      <c r="C110" s="2858" t="s">
        <v>2728</v>
      </c>
      <c r="D110" s="2832" t="s">
        <v>2729</v>
      </c>
      <c r="E110" s="2858">
        <v>0.1</v>
      </c>
      <c r="F110" s="2858">
        <v>15</v>
      </c>
    </row>
    <row r="111" spans="1:6" ht="24">
      <c r="A111" s="2858">
        <v>39</v>
      </c>
      <c r="B111" s="3600"/>
      <c r="C111" s="2858" t="s">
        <v>2730</v>
      </c>
      <c r="D111" s="2832" t="s">
        <v>2731</v>
      </c>
      <c r="E111" s="2858">
        <v>0.1</v>
      </c>
      <c r="F111" s="2858">
        <v>15</v>
      </c>
    </row>
    <row r="112" spans="1:6" ht="24">
      <c r="A112" s="2858">
        <v>40</v>
      </c>
      <c r="B112" s="3609"/>
      <c r="C112" s="2858" t="s">
        <v>2732</v>
      </c>
      <c r="D112" s="2832" t="s">
        <v>2733</v>
      </c>
      <c r="E112" s="2858">
        <v>0.1</v>
      </c>
      <c r="F112" s="2858">
        <v>15</v>
      </c>
    </row>
    <row r="113" spans="1:6" ht="13.5">
      <c r="A113" s="2858">
        <v>41</v>
      </c>
      <c r="B113" s="3610" t="s">
        <v>2734</v>
      </c>
      <c r="C113" s="2858" t="s">
        <v>2735</v>
      </c>
      <c r="D113" s="2832" t="s">
        <v>2736</v>
      </c>
      <c r="E113" s="2858">
        <v>0.1</v>
      </c>
      <c r="F113" s="2858">
        <v>15</v>
      </c>
    </row>
    <row r="114" spans="1:6" ht="13.5">
      <c r="A114" s="2858">
        <v>42</v>
      </c>
      <c r="B114" s="3610"/>
      <c r="C114" s="2858" t="s">
        <v>2737</v>
      </c>
      <c r="D114" s="2832" t="s">
        <v>2738</v>
      </c>
      <c r="E114" s="2858">
        <v>0.1</v>
      </c>
      <c r="F114" s="2858">
        <v>15</v>
      </c>
    </row>
    <row r="115" spans="1:6" ht="24">
      <c r="A115" s="2858">
        <v>43</v>
      </c>
      <c r="B115" s="3610"/>
      <c r="C115" s="2858" t="s">
        <v>2739</v>
      </c>
      <c r="D115" s="2832" t="s">
        <v>2740</v>
      </c>
      <c r="E115" s="2858">
        <v>0.1</v>
      </c>
      <c r="F115" s="2858">
        <v>15</v>
      </c>
    </row>
    <row r="116" spans="1:6" ht="13.5">
      <c r="A116" s="2858">
        <v>44</v>
      </c>
      <c r="B116" s="3605" t="s">
        <v>2741</v>
      </c>
      <c r="C116" s="2858" t="s">
        <v>2742</v>
      </c>
      <c r="D116" s="2832" t="s">
        <v>2743</v>
      </c>
      <c r="E116" s="2858">
        <v>0.1</v>
      </c>
      <c r="F116" s="2858">
        <v>15</v>
      </c>
    </row>
    <row r="117" spans="1:6" ht="24">
      <c r="A117" s="2858">
        <v>45</v>
      </c>
      <c r="B117" s="3609"/>
      <c r="C117" s="2832" t="s">
        <v>2744</v>
      </c>
      <c r="D117" s="2832" t="s">
        <v>2745</v>
      </c>
      <c r="E117" s="2858">
        <v>0.1</v>
      </c>
      <c r="F117" s="2858">
        <v>15</v>
      </c>
    </row>
    <row r="118" spans="1:6" ht="24">
      <c r="A118" s="2858">
        <v>46</v>
      </c>
      <c r="B118" s="3605" t="s">
        <v>2746</v>
      </c>
      <c r="C118" s="2858" t="s">
        <v>2747</v>
      </c>
      <c r="D118" s="2832" t="s">
        <v>2748</v>
      </c>
      <c r="E118" s="2858">
        <v>0.1</v>
      </c>
      <c r="F118" s="2858">
        <v>15</v>
      </c>
    </row>
    <row r="119" spans="1:6" ht="24">
      <c r="A119" s="2858">
        <v>47</v>
      </c>
      <c r="B119" s="3609"/>
      <c r="C119" s="2858" t="s">
        <v>2749</v>
      </c>
      <c r="D119" s="2832" t="s">
        <v>2750</v>
      </c>
      <c r="E119" s="2858">
        <v>0.1</v>
      </c>
      <c r="F119" s="2858">
        <v>15</v>
      </c>
    </row>
    <row r="120" spans="1:6" ht="13.5">
      <c r="A120" s="2858">
        <v>48</v>
      </c>
      <c r="B120" s="3605" t="s">
        <v>2751</v>
      </c>
      <c r="C120" s="2858" t="s">
        <v>2752</v>
      </c>
      <c r="D120" s="2832" t="s">
        <v>2753</v>
      </c>
      <c r="E120" s="2858">
        <v>0.1</v>
      </c>
      <c r="F120" s="2858">
        <v>15</v>
      </c>
    </row>
    <row r="121" spans="1:6" ht="13.5">
      <c r="A121" s="2858">
        <v>49</v>
      </c>
      <c r="B121" s="3609"/>
      <c r="C121" s="2858" t="s">
        <v>2754</v>
      </c>
      <c r="D121" s="2832" t="s">
        <v>2755</v>
      </c>
      <c r="E121" s="2858">
        <v>0.1</v>
      </c>
      <c r="F121" s="2858">
        <v>15</v>
      </c>
    </row>
    <row r="122" spans="1:6" ht="24">
      <c r="A122" s="2858">
        <v>50</v>
      </c>
      <c r="B122" s="3610" t="s">
        <v>2756</v>
      </c>
      <c r="C122" s="2858" t="s">
        <v>2757</v>
      </c>
      <c r="D122" s="2832" t="s">
        <v>2758</v>
      </c>
      <c r="E122" s="2858">
        <v>0.1</v>
      </c>
      <c r="F122" s="2858">
        <v>15</v>
      </c>
    </row>
    <row r="123" spans="1:6" ht="24">
      <c r="A123" s="2858">
        <v>51</v>
      </c>
      <c r="B123" s="3610"/>
      <c r="C123" s="2858" t="s">
        <v>2759</v>
      </c>
      <c r="D123" s="2832" t="s">
        <v>2760</v>
      </c>
      <c r="E123" s="2858">
        <v>0.1</v>
      </c>
      <c r="F123" s="2858">
        <v>15</v>
      </c>
    </row>
    <row r="124" spans="1:6" ht="24">
      <c r="A124" s="2858">
        <v>52</v>
      </c>
      <c r="B124" s="3610" t="s">
        <v>2761</v>
      </c>
      <c r="C124" s="2858" t="s">
        <v>2762</v>
      </c>
      <c r="D124" s="2832" t="s">
        <v>2763</v>
      </c>
      <c r="E124" s="2858">
        <v>0.1</v>
      </c>
      <c r="F124" s="2858">
        <v>15</v>
      </c>
    </row>
    <row r="125" spans="1:6" ht="24">
      <c r="A125" s="2858">
        <v>53</v>
      </c>
      <c r="B125" s="3610"/>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610" t="s">
        <v>2769</v>
      </c>
      <c r="C127" s="2858" t="s">
        <v>2770</v>
      </c>
      <c r="D127" s="2832" t="s">
        <v>2771</v>
      </c>
      <c r="E127" s="2858">
        <v>0.1</v>
      </c>
      <c r="F127" s="2858">
        <v>15</v>
      </c>
    </row>
    <row r="128" spans="1:6" ht="13.5">
      <c r="A128" s="2858">
        <v>56</v>
      </c>
      <c r="B128" s="3610"/>
      <c r="C128" s="2858" t="s">
        <v>2772</v>
      </c>
      <c r="D128" s="2832" t="s">
        <v>2773</v>
      </c>
      <c r="E128" s="2858">
        <v>0.1</v>
      </c>
      <c r="F128" s="2858">
        <v>15</v>
      </c>
    </row>
    <row r="129" spans="1:6" ht="24">
      <c r="A129" s="2858">
        <v>57</v>
      </c>
      <c r="B129" s="3610"/>
      <c r="C129" s="2858" t="s">
        <v>2774</v>
      </c>
      <c r="D129" s="2832" t="s">
        <v>2775</v>
      </c>
      <c r="E129" s="2858">
        <v>0.1</v>
      </c>
      <c r="F129" s="2858">
        <v>15</v>
      </c>
    </row>
    <row r="130" spans="1:6" ht="24">
      <c r="A130" s="2858">
        <v>58</v>
      </c>
      <c r="B130" s="3610" t="s">
        <v>2776</v>
      </c>
      <c r="C130" s="2858" t="s">
        <v>2777</v>
      </c>
      <c r="D130" s="2832" t="s">
        <v>2778</v>
      </c>
      <c r="E130" s="2858">
        <v>0.1</v>
      </c>
      <c r="F130" s="2858">
        <v>15</v>
      </c>
    </row>
    <row r="131" spans="1:6" ht="13.5">
      <c r="A131" s="2858">
        <v>59</v>
      </c>
      <c r="B131" s="3610"/>
      <c r="C131" s="2858" t="s">
        <v>2779</v>
      </c>
      <c r="D131" s="2832" t="s">
        <v>2780</v>
      </c>
      <c r="E131" s="2858">
        <v>0.1</v>
      </c>
      <c r="F131" s="2858">
        <v>15</v>
      </c>
    </row>
    <row r="132" spans="1:6" ht="13.5">
      <c r="A132" s="2858">
        <v>60</v>
      </c>
      <c r="B132" s="3605" t="s">
        <v>2781</v>
      </c>
      <c r="C132" s="2858" t="s">
        <v>2782</v>
      </c>
      <c r="D132" s="2832" t="s">
        <v>2783</v>
      </c>
      <c r="E132" s="2858">
        <v>0.1</v>
      </c>
      <c r="F132" s="2858">
        <v>15</v>
      </c>
    </row>
    <row r="133" spans="1:6" ht="13.5">
      <c r="A133" s="2858">
        <v>61</v>
      </c>
      <c r="B133" s="3609"/>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610" t="s">
        <v>2789</v>
      </c>
      <c r="C135" s="2858" t="s">
        <v>2790</v>
      </c>
      <c r="D135" s="2832" t="s">
        <v>2791</v>
      </c>
      <c r="E135" s="2858">
        <v>0.1</v>
      </c>
      <c r="F135" s="2858">
        <v>15</v>
      </c>
    </row>
    <row r="136" spans="1:6" ht="13.5">
      <c r="A136" s="2858">
        <v>64</v>
      </c>
      <c r="B136" s="3610"/>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27435</v>
      </c>
      <c r="C2" s="2" t="s">
        <v>106</v>
      </c>
      <c r="D2" s="191"/>
      <c r="E2" s="191"/>
      <c r="F2" s="191"/>
      <c r="G2" s="191"/>
    </row>
    <row r="3" spans="1:7" s="192" customFormat="1" ht="18" customHeight="1" thickBot="1">
      <c r="A3" s="195" t="s">
        <v>58</v>
      </c>
      <c r="B3" s="196">
        <f ca="1">ROUND(B2*10000/'数据-汇总表'!E3,0)</f>
        <v>473523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579.38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579.38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579.38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34" t="s">
        <v>94</v>
      </c>
    </row>
    <row r="43" spans="1:7" ht="13.5" customHeight="1">
      <c r="A43" s="734" t="s">
        <v>347</v>
      </c>
      <c r="B43" s="207" t="s">
        <v>426</v>
      </c>
      <c r="C43" s="230">
        <f ca="1">ROUND(IF('数据-取费表'!B22&lt;=1,C39*F22*'数据-取费表'!B21/2,C39*(POWER((1+F22),'数据-取费表'!B21/2)-1)),0)</f>
        <v>0</v>
      </c>
      <c r="D43" s="230"/>
      <c r="E43" s="230"/>
      <c r="F43" s="231"/>
      <c r="G43" s="3435"/>
    </row>
    <row r="44" spans="1:7" ht="13.5" customHeight="1">
      <c r="A44" s="734" t="s">
        <v>348</v>
      </c>
      <c r="B44" s="207" t="s">
        <v>428</v>
      </c>
      <c r="C44" s="230">
        <f ca="1">ROUND(IF('数据-取费表'!B22&lt;=1,C40*F22*'数据-取费表'!B21/2,C40*(POWER((1+F22),'数据-取费表'!B21/2)-1)),4)</f>
        <v>2.9999999999999997E-4</v>
      </c>
      <c r="D44" s="230"/>
      <c r="E44" s="230"/>
      <c r="F44" s="231"/>
      <c r="G44" s="3436"/>
    </row>
    <row r="45" spans="1:7" s="206" customFormat="1" ht="13.5" customHeight="1">
      <c r="A45" s="731" t="s">
        <v>341</v>
      </c>
      <c r="B45" s="236" t="s">
        <v>85</v>
      </c>
      <c r="C45" s="237">
        <f>C46</f>
        <v>35</v>
      </c>
      <c r="D45" s="227">
        <f>C47</f>
        <v>1.5E-3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204</v>
      </c>
      <c r="D51" s="224"/>
      <c r="E51" s="224"/>
      <c r="F51" s="256"/>
      <c r="G51" s="226" t="s">
        <v>37</v>
      </c>
    </row>
    <row r="52" spans="1:7" s="200" customFormat="1" ht="16.5" thickBot="1">
      <c r="A52" s="257" t="s">
        <v>38</v>
      </c>
      <c r="B52" s="258"/>
      <c r="C52" s="259">
        <f ca="1">C31+C51</f>
        <v>27435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11" t="s">
        <v>3181</v>
      </c>
      <c r="B1" s="3611"/>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12" t="s">
        <v>3232</v>
      </c>
      <c r="B1" s="3612"/>
      <c r="C1" s="3612"/>
      <c r="D1" s="3612"/>
      <c r="E1" s="3612"/>
      <c r="F1" s="3613"/>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614" t="s">
        <v>456</v>
      </c>
      <c r="S1" s="3615"/>
      <c r="T1" s="3615"/>
      <c r="U1" s="3615"/>
      <c r="V1" s="3615"/>
      <c r="W1" s="3615"/>
      <c r="X1" s="2897"/>
      <c r="Y1" s="3614" t="s">
        <v>457</v>
      </c>
      <c r="Z1" s="3615"/>
      <c r="AA1" s="3615"/>
      <c r="AB1" s="3615"/>
      <c r="AC1" s="3615"/>
      <c r="AD1" s="3615"/>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14" t="s">
        <v>2827</v>
      </c>
      <c r="S29" s="3615"/>
      <c r="T29" s="3615"/>
      <c r="U29" s="3615"/>
      <c r="V29" s="3615"/>
      <c r="W29" s="3615"/>
      <c r="X29" s="2897"/>
      <c r="Y29" s="3614" t="s">
        <v>2828</v>
      </c>
      <c r="Z29" s="3615"/>
      <c r="AA29" s="3615"/>
      <c r="AB29" s="3615"/>
      <c r="AC29" s="3615"/>
      <c r="AD29" s="3615"/>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19" t="s">
        <v>452</v>
      </c>
      <c r="C1" s="3619"/>
      <c r="D1" s="3619"/>
      <c r="E1" s="3619"/>
      <c r="F1" s="3619"/>
      <c r="G1" s="3615" t="s">
        <v>453</v>
      </c>
      <c r="H1" s="3615"/>
      <c r="I1" s="3615"/>
      <c r="J1" s="3615"/>
      <c r="K1" s="3615"/>
      <c r="L1" s="3615"/>
      <c r="N1" s="3615" t="s">
        <v>454</v>
      </c>
      <c r="O1" s="3615"/>
      <c r="P1" s="3615"/>
      <c r="Q1" s="3615"/>
      <c r="S1" s="3615" t="s">
        <v>455</v>
      </c>
      <c r="T1" s="3615"/>
      <c r="U1" s="3615"/>
      <c r="V1" s="3615"/>
      <c r="X1" s="3614" t="s">
        <v>456</v>
      </c>
      <c r="Y1" s="3615"/>
      <c r="Z1" s="3615"/>
      <c r="AA1" s="3615"/>
      <c r="AB1" s="3615"/>
      <c r="AD1" s="3614" t="s">
        <v>457</v>
      </c>
      <c r="AE1" s="3615"/>
      <c r="AF1" s="3615"/>
      <c r="AG1" s="3615"/>
      <c r="AH1" s="361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1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1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1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1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1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1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1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1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1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1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1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1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1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1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1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1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1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1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1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1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1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1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1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1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1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1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1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1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1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1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1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1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1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1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1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1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1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1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1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1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1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1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1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1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1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1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1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27" t="s">
        <v>2839</v>
      </c>
      <c r="B1" s="3627"/>
      <c r="C1" s="3627"/>
      <c r="D1" s="3627"/>
      <c r="E1" s="3627"/>
      <c r="F1" s="3627"/>
      <c r="G1" s="3628"/>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25"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26"/>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3" t="str">
        <f>IF(项目基本情况!B9="房地产市场价值","估价结果一览表","结果表-2")</f>
        <v>估价结果一览表</v>
      </c>
      <c r="B1" s="3263"/>
      <c r="C1" s="3263"/>
      <c r="D1" s="3263"/>
      <c r="E1" s="3263"/>
      <c r="F1" s="3263"/>
      <c r="G1" s="3263"/>
      <c r="H1" s="3263"/>
      <c r="I1" s="3263"/>
    </row>
    <row r="2" spans="1:9" ht="30" customHeight="1" thickTop="1">
      <c r="A2" s="3264" t="s">
        <v>928</v>
      </c>
      <c r="B2" s="3264" t="s">
        <v>929</v>
      </c>
      <c r="C2" s="3264" t="s">
        <v>930</v>
      </c>
      <c r="D2" s="3264" t="str">
        <f>结果表!D116</f>
        <v>出让国有建设用地使用权价值</v>
      </c>
      <c r="E2" s="3264"/>
      <c r="F2" s="3264" t="str">
        <f>结果表!F116</f>
        <v>在建建筑物价值</v>
      </c>
      <c r="G2" s="3264"/>
      <c r="H2" s="3264" t="str">
        <f>IF(项目基本情况!B9="房地产市场价值","房地产市场价值","房地产价值")</f>
        <v>房地产市场价值</v>
      </c>
      <c r="I2" s="3264"/>
    </row>
    <row r="3" spans="1:9" ht="15">
      <c r="A3" s="3265"/>
      <c r="B3" s="3265"/>
      <c r="C3" s="3265"/>
      <c r="D3" s="801" t="s">
        <v>925</v>
      </c>
      <c r="E3" s="801" t="s">
        <v>931</v>
      </c>
      <c r="F3" s="801" t="s">
        <v>925</v>
      </c>
      <c r="G3" s="801" t="s">
        <v>926</v>
      </c>
      <c r="H3" s="801" t="s">
        <v>925</v>
      </c>
      <c r="I3" s="801" t="s">
        <v>926</v>
      </c>
    </row>
    <row r="4" spans="1:9" ht="15">
      <c r="A4" s="1403" t="str">
        <f>项目基本情况!S2</f>
        <v>北京市房地产</v>
      </c>
      <c r="B4" s="801">
        <f>项目基本情况!C17</f>
        <v>579.38</v>
      </c>
      <c r="C4" s="801">
        <f>项目基本情况!C18</f>
        <v>41.13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5" t="s">
        <v>927</v>
      </c>
      <c r="B5" s="3265"/>
      <c r="C5" s="3265"/>
      <c r="D5" s="3265" t="e">
        <f ca="1">结果表!D119</f>
        <v>#REF!</v>
      </c>
      <c r="E5" s="3265"/>
      <c r="F5" s="3265" t="e">
        <f ca="1">结果表!F119</f>
        <v>#REF!</v>
      </c>
      <c r="G5" s="3265"/>
      <c r="H5" s="3265" t="e">
        <f ca="1">结果表!H119</f>
        <v>#REF!</v>
      </c>
      <c r="I5" s="3265"/>
    </row>
    <row r="6" spans="1:9" ht="15.75">
      <c r="A6" s="3266" t="str">
        <f>结果表!A120</f>
        <v/>
      </c>
      <c r="B6" s="3266"/>
      <c r="C6" s="3266"/>
      <c r="D6" s="3266">
        <f>结果表!D120</f>
        <v>0</v>
      </c>
      <c r="E6" s="3266"/>
      <c r="F6" s="3266"/>
      <c r="G6" s="3266"/>
      <c r="H6" s="3266"/>
      <c r="I6" s="3266"/>
    </row>
    <row r="7" spans="1:9" ht="15">
      <c r="A7" s="3265" t="s">
        <v>927</v>
      </c>
      <c r="B7" s="3265"/>
      <c r="C7" s="3265"/>
      <c r="D7" s="3267" t="str">
        <f>结果表!D121</f>
        <v>零元整</v>
      </c>
      <c r="E7" s="3268"/>
      <c r="F7" s="3268"/>
      <c r="G7" s="3268"/>
      <c r="H7" s="3268"/>
      <c r="I7" s="3269"/>
    </row>
    <row r="8" spans="1:9" ht="15.75">
      <c r="A8" s="3266" t="str">
        <f>结果表!A122</f>
        <v/>
      </c>
      <c r="B8" s="3266"/>
      <c r="C8" s="3266"/>
      <c r="D8" s="3266" t="e">
        <f ca="1">结果表!D122</f>
        <v>#REF!</v>
      </c>
      <c r="E8" s="3266"/>
      <c r="F8" s="3266"/>
      <c r="G8" s="3266"/>
      <c r="H8" s="3266"/>
      <c r="I8" s="3266"/>
    </row>
    <row r="9" spans="1:9" ht="15">
      <c r="A9" s="3265" t="s">
        <v>927</v>
      </c>
      <c r="B9" s="3265"/>
      <c r="C9" s="3265"/>
      <c r="D9" s="3265" t="e">
        <f ca="1">结果表!D123</f>
        <v>#REF!</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5" t="s">
        <v>927</v>
      </c>
      <c r="B11" s="3265"/>
      <c r="C11" s="3265"/>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927</v>
      </c>
      <c r="B13" s="3270"/>
      <c r="C13" s="3270"/>
      <c r="D13" s="3270" t="e">
        <f>结果表!D127</f>
        <v>#VALUE!</v>
      </c>
      <c r="E13" s="3270"/>
      <c r="F13" s="3270"/>
      <c r="G13" s="3270"/>
      <c r="H13" s="3270"/>
      <c r="I13" s="3270"/>
    </row>
    <row r="14" spans="1:9" ht="15" thickTop="1">
      <c r="A14" s="3271" t="s">
        <v>932</v>
      </c>
      <c r="B14" s="3271"/>
      <c r="C14" s="3271"/>
      <c r="D14" s="3271"/>
      <c r="E14" s="3271"/>
      <c r="F14" s="3271"/>
      <c r="G14" s="3271"/>
      <c r="H14" s="3271"/>
      <c r="I14" s="327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2" t="s">
        <v>949</v>
      </c>
      <c r="B1" s="3272"/>
      <c r="C1" s="3272"/>
      <c r="D1" s="3272"/>
    </row>
    <row r="2" spans="1:4" ht="18">
      <c r="A2" s="3273" t="s">
        <v>933</v>
      </c>
      <c r="B2" s="3273"/>
      <c r="C2" s="3273"/>
      <c r="D2" s="327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3" t="s">
        <v>939</v>
      </c>
      <c r="B6" s="3273"/>
      <c r="C6" s="3273"/>
      <c r="D6" s="327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4"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6"/>
      <c r="C12" s="3276"/>
      <c r="D12" s="3276"/>
    </row>
    <row r="13" spans="1:4" ht="30" customHeight="1">
      <c r="A13" s="3275" t="str">
        <f>IF(项目基本情况!B8="抵押","3.抵押双方在办理抵押登记手续时，应使用本公司出具的正式《房地产评估报告》，特提醒报告使用者注意。","——")</f>
        <v>——</v>
      </c>
      <c r="B13" s="3276"/>
      <c r="C13" s="3276"/>
      <c r="D13" s="3276"/>
    </row>
    <row r="14" spans="1:4" ht="15.75" customHeight="1">
      <c r="A14" s="3275" t="str">
        <f>IF(项目基本情况!B8="抵押","4.本次评估估价师所知悉的法定优先受偿款情况说明如下：","——")</f>
        <v>——</v>
      </c>
      <c r="B14" s="3276"/>
      <c r="C14" s="3276"/>
      <c r="D14" s="3276"/>
    </row>
    <row r="15" spans="1:4" ht="42" customHeight="1">
      <c r="A15" s="3275" t="str">
        <f>IF(项目基本情况!B8="抵押","（1）"&amp;CONCATENATE(项目基本情况!L20,项目基本情况!L21,项目基本情况!L22),"——")</f>
        <v>——</v>
      </c>
      <c r="B15" s="3275"/>
      <c r="C15" s="3275"/>
      <c r="D15" s="3275"/>
    </row>
    <row r="16" spans="1:4" ht="30" customHeight="1">
      <c r="A16" s="3278" t="s">
        <v>943</v>
      </c>
      <c r="B16" s="3278"/>
      <c r="C16" s="3278"/>
      <c r="D16" s="3278"/>
    </row>
    <row r="17" spans="1:4" ht="144" customHeight="1">
      <c r="A17" s="3278" t="s">
        <v>944</v>
      </c>
      <c r="B17" s="3278"/>
      <c r="C17" s="3278"/>
      <c r="D17" s="3278"/>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6" t="s">
        <v>956</v>
      </c>
      <c r="B15" s="3281" t="s">
        <v>109</v>
      </c>
      <c r="C15" s="3282"/>
    </row>
    <row r="16" spans="1:7" ht="13.5">
      <c r="A16" s="3287"/>
      <c r="B16" s="3281" t="s">
        <v>42</v>
      </c>
      <c r="C16" s="3282"/>
    </row>
    <row r="17" spans="1:3" ht="13.5">
      <c r="A17" s="3287"/>
      <c r="B17" s="3284" t="s">
        <v>957</v>
      </c>
      <c r="C17" s="1429" t="s">
        <v>956</v>
      </c>
    </row>
    <row r="18" spans="1:3" ht="13.5">
      <c r="A18" s="3287"/>
      <c r="B18" s="3284"/>
      <c r="C18" s="1429" t="s">
        <v>958</v>
      </c>
    </row>
    <row r="19" spans="1:3" ht="13.5">
      <c r="A19" s="3287"/>
      <c r="B19" s="3284"/>
      <c r="C19" s="1429" t="s">
        <v>959</v>
      </c>
    </row>
    <row r="20" spans="1:3" ht="13.5">
      <c r="A20" s="3288"/>
      <c r="B20" s="3283" t="s">
        <v>960</v>
      </c>
      <c r="C20" s="3282"/>
    </row>
    <row r="21" spans="1:3" ht="13.5">
      <c r="A21" s="1430" t="s">
        <v>961</v>
      </c>
      <c r="B21" s="1431"/>
      <c r="C21" s="1432"/>
    </row>
    <row r="22" spans="1:3" ht="13.5">
      <c r="A22" s="3285" t="s">
        <v>962</v>
      </c>
      <c r="B22" s="3283" t="s">
        <v>963</v>
      </c>
      <c r="C22" s="3282"/>
    </row>
    <row r="23" spans="1:3" ht="13.5">
      <c r="A23" s="3285"/>
      <c r="B23" s="3283" t="s">
        <v>964</v>
      </c>
      <c r="C23" s="3282"/>
    </row>
    <row r="24" spans="1:3" ht="13.5">
      <c r="A24" s="3285"/>
      <c r="B24" s="3283" t="s">
        <v>965</v>
      </c>
      <c r="C24" s="3282"/>
    </row>
    <row r="25" spans="1:3" ht="13.5">
      <c r="A25" s="3285"/>
      <c r="B25" s="3284" t="s">
        <v>966</v>
      </c>
      <c r="C25" s="1429" t="s">
        <v>967</v>
      </c>
    </row>
    <row r="26" spans="1:3" ht="13.5">
      <c r="A26" s="3285"/>
      <c r="B26" s="3284"/>
      <c r="C26" s="1429" t="s">
        <v>968</v>
      </c>
    </row>
    <row r="27" spans="1:3" ht="13.5">
      <c r="A27" s="3285"/>
      <c r="B27" s="3284"/>
      <c r="C27" s="1429" t="s">
        <v>969</v>
      </c>
    </row>
    <row r="28" spans="1:3" ht="13.5">
      <c r="A28" s="3285"/>
      <c r="B28" s="3284"/>
      <c r="C28" s="1429" t="s">
        <v>970</v>
      </c>
    </row>
    <row r="29" spans="1:3" ht="13.5">
      <c r="A29" s="3285"/>
      <c r="B29" s="3284"/>
      <c r="C29" s="1429" t="s">
        <v>971</v>
      </c>
    </row>
    <row r="30" spans="1:3" ht="13.5">
      <c r="A30" s="3285"/>
      <c r="B30" s="3284"/>
      <c r="C30" s="1429" t="s">
        <v>972</v>
      </c>
    </row>
    <row r="31" spans="1:3" ht="13.5">
      <c r="A31" s="3285"/>
      <c r="B31" s="3284"/>
      <c r="C31" s="1429" t="s">
        <v>973</v>
      </c>
    </row>
    <row r="32" spans="1:3" ht="13.5">
      <c r="A32" s="3285"/>
      <c r="B32" s="3284"/>
      <c r="C32" s="1429" t="s">
        <v>974</v>
      </c>
    </row>
    <row r="33" spans="1:3" ht="13.5">
      <c r="A33" s="3285"/>
      <c r="B33" s="32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9" t="s">
        <v>2160</v>
      </c>
      <c r="B17" s="3289"/>
      <c r="C17" s="3289"/>
      <c r="D17" s="3289"/>
      <c r="E17" s="3289"/>
      <c r="F17" s="3289"/>
      <c r="G17" s="3289"/>
      <c r="H17" s="3289"/>
    </row>
    <row r="18" spans="1:8" ht="24" customHeight="1">
      <c r="A18" s="3290" t="s">
        <v>2161</v>
      </c>
      <c r="B18" s="3290"/>
      <c r="C18" s="3290"/>
      <c r="D18" s="2160"/>
      <c r="E18" s="3291" t="s">
        <v>2162</v>
      </c>
      <c r="F18" s="3290"/>
      <c r="G18" s="32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比较法-商业售价</vt:lpstr>
      <vt:lpstr>销售案例</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2025-07-07T10:02:09Z</dcterms:modified>
</cp:coreProperties>
</file>