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5-1-0987北京市丰台区角门东里52号楼4层2门402号\"/>
    </mc:Choice>
  </mc:AlternateContent>
  <bookViews>
    <workbookView xWindow="0" yWindow="0" windowWidth="18084" windowHeight="13548"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角门东里" sheetId="89"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7" i="21" l="1"/>
  <c r="G47" i="21"/>
  <c r="E47" i="21"/>
  <c r="I33" i="21"/>
  <c r="G33" i="21"/>
  <c r="E33" i="21"/>
  <c r="I27" i="21"/>
  <c r="G27" i="21"/>
  <c r="E27" i="21"/>
  <c r="I7" i="21"/>
  <c r="G7" i="21"/>
  <c r="E7" i="21"/>
  <c r="I5" i="21"/>
  <c r="G5" i="21"/>
  <c r="N20" i="1"/>
  <c r="D90" i="21" l="1"/>
  <c r="I37" i="21"/>
  <c r="G37" i="21"/>
  <c r="E37" i="21"/>
  <c r="D5" i="9" l="1"/>
  <c r="I12" i="21" l="1"/>
  <c r="G12" i="21"/>
  <c r="F19" i="6"/>
  <c r="C37" i="21" l="1"/>
  <c r="L59" i="21" l="1"/>
  <c r="K59" i="21"/>
  <c r="I59" i="21"/>
  <c r="H59" i="21"/>
  <c r="F90"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G22" i="69"/>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8" i="67"/>
  <c r="M23" i="67"/>
  <c r="F7" i="73"/>
  <c r="F20" i="31"/>
  <c r="B10" i="76"/>
  <c r="M22" i="67"/>
  <c r="E10" i="76"/>
  <c r="M9" i="67"/>
  <c r="E8" i="76"/>
  <c r="F3" i="73"/>
  <c r="B13" i="76"/>
  <c r="E9" i="76"/>
  <c r="E2" i="69"/>
  <c r="AO13" i="1"/>
  <c r="E2" i="68"/>
  <c r="M8" i="15"/>
  <c r="E7" i="76"/>
  <c r="E12" i="76"/>
  <c r="F7" i="67"/>
  <c r="B9" i="76"/>
  <c r="B12" i="76"/>
  <c r="B7" i="76"/>
  <c r="D35" i="9"/>
  <c r="F5" i="73"/>
  <c r="F4" i="73"/>
  <c r="F6" i="73"/>
  <c r="B8" i="76"/>
  <c r="D34" i="9"/>
  <c r="C76" i="67"/>
  <c r="E13" i="76"/>
  <c r="E11" i="76"/>
  <c r="B11" i="76"/>
  <c r="G22" i="11" l="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J15" i="67"/>
  <c r="F13" i="15"/>
  <c r="F13" i="67"/>
  <c r="F42" i="67"/>
  <c r="M24" i="15"/>
  <c r="F37" i="15"/>
  <c r="D3" i="73"/>
  <c r="L48" i="67"/>
  <c r="F26" i="67"/>
  <c r="F6" i="15"/>
  <c r="F26" i="15"/>
  <c r="F16" i="15"/>
  <c r="M29" i="15"/>
  <c r="F43" i="67"/>
  <c r="L47" i="67"/>
  <c r="F38" i="15"/>
  <c r="F8" i="15"/>
  <c r="D6" i="73"/>
  <c r="F43" i="15"/>
  <c r="F7" i="15"/>
  <c r="M6" i="67"/>
  <c r="F9" i="67"/>
  <c r="J15" i="15"/>
  <c r="F36" i="67"/>
  <c r="L47" i="15"/>
  <c r="D9" i="69"/>
  <c r="F9" i="15"/>
  <c r="C36" i="69"/>
  <c r="D5" i="73"/>
  <c r="F6" i="67"/>
  <c r="M24" i="67"/>
  <c r="L48" i="15"/>
  <c r="F40" i="67"/>
  <c r="F38" i="67"/>
  <c r="M26" i="67"/>
  <c r="M23" i="15"/>
  <c r="D7" i="73"/>
  <c r="M9" i="15"/>
  <c r="M29" i="67"/>
  <c r="M26" i="15"/>
  <c r="M28" i="67"/>
  <c r="F8" i="67"/>
  <c r="F40" i="15"/>
  <c r="D4" i="73"/>
  <c r="M6" i="15"/>
  <c r="F42" i="15"/>
  <c r="F16" i="67"/>
  <c r="M28" i="15"/>
  <c r="F36" i="15"/>
  <c r="M22" i="15"/>
  <c r="F37" i="67"/>
  <c r="C76" i="15"/>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C16" i="15"/>
  <c r="F41" i="67"/>
  <c r="G1" i="73"/>
  <c r="F27" i="69"/>
  <c r="C16" i="67"/>
  <c r="F27" i="11" l="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I89" i="21" s="1"/>
  <c r="J89" i="21" s="1"/>
  <c r="K89" i="21" s="1"/>
  <c r="L89" i="21" s="1"/>
  <c r="M89" i="21" s="1"/>
  <c r="F26" i="21"/>
  <c r="P65" i="71"/>
  <c r="P66" i="71"/>
  <c r="AZ5" i="3"/>
  <c r="AY6"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G67" i="39"/>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15"/>
  <c r="M27" i="67"/>
  <c r="F41" i="15"/>
  <c r="E36" i="36" l="1"/>
  <c r="H26" i="21"/>
  <c r="J26" i="21"/>
  <c r="I46" i="37"/>
  <c r="J46" i="37" s="1"/>
  <c r="G47" i="37"/>
  <c r="H47" i="37" s="1"/>
  <c r="W10" i="40"/>
  <c r="E49" i="34"/>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D10" i="69"/>
  <c r="C14" i="67"/>
  <c r="C17" i="67"/>
  <c r="C17" i="15"/>
  <c r="D5" i="6" l="1"/>
  <c r="D22" i="6"/>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R22" i="6"/>
  <c r="R9" i="1" s="1"/>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67"/>
  <c r="M21" i="15"/>
  <c r="M21" i="67"/>
  <c r="F35"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C20" i="9"/>
  <c r="D2" i="34"/>
  <c r="D2" i="36"/>
  <c r="D2" i="37"/>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0" i="1"/>
  <c r="AO11" i="1"/>
  <c r="AO9" i="1"/>
  <c r="AO7"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8" i="69" l="1"/>
  <c r="C27" i="69" s="1"/>
  <c r="C22" i="69"/>
  <c r="C31" i="69" l="1"/>
  <c r="C52" i="69" s="1"/>
  <c r="B2" i="69" s="1"/>
  <c r="B3" i="69"/>
  <c r="D20" i="9" s="1"/>
  <c r="D19" i="9"/>
  <c r="C57" i="69" l="1"/>
  <c r="C56" i="69" s="1"/>
  <c r="D102" i="9"/>
  <c r="D21" i="9"/>
  <c r="D22" i="9"/>
  <c r="G19" i="9"/>
  <c r="G20" i="9"/>
  <c r="C32" i="9" s="1"/>
  <c r="C35" i="9" s="1"/>
  <c r="C34" i="9" s="1"/>
  <c r="D103" i="9"/>
  <c r="G21" i="9" l="1"/>
  <c r="D14" i="74"/>
  <c r="B5" i="74" l="1"/>
  <c r="D5" i="74" s="1"/>
  <c r="F14" i="74"/>
  <c r="E14" i="74"/>
  <c r="N60" i="9" l="1"/>
  <c r="N61" i="9"/>
  <c r="M48" i="9"/>
  <c r="C6" i="74"/>
  <c r="B21" i="72"/>
  <c r="M54" i="9"/>
  <c r="D15" i="53"/>
  <c r="B31" i="72"/>
  <c r="D8" i="52"/>
  <c r="D52" i="9"/>
  <c r="D53" i="9"/>
  <c r="B20" i="72"/>
  <c r="D7" i="53"/>
  <c r="C5" i="74"/>
  <c r="I4" i="52"/>
  <c r="C105" i="9"/>
  <c r="H102" i="9"/>
  <c r="C104" i="9"/>
  <c r="H4" i="52"/>
  <c r="F4" i="52"/>
  <c r="B51" i="72"/>
  <c r="H108" i="9"/>
  <c r="C93" i="9"/>
  <c r="C86" i="9"/>
  <c r="E4" i="52"/>
  <c r="B48" i="72"/>
  <c r="M55" i="9"/>
  <c r="P57" i="9"/>
  <c r="N58" i="9"/>
  <c r="N59" i="9"/>
  <c r="B30" i="72"/>
  <c r="B53" i="72"/>
  <c r="C96" i="9"/>
  <c r="E96" i="9"/>
  <c r="E97" i="9"/>
  <c r="E81" i="9"/>
  <c r="C81" i="9"/>
  <c r="D59" i="9"/>
  <c r="D55" i="9"/>
  <c r="M53" i="9"/>
  <c r="N57" i="9"/>
  <c r="D122" i="9"/>
  <c r="D123" i="9"/>
  <c r="D9" i="52"/>
  <c r="G4" i="52"/>
  <c r="B52" i="72"/>
  <c r="G118" i="9"/>
  <c r="F118" i="9"/>
  <c r="F119" i="9"/>
  <c r="F5" i="52"/>
  <c r="D5" i="53"/>
  <c r="D6" i="53"/>
  <c r="B22" i="72"/>
  <c r="C78" i="9"/>
  <c r="C73" i="9"/>
  <c r="H119" i="9"/>
  <c r="H5" i="52"/>
  <c r="C72" i="9"/>
  <c r="C79" i="9"/>
  <c r="C80" i="9"/>
  <c r="E80" i="9"/>
  <c r="D119" i="9"/>
  <c r="D5" i="52"/>
  <c r="B49" i="72"/>
  <c r="C85" i="9"/>
  <c r="C95" i="9"/>
  <c r="C97" i="9"/>
  <c r="D58" i="9"/>
  <c r="D56" i="9"/>
  <c r="H107" i="9"/>
  <c r="D13" i="53"/>
  <c r="D14" i="53"/>
  <c r="B32" i="72"/>
  <c r="E118" i="9"/>
  <c r="D118" i="9"/>
  <c r="D4" i="52"/>
  <c r="B47" i="72"/>
  <c r="I118" i="9"/>
  <c r="H118" i="9"/>
  <c r="H101" i="9"/>
  <c r="D45" i="9"/>
  <c r="C64" i="9"/>
  <c r="C63" i="9"/>
  <c r="C67" i="9"/>
  <c r="C68" i="9"/>
  <c r="D5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<sst xmlns="http://schemas.openxmlformats.org/spreadsheetml/2006/main" count="12018" uniqueCount="3554">
  <si>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</si>
  <si>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</si>
  <si>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</si>
  <si>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</si>
  <si>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</si>
  <si>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</si>
  <si>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</si>
  <si>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</si>
  <si>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</si>
  <si>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</si>
  <si>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</si>
  <si>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</si>
  <si>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</si>
  <si>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</si>
  <si>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</si>
  <si>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</si>
  <si>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</si>
  <si>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</si>
  <si>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</si>
  <si>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</si>
  <si>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</si>
  <si>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</si>
  <si>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</si>
  <si>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</si>
  <si>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</si>
  <si>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</si>
  <si>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</si>
  <si>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</si>
  <si>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</si>
  <si>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</si>
  <si>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</si>
  <si>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</si>
  <si>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</si>
  <si>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</si>
  <si>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</si>
  <si>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</si>
  <si>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</si>
  <si>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</si>
  <si>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</si>
  <si>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</si>
  <si>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</si>
  <si>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</si>
  <si>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</si>
  <si>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</si>
  <si>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</si>
  <si>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</si>
  <si>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</si>
  <si>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</si>
  <si>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</si>
  <si>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</si>
  <si>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</si>
  <si>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</si>
  <si>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</si>
  <si>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</si>
  <si>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</si>
  <si>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</si>
  <si>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</si>
  <si>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</si>
  <si>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</si>
  <si>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</si>
  <si>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</si>
  <si>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</si>
  <si>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</si>
  <si>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</si>
  <si>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</si>
  <si>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</si>
  <si>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</si>
  <si>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</si>
  <si>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</si>
  <si>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</si>
  <si>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</si>
  <si>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</si>
  <si>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</si>
  <si>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</si>
  <si>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</si>
  <si>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</si>
  <si>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</si>
  <si>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</si>
  <si>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</si>
  <si>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</si>
  <si>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</si>
  <si>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</si>
  <si>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</si>
  <si>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</si>
  <si>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</si>
  <si>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</si>
  <si>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</si>
  <si>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</si>
  <si>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</si>
  <si>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</si>
  <si>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</si>
  <si>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</si>
  <si>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</si>
  <si>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</si>
  <si>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</si>
  <si>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</si>
  <si>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</si>
  <si>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</si>
  <si>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</si>
  <si>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</si>
  <si>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</si>
  <si>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</si>
  <si>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</si>
  <si>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</si>
  <si>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</si>
  <si>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</si>
  <si>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</si>
  <si>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</si>
  <si>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</si>
  <si>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</si>
  <si>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</si>
  <si>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</si>
  <si>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</si>
  <si>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</si>
  <si>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</si>
  <si>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</si>
  <si>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</si>
  <si>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</si>
  <si>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</si>
  <si>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</si>
  <si>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</si>
  <si>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</si>
  <si>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</si>
  <si>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</si>
  <si>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</si>
  <si>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</si>
  <si>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</si>
  <si>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</si>
  <si>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</si>
  <si>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</si>
  <si>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</si>
  <si>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</si>
  <si>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</si>
  <si>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</si>
  <si>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</si>
  <si>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</si>
  <si>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</si>
  <si>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</si>
  <si>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</si>
  <si>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</si>
  <si>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</si>
  <si>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</si>
  <si>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</si>
  <si>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</si>
  <si>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</si>
  <si>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</si>
  <si>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</si>
  <si>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</si>
  <si>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</si>
  <si>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</si>
  <si>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</si>
  <si>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</si>
  <si>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</si>
  <si>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</si>
  <si>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</si>
  <si>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</si>
  <si>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</si>
  <si>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</si>
  <si>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</si>
  <si>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</si>
  <si>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</si>
  <si>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</si>
  <si>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</si>
  <si>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</si>
  <si>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</si>
  <si>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</si>
  <si>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</si>
  <si>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</si>
  <si>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</si>
  <si>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</si>
  <si>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</si>
  <si>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</si>
  <si>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</si>
  <si>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</si>
  <si>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</si>
  <si>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</si>
  <si>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</si>
  <si>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</si>
  <si>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</si>
  <si>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</si>
  <si>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</si>
  <si>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</si>
  <si>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</si>
  <si>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</si>
  <si>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</si>
  <si>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</si>
  <si>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</si>
  <si>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</si>
  <si>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</si>
  <si>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</si>
  <si>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</si>
  <si>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</si>
  <si>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</si>
  <si>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</si>
  <si>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</si>
  <si>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</si>
  <si>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</si>
  <si>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</si>
  <si>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</si>
  <si>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</si>
  <si>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</si>
  <si>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</si>
  <si>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</si>
  <si>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</si>
  <si>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</si>
  <si>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</si>
  <si>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</si>
  <si>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</si>
  <si>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</si>
  <si>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</si>
  <si>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</si>
  <si>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</si>
  <si>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</si>
  <si>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</si>
  <si>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</si>
  <si>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</si>
  <si>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</si>
  <si>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</si>
  <si>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</si>
  <si>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</si>
  <si>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</si>
  <si>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</si>
  <si>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</si>
  <si>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</si>
  <si>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</si>
  <si>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</si>
  <si>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</si>
  <si>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</si>
  <si>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</si>
  <si>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</si>
  <si>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</si>
  <si>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</si>
  <si>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</si>
  <si>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</si>
  <si>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</si>
  <si>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</si>
  <si>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</si>
  <si>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</si>
  <si>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</si>
  <si>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</si>
  <si>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</si>
  <si>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</si>
  <si>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</si>
  <si>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</si>
  <si>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</si>
  <si>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</si>
  <si>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</si>
  <si>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</si>
  <si>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</si>
  <si>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</si>
  <si>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</si>
  <si>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</si>
  <si>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</si>
  <si>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</si>
  <si>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</si>
  <si>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</si>
  <si>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</si>
  <si>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</si>
  <si>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</si>
  <si>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</si>
  <si>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</si>
  <si>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</si>
  <si>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</si>
  <si>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</si>
  <si>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</si>
  <si>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</si>
  <si>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</si>
  <si>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</si>
  <si>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</si>
  <si>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</si>
  <si>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</si>
  <si>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</si>
  <si>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</si>
  <si>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</si>
  <si>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</si>
  <si>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</si>
  <si>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</si>
  <si>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</si>
  <si>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</si>
  <si>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</si>
  <si>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</si>
  <si>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</si>
  <si>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</si>
  <si>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</si>
  <si>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</si>
  <si>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</si>
  <si>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</si>
  <si>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</si>
  <si>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</si>
  <si>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</si>
  <si>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</si>
  <si>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</si>
  <si>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</si>
  <si>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</si>
  <si>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</si>
  <si>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</si>
  <si>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</si>
  <si>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</si>
  <si>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</si>
  <si>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</si>
  <si>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</si>
  <si>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</si>
  <si>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</si>
  <si>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</si>
  <si>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</si>
  <si>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</si>
  <si>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</si>
  <si>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</si>
  <si>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</si>
  <si>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</si>
  <si>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</si>
  <si>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</si>
  <si>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</si>
  <si>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</si>
  <si>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</si>
  <si>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</si>
  <si>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</si>
  <si>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</si>
  <si>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</si>
  <si>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</si>
  <si>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</si>
  <si>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</si>
  <si>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</si>
  <si>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</si>
  <si>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</si>
  <si>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</si>
  <si>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</si>
  <si>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</si>
  <si>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</si>
  <si>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</si>
  <si>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</si>
  <si>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</si>
  <si>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</si>
  <si>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</si>
  <si>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</si>
  <si>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</si>
  <si>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</si>
  <si>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</si>
  <si>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</si>
  <si>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</si>
  <si>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</si>
  <si>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</si>
  <si>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</si>
  <si>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</si>
  <si>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</si>
  <si>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</si>
  <si>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</si>
  <si>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</si>
  <si>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</si>
  <si>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</si>
  <si>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</si>
  <si>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</si>
  <si>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</si>
  <si>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</si>
  <si>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</si>
  <si>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</si>
  <si>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</si>
  <si>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</si>
  <si>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</si>
  <si>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</si>
  <si>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</si>
  <si>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</si>
  <si>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</si>
  <si>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</si>
  <si>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</si>
  <si>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</si>
  <si>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</si>
  <si>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</si>
  <si>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</si>
  <si>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</si>
  <si>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</si>
  <si>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</si>
  <si>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</si>
  <si>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</si>
  <si>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</si>
  <si>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</si>
  <si>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</si>
  <si>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</si>
  <si>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</si>
  <si>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</si>
  <si>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</si>
  <si>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</si>
  <si>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</si>
  <si>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</si>
  <si>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</si>
  <si>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</si>
  <si>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</si>
  <si>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</si>
  <si>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</si>
  <si>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</si>
  <si>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</si>
  <si>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</si>
  <si>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</si>
  <si>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</si>
  <si>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</si>
  <si>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</si>
  <si>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</si>
  <si>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</si>
  <si>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</si>
  <si>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</si>
  <si>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</si>
  <si>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</si>
  <si>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</si>
  <si>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</si>
  <si>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</si>
  <si>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</si>
  <si>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</si>
  <si>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</si>
  <si>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</si>
  <si>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</si>
  <si>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</si>
  <si>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</si>
  <si>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</si>
  <si>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</si>
  <si>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</si>
  <si>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</si>
  <si>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</si>
  <si>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</si>
  <si>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</si>
  <si>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</si>
  <si>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</si>
  <si>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</si>
  <si>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</si>
  <si>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</si>
  <si>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</si>
  <si>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</si>
  <si>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</si>
  <si>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</si>
  <si>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</si>
  <si>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</si>
  <si>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</si>
  <si>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</si>
  <si>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</si>
  <si>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</si>
  <si>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</si>
  <si>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</si>
  <si>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</si>
  <si>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</si>
  <si>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</si>
  <si>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</si>
  <si>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</si>
  <si>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</si>
  <si>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</si>
  <si>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</si>
  <si>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</si>
  <si>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</si>
  <si>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</si>
  <si>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</si>
  <si>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</si>
  <si>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</si>
  <si>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</si>
  <si>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</si>
  <si>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</si>
  <si>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</si>
  <si>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</si>
  <si>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</si>
  <si>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</si>
  <si>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</si>
  <si>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</si>
  <si>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</si>
  <si>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</si>
  <si>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</si>
  <si>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</si>
  <si>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</si>
  <si>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</si>
  <si>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</si>
  <si>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</si>
  <si>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</si>
  <si>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</si>
  <si>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</si>
  <si>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</si>
  <si>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</si>
  <si>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</si>
  <si>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</si>
  <si>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</si>
  <si>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</si>
  <si>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</si>
  <si>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</si>
  <si>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</si>
  <si>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</si>
  <si>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</si>
  <si>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</si>
  <si>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</si>
  <si>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</si>
  <si>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</si>
  <si>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</si>
  <si>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</si>
  <si>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</si>
  <si>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</si>
  <si>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</si>
  <si>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</si>
  <si>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</si>
  <si>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</si>
  <si>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</si>
  <si>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</si>
  <si>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</si>
  <si>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</si>
  <si>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</si>
  <si>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</si>
  <si>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</si>
  <si>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</si>
  <si>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</si>
  <si>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</si>
  <si>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</si>
  <si>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</si>
  <si>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</si>
  <si>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</si>
  <si>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</si>
  <si>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</si>
  <si>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</si>
  <si>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</si>
  <si>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</si>
  <si>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</si>
  <si>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</si>
  <si>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</si>
  <si>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</si>
  <si>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</si>
  <si>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</si>
  <si>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</si>
  <si>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</si>
  <si>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</si>
  <si>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</si>
  <si>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</si>
  <si>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</si>
  <si>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</si>
  <si>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</si>
  <si>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</si>
  <si>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</si>
  <si>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</si>
  <si>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</si>
  <si>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</si>
  <si>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</si>
  <si>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</si>
  <si>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</si>
  <si>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</si>
  <si>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</si>
  <si>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</si>
  <si>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</si>
  <si>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</si>
  <si>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</si>
  <si>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</si>
  <si>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</si>
  <si>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</si>
  <si>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</si>
  <si>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</si>
  <si>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</si>
  <si>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</si>
  <si>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</si>
  <si>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</si>
  <si>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</si>
  <si>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</si>
  <si>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</si>
  <si>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</si>
  <si>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</si>
  <si>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</si>
  <si>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</si>
  <si>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</si>
  <si>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</si>
  <si>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</si>
  <si>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</si>
  <si>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</si>
  <si>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</si>
  <si>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</si>
  <si>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</si>
  <si>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</si>
  <si>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</si>
  <si>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</si>
  <si>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</si>
  <si>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</si>
  <si>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</si>
  <si>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</si>
  <si>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</si>
  <si>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</si>
  <si>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</si>
  <si>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</si>
  <si>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</si>
  <si>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</si>
  <si>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</si>
  <si>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</si>
  <si>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</si>
  <si>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</si>
  <si>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</si>
  <si>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</si>
  <si>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</si>
  <si>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</si>
  <si>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</si>
  <si>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</si>
  <si>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</si>
  <si>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</si>
  <si>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</si>
  <si>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</si>
  <si>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</si>
  <si>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</si>
  <si>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</si>
  <si>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</si>
  <si>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</si>
  <si>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</si>
  <si>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</si>
  <si>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</si>
  <si>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</si>
  <si>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</si>
  <si>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</si>
  <si>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</si>
  <si>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</si>
  <si>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</si>
  <si>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</si>
  <si>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</si>
  <si>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</si>
  <si>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</si>
  <si>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</si>
  <si>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</si>
  <si>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</si>
  <si>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</si>
  <si>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</si>
  <si>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</si>
  <si>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</si>
  <si>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</si>
  <si>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</si>
  <si>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</si>
  <si>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</si>
  <si>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</si>
  <si>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</si>
  <si>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</si>
  <si>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</si>
  <si>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</si>
  <si>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</si>
  <si>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</si>
  <si>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</si>
  <si>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</si>
  <si>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</si>
  <si>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</si>
  <si>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</si>
  <si>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</si>
  <si>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</si>
  <si>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</si>
  <si>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</si>
  <si>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</si>
  <si>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</si>
  <si>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</si>
  <si>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</si>
  <si>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</si>
  <si>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</si>
  <si>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</si>
  <si>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</si>
  <si>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</si>
  <si>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</si>
  <si>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</si>
  <si>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</si>
  <si>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</si>
  <si>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</si>
  <si>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</si>
  <si>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</si>
  <si>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</si>
  <si>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</si>
  <si>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</si>
  <si>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</si>
  <si>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</si>
  <si>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</si>
  <si>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</si>
  <si>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</si>
  <si>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</si>
  <si>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</si>
  <si>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</si>
  <si>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</si>
  <si>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</si>
  <si>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</si>
  <si>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</si>
  <si>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</si>
  <si>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</si>
  <si>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</si>
  <si>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</si>
  <si>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</si>
  <si>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</si>
  <si>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</si>
  <si>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</si>
  <si>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</si>
  <si>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</si>
  <si>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</si>
  <si>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</si>
  <si>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</si>
  <si>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</si>
  <si>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</si>
  <si>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</si>
  <si>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</si>
  <si>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</si>
  <si>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</si>
  <si>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</si>
  <si>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</si>
  <si>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</si>
  <si>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</si>
  <si>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</si>
  <si>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</si>
  <si>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</si>
  <si>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</si>
  <si>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</si>
  <si>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</si>
  <si>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</si>
  <si>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</si>
  <si>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</si>
  <si>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</si>
  <si>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</si>
  <si>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</si>
  <si>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</si>
  <si>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</si>
  <si>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</si>
  <si>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</si>
  <si>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</si>
  <si>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</si>
  <si>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</si>
  <si>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</si>
  <si>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</si>
  <si>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</si>
  <si>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</si>
  <si>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</si>
  <si>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</si>
  <si>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</si>
  <si>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</si>
  <si>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</si>
  <si>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</si>
  <si>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</si>
  <si>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</si>
  <si>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</si>
  <si>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</si>
  <si>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</si>
  <si>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</si>
  <si>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</si>
  <si>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</si>
  <si>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</si>
  <si>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</si>
  <si>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</si>
  <si>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</si>
  <si>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</si>
  <si>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</si>
  <si>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</si>
  <si>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</si>
  <si>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</si>
  <si>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</si>
  <si>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</si>
  <si>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</si>
  <si>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</si>
  <si>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</si>
  <si>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</si>
  <si>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</si>
  <si>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</si>
  <si>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</si>
  <si>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</si>
  <si>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</si>
  <si>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</si>
  <si>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</si>
  <si>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</si>
  <si>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</si>
  <si>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</si>
  <si>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</si>
  <si>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</si>
  <si>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</si>
  <si>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</si>
  <si>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</si>
  <si>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</si>
  <si>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</si>
  <si>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</si>
  <si>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</si>
  <si>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</si>
  <si>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</si>
  <si>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</si>
  <si>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</si>
  <si>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</si>
  <si>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</si>
  <si>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</si>
  <si>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</si>
  <si>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</si>
  <si>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</si>
  <si>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</si>
  <si>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</si>
  <si>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</si>
  <si>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</si>
  <si>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</si>
  <si>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</si>
  <si>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</si>
  <si>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</si>
  <si>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</si>
  <si>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</si>
  <si>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</si>
  <si>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</si>
  <si>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</si>
  <si>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</si>
  <si>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</si>
  <si>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</si>
  <si>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</si>
  <si>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</si>
  <si>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</si>
  <si>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</si>
  <si>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</si>
  <si>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</si>
  <si>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</si>
  <si>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</si>
  <si>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</si>
  <si>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</si>
  <si>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</si>
  <si>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</si>
  <si>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</si>
  <si>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</si>
  <si>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</si>
  <si>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</si>
  <si>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</si>
  <si>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</si>
  <si>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</si>
  <si>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</si>
  <si>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</si>
  <si>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</si>
  <si>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</si>
  <si>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</si>
  <si>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</si>
  <si>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</si>
  <si>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</si>
  <si>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</si>
  <si>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</si>
  <si>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</si>
  <si>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</si>
  <si>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</si>
  <si>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</si>
  <si>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</si>
  <si>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</si>
  <si>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</si>
  <si>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</si>
  <si>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</si>
  <si>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</si>
  <si>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</si>
  <si>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</si>
  <si>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</si>
  <si>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</si>
  <si>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</si>
  <si>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</si>
  <si>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</si>
  <si>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</si>
  <si>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</si>
  <si>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</si>
  <si>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</si>
  <si>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</si>
  <si>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</si>
  <si>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</si>
  <si>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</si>
  <si>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</si>
  <si>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</si>
  <si>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</si>
  <si>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</si>
  <si>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</si>
  <si>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</si>
  <si>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</si>
  <si>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</si>
  <si>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</si>
  <si>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</si>
  <si>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</si>
  <si>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</si>
  <si>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</si>
  <si>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</si>
  <si>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</si>
  <si>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</si>
  <si>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</si>
  <si>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</si>
  <si>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</si>
  <si>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</si>
  <si>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</si>
  <si>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</si>
  <si>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</si>
  <si>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</si>
  <si>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</si>
  <si>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</si>
  <si>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</si>
  <si>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</si>
  <si>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</si>
  <si>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</si>
  <si>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</si>
  <si>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</si>
  <si>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</si>
  <si>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</si>
  <si>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</si>
  <si>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</si>
  <si>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</si>
  <si>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</si>
  <si>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</si>
  <si>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</si>
  <si>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</si>
  <si>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</si>
  <si>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</si>
  <si>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</si>
  <si>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</si>
  <si>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</si>
  <si>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</si>
  <si>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</si>
  <si>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</si>
  <si>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</si>
  <si>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</si>
  <si>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</si>
  <si>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</si>
  <si>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</si>
  <si>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</si>
  <si>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</si>
  <si>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</si>
  <si>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</si>
  <si>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</si>
  <si>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</si>
  <si>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</si>
  <si>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</si>
  <si>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</si>
  <si>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</si>
  <si>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</si>
  <si>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</si>
  <si>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</si>
  <si>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</si>
  <si>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</si>
  <si>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</si>
  <si>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</si>
  <si>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</si>
  <si>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</si>
  <si>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</si>
  <si>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</si>
  <si>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</si>
  <si>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</si>
  <si>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</si>
  <si>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</si>
  <si>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</si>
  <si>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</si>
  <si>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</si>
  <si>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</si>
  <si>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</si>
  <si>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</si>
  <si>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</si>
  <si>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</si>
  <si>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</si>
  <si>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</si>
  <si>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</si>
  <si>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</si>
  <si>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</si>
  <si>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</si>
  <si>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</si>
  <si>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</si>
  <si>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</si>
  <si>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</si>
  <si>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</si>
  <si>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</si>
  <si>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</si>
  <si>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</si>
  <si>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</si>
  <si>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</si>
  <si>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</si>
  <si>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</si>
  <si>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</si>
  <si>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</si>
  <si>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</si>
  <si>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</si>
  <si>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</si>
  <si>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</si>
  <si>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</si>
  <si>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</si>
  <si>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</si>
  <si>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</si>
  <si>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</si>
  <si>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</si>
  <si>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</si>
  <si>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</si>
  <si>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</si>
  <si>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</si>
  <si>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</si>
  <si>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</si>
  <si>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</si>
  <si>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</si>
  <si>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</si>
  <si>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</si>
  <si>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</si>
  <si>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</si>
  <si>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</si>
  <si>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</si>
  <si>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</si>
  <si>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</si>
  <si>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</si>
  <si>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</si>
  <si>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</si>
  <si>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</si>
  <si>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</si>
  <si>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</si>
  <si>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</si>
  <si>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</si>
  <si>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</si>
  <si>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</si>
  <si>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</si>
  <si>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</si>
  <si>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</si>
  <si>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</si>
  <si>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</si>
  <si>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</si>
  <si>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</si>
  <si>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</si>
  <si>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</si>
  <si>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</si>
  <si>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</si>
  <si>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</si>
  <si>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</si>
  <si>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</si>
  <si>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</si>
  <si>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</si>
  <si>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</si>
  <si>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</si>
  <si>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</si>
  <si>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</si>
  <si>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</si>
  <si>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</si>
  <si>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</si>
  <si>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</si>
  <si>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</si>
  <si>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</si>
  <si>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</si>
  <si>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</si>
  <si>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</si>
  <si>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</si>
  <si>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</si>
  <si>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</si>
  <si>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</si>
  <si>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</si>
  <si>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</si>
  <si>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</si>
  <si>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</si>
  <si>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</si>
  <si>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</si>
  <si>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</si>
  <si>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</si>
  <si>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</si>
  <si>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</si>
  <si>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</si>
  <si>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</si>
  <si>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</si>
  <si>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</si>
  <si>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</si>
  <si>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</si>
  <si>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</si>
  <si>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</si>
  <si>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</si>
  <si>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</si>
  <si>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</si>
  <si>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</si>
  <si>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</si>
  <si>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</si>
  <si>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</si>
  <si>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</si>
  <si>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</si>
  <si>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</si>
  <si>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</si>
  <si>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</si>
  <si>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</si>
  <si>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</si>
  <si>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</si>
  <si>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</si>
  <si>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</si>
  <si>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</si>
  <si>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</si>
  <si>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</si>
  <si>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</si>
  <si>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</si>
  <si>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</si>
  <si>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</si>
  <si>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</si>
  <si>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</si>
  <si>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</si>
  <si>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</si>
  <si>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</si>
  <si>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</si>
  <si>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</si>
  <si>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</si>
  <si>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</si>
  <si>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</si>
  <si>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</si>
  <si>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</si>
  <si>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</si>
  <si>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</si>
  <si>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</si>
  <si>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</si>
  <si>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</si>
  <si>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</si>
  <si>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</si>
  <si>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</si>
  <si>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</si>
  <si>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</si>
  <si>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</si>
  <si>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</si>
  <si>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</si>
  <si>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</si>
  <si>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</si>
  <si>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</si>
  <si>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</si>
  <si>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</si>
  <si>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</si>
  <si>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</si>
  <si>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</si>
  <si>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</si>
  <si>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</si>
  <si>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</si>
  <si>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</si>
  <si>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</si>
  <si>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</si>
  <si>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</si>
  <si>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</si>
  <si>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</si>
  <si>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</si>
  <si>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</si>
  <si>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</si>
  <si>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</si>
  <si>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</si>
  <si>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</si>
  <si>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</si>
  <si>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</si>
  <si>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</si>
  <si>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</si>
  <si>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</si>
  <si>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</si>
  <si>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</si>
  <si>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</si>
  <si>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</si>
  <si>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</si>
  <si>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</si>
  <si>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</si>
  <si>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</si>
  <si>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</si>
  <si>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</si>
  <si>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</si>
  <si>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</si>
  <si>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</si>
  <si>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</si>
  <si>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</si>
  <si>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</si>
  <si>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</si>
  <si>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</si>
  <si>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</si>
  <si>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</si>
  <si>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</si>
  <si>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</si>
  <si>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</si>
  <si>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</si>
  <si>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</si>
  <si>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</si>
  <si>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</si>
  <si>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</si>
  <si>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</si>
  <si>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</si>
  <si>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</si>
  <si>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</si>
  <si>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</si>
  <si>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</si>
  <si>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</si>
  <si>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</si>
  <si>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</si>
  <si>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</si>
  <si>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</si>
  <si>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</si>
  <si>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</si>
  <si>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</si>
  <si>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</si>
  <si>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</si>
  <si>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</si>
  <si>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</si>
  <si>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</si>
  <si>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</si>
  <si>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</si>
  <si>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</si>
  <si>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</si>
  <si>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</si>
  <si>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</si>
  <si>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</si>
  <si>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</si>
  <si>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</si>
  <si>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</si>
  <si>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</si>
  <si>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</si>
  <si>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</si>
  <si>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</si>
  <si>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</si>
  <si>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</si>
  <si>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</si>
  <si>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</si>
  <si>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</si>
  <si>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</si>
  <si>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</si>
  <si>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</si>
  <si>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</si>
  <si>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</si>
  <si>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</si>
  <si>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</si>
  <si>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</si>
  <si>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</si>
  <si>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</si>
  <si>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</si>
  <si>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</si>
  <si>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</si>
  <si>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</si>
  <si>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</si>
  <si>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</si>
  <si>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</si>
  <si>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</si>
  <si>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</si>
  <si>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</si>
  <si>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</si>
  <si>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</si>
  <si>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</si>
  <si>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</si>
  <si>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</si>
  <si>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</si>
  <si>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</si>
  <si>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</si>
  <si>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</si>
  <si>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</si>
  <si>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</si>
  <si>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</si>
  <si>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</si>
  <si>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</si>
  <si>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</si>
  <si>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</si>
  <si>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</si>
  <si>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</si>
  <si>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</si>
  <si>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</si>
  <si>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</si>
  <si>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</si>
  <si>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</si>
  <si>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</si>
  <si>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</si>
  <si>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</si>
  <si>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</si>
  <si>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</si>
  <si>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</si>
  <si>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</si>
  <si>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</si>
  <si>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</si>
  <si>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</si>
  <si>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</si>
  <si>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</si>
  <si>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</si>
  <si>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</si>
  <si>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</si>
  <si>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</si>
  <si>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</si>
  <si>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</si>
  <si>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</si>
  <si>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</si>
  <si>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</si>
  <si>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</si>
  <si>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</si>
  <si>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</si>
  <si>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</si>
  <si>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</si>
  <si>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</si>
  <si>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</si>
  <si>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</si>
  <si>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</si>
  <si>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</si>
  <si>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</si>
  <si>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</si>
  <si>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</si>
  <si>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</si>
  <si>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</si>
  <si>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</si>
  <si>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</si>
  <si>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</si>
  <si>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</si>
  <si>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</si>
  <si>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</si>
  <si>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</si>
  <si>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</si>
  <si>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</si>
  <si>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</si>
  <si>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</si>
  <si>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</si>
  <si>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</si>
  <si>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</si>
  <si>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</si>
  <si>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</si>
  <si>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</si>
  <si>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</si>
  <si>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</si>
  <si>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</si>
  <si>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</si>
  <si>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</si>
  <si>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</si>
  <si>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</si>
  <si>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</si>
  <si>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</si>
  <si>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</si>
  <si>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</si>
  <si>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</si>
  <si>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</si>
  <si>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</si>
  <si>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</si>
  <si>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</si>
  <si>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</si>
  <si>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</si>
  <si>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</si>
  <si>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</si>
  <si>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</si>
  <si>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</si>
  <si>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</si>
  <si>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</si>
  <si>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</si>
  <si>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</si>
  <si>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</si>
  <si>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</si>
  <si>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</si>
  <si>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</si>
  <si>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</si>
  <si>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</si>
  <si>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</si>
  <si>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</si>
  <si>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</si>
  <si>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</si>
  <si>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</si>
  <si>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</si>
  <si>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</si>
  <si>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</si>
  <si>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</si>
  <si>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</si>
  <si>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</si>
  <si>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</si>
  <si>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</si>
  <si>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</si>
  <si>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</si>
  <si>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</si>
  <si>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</si>
  <si>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</si>
  <si>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</si>
  <si>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</si>
  <si>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</si>
  <si>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</si>
  <si>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</si>
  <si>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</si>
  <si>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</si>
  <si>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</si>
  <si>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</si>
  <si>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</si>
  <si>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</si>
  <si>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</si>
  <si>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</si>
  <si>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</si>
  <si>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</si>
  <si>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</si>
  <si>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</si>
  <si>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</si>
  <si>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</si>
  <si>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</si>
  <si>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</si>
  <si>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</si>
  <si>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</si>
  <si>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</si>
  <si>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</si>
  <si>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</si>
  <si>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</si>
  <si>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</si>
  <si>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</si>
  <si>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</si>
  <si>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</si>
  <si>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</si>
  <si>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</si>
  <si>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</si>
  <si>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</si>
  <si>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</si>
  <si>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</si>
  <si>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</si>
  <si>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</si>
  <si>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</si>
  <si>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</si>
  <si>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</si>
  <si>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</si>
  <si>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</si>
  <si>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</si>
  <si>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</si>
  <si>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</si>
  <si>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</si>
  <si>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</si>
  <si>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</si>
  <si>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</si>
  <si>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</si>
  <si>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</si>
  <si>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</si>
  <si>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</si>
  <si>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</si>
  <si>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</si>
  <si>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</si>
  <si>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</si>
  <si>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</si>
  <si>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</si>
  <si>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</si>
  <si>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</si>
  <si>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</si>
  <si>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</si>
  <si>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</si>
  <si>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</si>
  <si>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</si>
  <si>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</si>
  <si>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</si>
  <si>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</si>
  <si>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</si>
  <si>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</si>
  <si>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</si>
  <si>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</si>
  <si>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</si>
  <si>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</si>
  <si>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</si>
  <si>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</si>
  <si>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</si>
  <si>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</si>
  <si>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</si>
  <si>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</si>
  <si>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</si>
  <si>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</si>
  <si>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</si>
  <si>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</si>
  <si>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</si>
  <si>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</si>
  <si>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</si>
  <si>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</si>
  <si>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</si>
  <si>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</si>
  <si>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</si>
  <si>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</si>
  <si>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</si>
  <si>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</si>
  <si>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</si>
  <si>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</si>
  <si>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</si>
  <si>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</si>
  <si>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</si>
  <si>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</si>
  <si>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</si>
  <si>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</si>
  <si>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</si>
  <si>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</si>
  <si>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</si>
  <si>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</si>
  <si>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</si>
  <si>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</si>
  <si>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</si>
  <si>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</si>
  <si>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</si>
  <si>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</si>
  <si>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</si>
  <si>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</si>
  <si>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</si>
  <si>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</si>
  <si>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</si>
  <si>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</si>
  <si>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</si>
  <si>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</si>
  <si>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</si>
  <si>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</si>
  <si>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</si>
  <si>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</si>
  <si>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</si>
  <si>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</si>
  <si>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</si>
  <si>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</si>
  <si>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</si>
  <si>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</si>
  <si>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</si>
  <si>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</si>
  <si>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</si>
  <si>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</si>
  <si>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</si>
  <si>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</si>
  <si>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</si>
  <si>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</si>
  <si>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</si>
  <si>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</si>
  <si>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</si>
  <si>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</si>
  <si>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</si>
  <si>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</si>
  <si>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</si>
  <si>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</si>
  <si>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</si>
  <si>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</si>
  <si>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</si>
  <si>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</si>
  <si>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</si>
  <si>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</si>
  <si>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</si>
  <si>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</si>
  <si>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</si>
  <si>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</si>
  <si>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</si>
  <si>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</si>
  <si>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</si>
  <si>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</si>
  <si>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</si>
  <si>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</si>
  <si>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</si>
  <si>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</si>
  <si>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</si>
  <si>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</si>
  <si>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</si>
  <si>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</si>
  <si>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</si>
  <si>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</si>
  <si>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</si>
  <si>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</si>
  <si>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</si>
  <si>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</si>
  <si>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</si>
  <si>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</si>
  <si>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</si>
  <si>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</si>
  <si>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</si>
  <si>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</si>
  <si>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</si>
  <si>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</si>
  <si>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</si>
  <si>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</si>
  <si>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</si>
  <si>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</si>
  <si>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</si>
  <si>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</si>
  <si>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</si>
  <si>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</si>
  <si>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</si>
  <si>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</si>
  <si>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</si>
  <si>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</si>
  <si>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</si>
  <si>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</si>
  <si>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</si>
  <si>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</si>
  <si>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</si>
  <si>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</si>
  <si>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</si>
  <si>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</si>
  <si>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</si>
  <si>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</si>
  <si>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</si>
  <si>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</si>
  <si>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</si>
  <si>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</si>
  <si>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</si>
  <si>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</si>
  <si>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</si>
  <si>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</si>
  <si>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</si>
  <si>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</si>
  <si>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</si>
  <si>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</si>
  <si>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</si>
  <si>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</si>
  <si>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</si>
  <si>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</si>
  <si>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</si>
  <si>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</si>
  <si>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</si>
  <si>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</si>
  <si>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</si>
  <si>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</si>
  <si>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</si>
  <si>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</si>
  <si>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</si>
  <si>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</si>
  <si>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</si>
  <si>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</si>
  <si>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</si>
  <si>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</si>
  <si>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</si>
  <si>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</si>
  <si>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</si>
  <si>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</si>
  <si>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</si>
  <si>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</si>
  <si>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</si>
  <si>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</si>
  <si>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</si>
  <si>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</si>
  <si>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</si>
  <si>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</si>
  <si>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</si>
  <si>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</si>
  <si>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</si>
  <si>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</si>
  <si>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</si>
  <si>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</si>
  <si>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</si>
  <si>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</si>
  <si>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</si>
  <si>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</si>
  <si>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</si>
  <si>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</si>
  <si>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</si>
  <si>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</si>
  <si>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</si>
  <si>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</si>
  <si>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</si>
  <si>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</si>
  <si>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</si>
  <si>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</si>
  <si>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</si>
  <si>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</si>
  <si>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</si>
  <si>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</si>
  <si>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</si>
  <si>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</si>
  <si>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</si>
  <si>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</si>
  <si>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</si>
  <si>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</si>
  <si>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</si>
  <si>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</si>
  <si>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</si>
  <si>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</si>
  <si>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</si>
  <si>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</si>
  <si>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</si>
  <si>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</si>
  <si>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</si>
  <si>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</si>
  <si>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</si>
  <si>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</si>
  <si>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</si>
  <si>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</si>
  <si>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</si>
  <si>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</si>
  <si>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</si>
  <si>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</si>
  <si>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</si>
  <si>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</si>
  <si>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</si>
  <si>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</si>
  <si>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</si>
  <si>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</si>
  <si>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</si>
  <si>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</si>
  <si>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</si>
  <si>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</si>
  <si>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</si>
  <si>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</si>
  <si>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</si>
  <si>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</si>
  <si>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</si>
  <si>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</si>
  <si>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</si>
  <si>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</si>
  <si>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</si>
  <si>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</si>
  <si>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</si>
  <si>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</si>
  <si>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</si>
  <si>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</si>
  <si>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</si>
  <si>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</si>
  <si>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</si>
  <si>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</si>
  <si>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</si>
  <si>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</si>
  <si>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</si>
  <si>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</si>
  <si>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</si>
  <si>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</si>
  <si>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</si>
  <si>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</si>
  <si>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</si>
  <si>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</si>
  <si>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</si>
  <si>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</si>
  <si>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</si>
  <si>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</si>
  <si>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</si>
  <si>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</si>
  <si>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</si>
  <si>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</si>
  <si>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</si>
  <si>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</si>
  <si>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</si>
  <si>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</si>
  <si>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</si>
  <si>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</si>
  <si>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</si>
  <si>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</si>
  <si>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</si>
  <si>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</si>
  <si>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</si>
  <si>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</si>
  <si>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</si>
  <si>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</si>
  <si>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</si>
  <si>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</si>
  <si>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</si>
  <si>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</si>
  <si>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</si>
  <si>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</si>
  <si>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</si>
  <si>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</si>
  <si>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</si>
  <si>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</si>
  <si>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</si>
  <si>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</si>
  <si>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</si>
  <si>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</si>
  <si>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</si>
  <si>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</si>
  <si>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</si>
  <si>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</si>
  <si>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</si>
  <si>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</si>
  <si>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</si>
  <si>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</si>
  <si>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</si>
  <si>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</si>
  <si>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</si>
  <si>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</si>
  <si>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</si>
  <si>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</si>
  <si>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</si>
  <si>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</si>
  <si>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</si>
  <si>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</si>
  <si>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</si>
  <si>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</si>
  <si>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</si>
  <si>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</si>
  <si>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</si>
  <si>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</si>
  <si>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</si>
  <si>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</si>
  <si>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</si>
  <si>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</si>
  <si>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</si>
  <si>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</si>
  <si>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</si>
  <si>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</si>
  <si>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</si>
  <si>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</si>
  <si>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</si>
  <si>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</si>
  <si>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</si>
  <si>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</si>
  <si>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</si>
  <si>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</si>
  <si>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</si>
  <si>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</si>
  <si>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</si>
  <si>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</si>
  <si>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</si>
  <si>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</si>
  <si>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</si>
  <si>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</si>
  <si>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</si>
  <si>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</si>
  <si>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</si>
  <si>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</si>
  <si>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</si>
  <si>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</si>
  <si>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</si>
  <si>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</si>
  <si>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</si>
  <si>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</si>
  <si>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</si>
  <si>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</si>
  <si>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</si>
  <si>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</si>
  <si>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</si>
  <si>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</si>
  <si>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</si>
  <si>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</si>
  <si>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</si>
  <si>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</si>
  <si>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</si>
  <si>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</si>
  <si>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</si>
  <si>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</si>
  <si>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</si>
  <si>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</si>
  <si>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</si>
  <si>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</si>
  <si>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</si>
  <si>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</si>
  <si>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</si>
  <si>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</si>
  <si>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</si>
  <si>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</si>
  <si>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</si>
  <si>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</si>
  <si>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</si>
  <si>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</si>
  <si>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</si>
  <si>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</si>
  <si>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</si>
  <si>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</si>
  <si>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</si>
  <si>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</si>
  <si>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</si>
  <si>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</si>
  <si>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</si>
  <si>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</si>
  <si>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</si>
  <si>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</si>
  <si>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</si>
  <si>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</si>
  <si>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</si>
  <si>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</si>
  <si>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</si>
  <si>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</si>
  <si>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</si>
  <si>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</si>
  <si>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</si>
  <si>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</si>
  <si>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</si>
  <si>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</si>
  <si>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</si>
  <si>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</si>
  <si>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</si>
  <si>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</si>
  <si>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</si>
  <si>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</si>
  <si>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</si>
  <si>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</si>
  <si>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</si>
  <si>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</si>
  <si>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</si>
  <si>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</si>
  <si>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</si>
  <si>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</si>
  <si>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</si>
  <si>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</si>
  <si>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</si>
  <si>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</si>
  <si>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</si>
  <si>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</si>
  <si>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</si>
  <si>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</si>
  <si>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</si>
  <si>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</si>
  <si>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</si>
  <si>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</si>
  <si>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</si>
  <si>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</si>
  <si>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</si>
  <si>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</si>
  <si>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</si>
  <si>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</si>
  <si>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</si>
  <si>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</si>
  <si>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</si>
  <si>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</si>
  <si>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</si>
  <si>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</si>
  <si>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</si>
  <si>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</si>
  <si>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</si>
  <si>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</si>
  <si>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</si>
  <si>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</si>
  <si>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</si>
  <si>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</si>
  <si>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</si>
  <si>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</si>
  <si>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</si>
  <si>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</si>
  <si>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</si>
  <si>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</si>
  <si>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</si>
  <si>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</si>
  <si>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</si>
  <si>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</si>
  <si>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</si>
  <si>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</si>
  <si>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</si>
  <si>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</si>
  <si>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</si>
  <si>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</si>
  <si>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</si>
  <si>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</si>
  <si>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</si>
  <si>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</si>
  <si>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</si>
  <si>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</si>
  <si>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</si>
  <si>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</si>
  <si>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</si>
  <si>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</si>
  <si>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</si>
  <si>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</si>
  <si>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</si>
  <si>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</si>
  <si>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</si>
  <si>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</si>
  <si>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</si>
  <si>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</si>
  <si>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</si>
  <si>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</si>
  <si>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</si>
  <si>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</si>
  <si>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</si>
  <si>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</si>
  <si>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</si>
  <si>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</si>
  <si>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</si>
  <si>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</si>
  <si>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</si>
  <si>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</si>
  <si>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</si>
  <si>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</si>
  <si>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</si>
  <si>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</si>
  <si>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</si>
  <si>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</si>
  <si>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</si>
  <si>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</si>
  <si>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</si>
  <si>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</si>
  <si>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</si>
  <si>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</si>
  <si>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</si>
  <si>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</si>
  <si>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</si>
  <si>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</si>
  <si>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</si>
  <si>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</si>
  <si>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</si>
  <si>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</si>
  <si>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</si>
  <si>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</si>
  <si>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</si>
  <si>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</si>
  <si>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</si>
  <si>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</si>
  <si>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</si>
  <si>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</si>
  <si>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</si>
  <si>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</si>
  <si>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</si>
  <si>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</si>
  <si>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</si>
  <si>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</si>
  <si>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</si>
  <si>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</si>
  <si>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</si>
  <si>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</si>
  <si>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</si>
  <si>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</si>
  <si>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</si>
  <si>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</si>
  <si>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</si>
  <si>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</si>
  <si>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</si>
  <si>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</si>
  <si>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</si>
  <si>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</si>
  <si>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</si>
  <si>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</si>
  <si>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</si>
  <si>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</si>
  <si>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</si>
  <si>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</si>
  <si>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</si>
  <si>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</si>
  <si>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</si>
  <si>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</si>
  <si>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</si>
  <si>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</si>
  <si>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</si>
  <si>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</si>
  <si>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</si>
  <si>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</si>
  <si>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</si>
  <si>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</si>
  <si>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</si>
  <si>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</si>
  <si>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</si>
  <si>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</si>
  <si>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</si>
  <si>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</si>
  <si>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</si>
  <si>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</si>
  <si>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</si>
  <si>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</si>
  <si>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</si>
  <si>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</si>
  <si>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</si>
  <si>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</si>
  <si>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</si>
  <si>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</si>
  <si>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</si>
  <si>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</si>
  <si>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</si>
  <si>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</si>
  <si>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</si>
  <si>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</si>
  <si>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</si>
  <si>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</si>
  <si>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</si>
  <si>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</si>
  <si>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</si>
  <si>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</si>
  <si>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</si>
  <si>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</si>
  <si>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</si>
  <si>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</si>
  <si>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</si>
  <si>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</si>
  <si>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</si>
  <si>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</si>
  <si>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</si>
  <si>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</si>
  <si>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</si>
  <si>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</si>
  <si>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</si>
  <si>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</si>
  <si>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</si>
  <si>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</si>
  <si>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</si>
  <si>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</si>
  <si>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</si>
  <si>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</si>
  <si>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</si>
  <si>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</si>
  <si>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</si>
  <si>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</si>
  <si>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</si>
  <si>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</si>
  <si>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</si>
  <si>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</si>
  <si>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</si>
  <si>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</si>
  <si>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</si>
  <si>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</si>
  <si>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</si>
  <si>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</si>
  <si>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</si>
  <si>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</si>
  <si>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</si>
  <si>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</si>
  <si>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</si>
  <si>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</si>
  <si>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</si>
  <si>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</si>
  <si>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</si>
  <si>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</si>
  <si>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</si>
  <si>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</si>
  <si>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</si>
  <si>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</si>
  <si>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</si>
  <si>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</si>
  <si>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</si>
  <si>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</si>
  <si>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</si>
  <si>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</si>
  <si>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</si>
  <si>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</si>
  <si>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</si>
  <si>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</si>
  <si>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</si>
  <si>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</si>
  <si>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</si>
  <si>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</si>
  <si>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</si>
  <si>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</si>
  <si>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</si>
  <si>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</si>
  <si>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</si>
  <si>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</si>
  <si>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</si>
  <si>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</si>
  <si>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</si>
  <si>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</si>
  <si>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</si>
  <si>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</si>
  <si>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</si>
  <si>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</si>
  <si>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</si>
  <si>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</si>
  <si>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</si>
  <si>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</si>
  <si>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</si>
  <si>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</si>
  <si>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</si>
  <si>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</si>
  <si>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</si>
  <si>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</si>
  <si>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</si>
  <si>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</si>
  <si>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</si>
  <si>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</si>
  <si>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</si>
  <si>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</si>
  <si>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</si>
  <si>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</si>
  <si>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</si>
  <si>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</si>
  <si>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</si>
  <si>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</si>
  <si>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</si>
  <si>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</si>
  <si>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</si>
  <si>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</si>
  <si>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</si>
  <si>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</si>
  <si>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</si>
  <si>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</si>
  <si>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</si>
  <si>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</si>
  <si>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</si>
  <si>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</si>
  <si>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</si>
  <si>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</si>
  <si>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</si>
  <si>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</si>
  <si>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</si>
  <si>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</si>
  <si>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</si>
  <si>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</si>
  <si>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</si>
  <si>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</si>
  <si>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</si>
  <si>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</si>
  <si>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</si>
  <si>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</si>
  <si>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</si>
  <si>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</si>
  <si>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</si>
  <si>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</si>
  <si>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</si>
  <si>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</si>
  <si>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</si>
  <si>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</si>
  <si>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</si>
  <si>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</si>
  <si>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</si>
  <si>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</si>
  <si>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</si>
  <si>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</si>
  <si>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</si>
  <si>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</si>
  <si>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</si>
  <si>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</si>
  <si>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</si>
  <si>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</si>
  <si>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</si>
  <si>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</si>
  <si>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</si>
  <si>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</si>
  <si>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</si>
  <si>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</si>
  <si>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</si>
  <si>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</si>
  <si>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</si>
  <si>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</si>
  <si>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</si>
  <si>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</si>
  <si>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</si>
  <si>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</si>
  <si>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</si>
  <si>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</si>
  <si>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</si>
  <si>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</si>
  <si>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</si>
  <si>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</si>
  <si>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</si>
  <si>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</si>
  <si>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</si>
  <si>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</si>
  <si>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</si>
  <si>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</si>
  <si>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</si>
  <si>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</si>
  <si>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</si>
  <si>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</si>
  <si>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</si>
  <si>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</si>
  <si>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</si>
  <si>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</si>
  <si>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</si>
  <si>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</si>
  <si>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</si>
  <si>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</si>
  <si>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</si>
  <si>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</si>
  <si>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</si>
  <si>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</si>
  <si>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</si>
  <si>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</si>
  <si>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</si>
  <si>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</si>
  <si>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</si>
  <si>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</si>
  <si>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</si>
  <si>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</si>
  <si>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</si>
  <si>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</si>
  <si>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</si>
  <si>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</si>
  <si>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</si>
  <si>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</si>
  <si>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</si>
  <si>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</si>
  <si>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</si>
  <si>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</si>
  <si>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</si>
  <si>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</si>
  <si>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</si>
  <si>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</si>
  <si>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</si>
  <si>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</si>
  <si>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</si>
  <si>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</si>
  <si>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</si>
  <si>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</si>
  <si>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</si>
  <si>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</si>
  <si>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</si>
  <si>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</si>
  <si>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</si>
  <si>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</si>
  <si>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</si>
  <si>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</si>
  <si>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</si>
  <si>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</si>
  <si>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</si>
  <si>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</si>
  <si>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</si>
  <si>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</si>
  <si>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</si>
  <si>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</si>
  <si>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</si>
  <si>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</si>
  <si>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</si>
  <si>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</si>
  <si>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</si>
  <si>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</si>
  <si>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</si>
  <si>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</si>
  <si>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</si>
  <si>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</si>
  <si>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</si>
  <si>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</si>
  <si>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</si>
  <si>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</si>
  <si>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</si>
  <si>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</si>
  <si>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</si>
  <si>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</si>
  <si>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</si>
  <si>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</si>
  <si>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</si>
  <si>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</si>
  <si>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</si>
  <si>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</si>
  <si>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</si>
  <si>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</si>
  <si>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</si>
  <si>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</si>
  <si>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</si>
  <si>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</si>
  <si>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</si>
  <si>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</si>
  <si>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</si>
  <si>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</si>
  <si>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</si>
  <si>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</si>
  <si>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</si>
  <si>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</si>
  <si>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</si>
  <si>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</si>
  <si>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</si>
  <si>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</si>
  <si>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</si>
  <si>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</si>
  <si>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</si>
  <si>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</si>
  <si>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</si>
  <si>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</si>
  <si>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</si>
  <si>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</si>
  <si>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</si>
  <si>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</si>
  <si>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</si>
  <si>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</si>
  <si>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</si>
  <si>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</si>
  <si>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</si>
  <si>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</si>
  <si>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</si>
  <si>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</si>
  <si>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</si>
  <si>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</si>
  <si>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</si>
  <si>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</si>
  <si>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</si>
  <si>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</si>
  <si>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</si>
  <si>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</si>
  <si>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</si>
  <si>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</si>
  <si>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</si>
  <si>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</si>
  <si>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</si>
  <si>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</si>
  <si>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</si>
  <si>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</si>
  <si>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</si>
  <si>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</si>
  <si>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</si>
  <si>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</si>
  <si>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</si>
  <si>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</si>
  <si>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</si>
  <si>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</si>
  <si>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</si>
  <si>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</si>
  <si>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</si>
  <si>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</si>
  <si>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</si>
  <si>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</si>
  <si>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</si>
  <si>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</si>
  <si>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</si>
  <si>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</si>
  <si>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</si>
  <si>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</si>
  <si>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</si>
  <si>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</si>
  <si>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</si>
  <si>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</si>
  <si>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</si>
  <si>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</si>
  <si>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</si>
  <si>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</si>
  <si>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</si>
  <si>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</si>
  <si>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</si>
  <si>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</si>
  <si>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</si>
  <si>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</si>
  <si>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</si>
  <si>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</si>
  <si>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</si>
  <si>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</si>
  <si>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</si>
  <si>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</si>
  <si>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</si>
  <si>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</si>
  <si>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</si>
  <si>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</si>
  <si>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</si>
  <si>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</si>
  <si>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</si>
  <si>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</si>
  <si>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</si>
  <si>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</si>
  <si>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</si>
  <si>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</si>
  <si>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</si>
  <si>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</si>
  <si>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</si>
  <si>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</si>
  <si>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</si>
  <si>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</si>
  <si>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</si>
  <si>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</si>
  <si>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</si>
  <si>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</si>
  <si>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</si>
  <si>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</si>
  <si>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</si>
  <si>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</si>
  <si>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</si>
  <si>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</si>
  <si>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</si>
  <si>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</si>
  <si>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</si>
  <si>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</si>
  <si>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</si>
  <si>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</si>
  <si>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</si>
  <si>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</si>
  <si>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</si>
  <si>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</si>
  <si>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</si>
  <si>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</si>
  <si>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</si>
  <si>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</si>
  <si>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</si>
  <si>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</si>
  <si>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</si>
  <si>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</si>
  <si>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</si>
  <si>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</si>
  <si>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</si>
  <si>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</si>
  <si>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</si>
  <si>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</si>
  <si>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</si>
  <si>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</si>
  <si>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</si>
  <si>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</si>
  <si>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</si>
  <si>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</si>
  <si>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</si>
  <si>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</si>
  <si>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</si>
  <si>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</si>
  <si>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</si>
  <si>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</si>
  <si>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</si>
  <si>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</si>
  <si>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</si>
  <si>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</si>
  <si>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</si>
  <si>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</si>
  <si>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</si>
  <si>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</si>
  <si>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</si>
  <si>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</si>
  <si>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</si>
  <si>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</si>
  <si>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</si>
  <si>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</si>
  <si>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</si>
  <si>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</si>
  <si>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</si>
  <si>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</si>
  <si>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</si>
  <si>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</si>
  <si>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</si>
  <si>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</si>
  <si>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</si>
  <si>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</si>
  <si>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</si>
  <si>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</si>
  <si>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</si>
  <si>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</si>
  <si>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</si>
  <si>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</si>
  <si>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</si>
  <si>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</si>
  <si>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</si>
  <si>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</si>
  <si>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</si>
  <si>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</si>
  <si>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</si>
  <si>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</si>
  <si>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</si>
  <si>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</si>
  <si>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</si>
  <si>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</si>
  <si>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</si>
  <si>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</si>
  <si>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</si>
  <si>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</si>
  <si>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</si>
  <si>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</si>
  <si>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</si>
  <si>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</si>
  <si>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</si>
  <si>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</si>
  <si>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</si>
  <si>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</si>
  <si>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</si>
  <si>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</si>
  <si>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</si>
  <si>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</si>
  <si>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</si>
  <si>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</si>
  <si>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</si>
  <si>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</si>
  <si>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</si>
  <si>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</si>
  <si>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</si>
  <si>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</si>
  <si>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</si>
  <si>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</si>
  <si>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</si>
  <si>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</si>
  <si>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</si>
  <si>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</si>
  <si>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</si>
  <si>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</si>
  <si>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</si>
  <si>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</si>
  <si>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</si>
  <si>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</si>
  <si>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</si>
  <si>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</si>
  <si>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</si>
  <si>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</si>
  <si>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</si>
  <si>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</si>
  <si>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</si>
  <si>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</si>
  <si>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</si>
  <si>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</si>
  <si>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</si>
  <si>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</si>
  <si>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</si>
  <si>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</si>
  <si>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</si>
  <si>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</si>
  <si>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</si>
  <si>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</si>
  <si>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</si>
  <si>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</si>
  <si>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</si>
  <si>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</si>
  <si>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</si>
  <si>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</si>
  <si>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</si>
  <si>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</si>
  <si>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</si>
  <si>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</si>
  <si>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</si>
  <si>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</si>
  <si>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</si>
  <si>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</si>
  <si>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</si>
  <si>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</si>
  <si>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</si>
  <si>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</si>
  <si>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</si>
  <si>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</si>
  <si>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</si>
  <si>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</si>
  <si>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</si>
  <si>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</si>
  <si>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</si>
  <si>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</si>
  <si>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</si>
  <si>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</si>
  <si>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</si>
  <si>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</si>
  <si>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</si>
  <si>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</si>
  <si>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</si>
  <si>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</si>
  <si>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</si>
  <si>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</si>
  <si>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</si>
  <si>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</si>
  <si>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</si>
  <si>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</si>
  <si>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</si>
  <si>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</si>
  <si>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</si>
  <si>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</si>
  <si>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</si>
  <si>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</si>
  <si>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</si>
  <si>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</si>
  <si>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</si>
  <si>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</si>
  <si>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</si>
  <si>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</si>
  <si>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</si>
  <si>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</si>
  <si>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</si>
  <si>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</si>
  <si>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</si>
  <si>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</si>
  <si>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</si>
  <si>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</si>
  <si>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</si>
  <si>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</si>
  <si>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</si>
  <si>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</si>
  <si>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</si>
  <si>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</si>
  <si>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</si>
  <si>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</si>
  <si>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</si>
  <si>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</si>
  <si>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</si>
  <si>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</si>
  <si>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</si>
  <si>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</si>
  <si>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</si>
  <si>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</si>
  <si>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</si>
  <si>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</si>
  <si>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</si>
  <si>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</si>
  <si>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</si>
  <si>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</si>
  <si>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</si>
  <si>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</si>
  <si>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</si>
  <si>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</si>
  <si>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</si>
  <si>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</si>
  <si>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</si>
  <si>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</si>
  <si>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</si>
  <si>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</si>
  <si>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</si>
  <si>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</si>
  <si>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</si>
  <si>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</si>
  <si>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</si>
  <si>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</si>
  <si>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</si>
  <si>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</si>
  <si>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</si>
  <si>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</si>
  <si>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</si>
  <si>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</si>
  <si>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</si>
  <si>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</si>
  <si>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</si>
  <si>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</si>
  <si>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</si>
  <si>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</si>
  <si>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</si>
  <si>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</si>
  <si>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</si>
  <si>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</si>
  <si>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</si>
  <si>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</si>
  <si>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</si>
  <si>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</si>
  <si>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</si>
  <si>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</si>
  <si>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</si>
  <si>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</si>
  <si>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</si>
  <si>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</si>
  <si>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</si>
  <si>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</si>
  <si>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</si>
  <si>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</si>
  <si>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</si>
  <si>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</si>
  <si>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</si>
  <si>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</si>
  <si>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</si>
  <si>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</si>
  <si>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</si>
  <si>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</si>
  <si>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</si>
  <si>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</si>
  <si>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</si>
  <si>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</si>
  <si>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</si>
  <si>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</si>
  <si>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</si>
  <si>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</si>
  <si>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</si>
  <si>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</si>
  <si>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</si>
  <si>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</si>
  <si>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</si>
  <si>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</si>
  <si>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</si>
  <si>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</si>
  <si>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</si>
  <si>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</si>
  <si>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</si>
  <si>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</si>
  <si>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</si>
  <si>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</si>
  <si>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</si>
  <si>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</si>
  <si>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</si>
  <si>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</si>
  <si>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</si>
  <si>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</si>
  <si>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</si>
  <si>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</si>
  <si>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</si>
  <si>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</si>
  <si>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</si>
  <si>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</si>
  <si>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</si>
  <si>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</si>
  <si>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</si>
  <si>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</si>
  <si>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</si>
  <si>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</si>
  <si>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</si>
  <si>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</si>
  <si>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</si>
  <si>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</si>
  <si>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</si>
  <si>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</si>
  <si>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</si>
  <si>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</si>
  <si>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</si>
  <si>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</si>
  <si>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</si>
  <si>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</si>
  <si>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</si>
  <si>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</si>
  <si>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</si>
  <si>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</si>
  <si>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</si>
  <si>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</si>
  <si>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</si>
  <si>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</si>
  <si>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</si>
  <si>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</si>
  <si>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</si>
  <si>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</si>
  <si>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</si>
  <si>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</si>
  <si>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</si>
  <si>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</si>
  <si>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</si>
  <si>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</si>
  <si>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</si>
  <si>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</si>
  <si>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</si>
  <si>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</si>
  <si>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</si>
  <si>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</si>
  <si>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</si>
  <si>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</si>
  <si>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</si>
  <si>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</si>
  <si>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</si>
  <si>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</si>
  <si>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</si>
  <si>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</si>
  <si>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</si>
  <si>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</si>
  <si>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</si>
  <si>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</si>
  <si>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</si>
  <si>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</si>
  <si>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</si>
  <si>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</si>
  <si>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</si>
  <si>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</si>
  <si>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</si>
  <si>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</si>
  <si>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</si>
  <si>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</si>
  <si>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</si>
  <si>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</si>
  <si>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</si>
  <si>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</si>
  <si>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</si>
  <si>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</si>
  <si>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</si>
  <si>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</si>
  <si>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</si>
  <si>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</si>
  <si>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</si>
  <si>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</si>
  <si>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</si>
  <si>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</si>
  <si>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</si>
  <si>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</si>
  <si>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</si>
  <si>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</si>
  <si>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</si>
  <si>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</si>
  <si>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</si>
  <si>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</si>
  <si>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</si>
  <si>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</si>
  <si>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</si>
  <si>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</si>
  <si>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</si>
  <si>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</si>
  <si>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</si>
  <si>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</si>
  <si>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</si>
  <si>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</si>
  <si>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</si>
  <si>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</si>
  <si>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</si>
  <si>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</si>
  <si>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</si>
  <si>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</si>
  <si>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</si>
  <si>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</si>
  <si>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</si>
  <si>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</si>
  <si>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</si>
  <si>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</si>
  <si>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</si>
  <si>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</si>
  <si>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</si>
  <si>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</si>
  <si>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</si>
  <si>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</si>
  <si>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</si>
  <si>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</si>
  <si>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</si>
  <si>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</si>
  <si>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</si>
  <si>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</si>
  <si>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</si>
  <si>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</si>
  <si>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</si>
  <si>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</si>
  <si>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</si>
  <si>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</si>
  <si>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</si>
  <si>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</si>
  <si>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</si>
  <si>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</si>
  <si>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</si>
  <si>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</si>
  <si>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</si>
  <si>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</si>
  <si>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</si>
  <si>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</si>
  <si>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</si>
  <si>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</si>
  <si>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</si>
  <si>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</si>
  <si>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</si>
  <si>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</si>
  <si>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</si>
  <si>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</si>
  <si>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</si>
  <si>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</si>
  <si>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</si>
  <si>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</si>
  <si>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</si>
  <si>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</si>
  <si>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</si>
  <si>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</si>
  <si>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</si>
  <si>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</si>
  <si>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</si>
  <si>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</si>
  <si>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</si>
  <si>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</si>
  <si>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</si>
  <si>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</si>
  <si>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</si>
  <si>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</si>
  <si>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</si>
  <si>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</si>
  <si>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</si>
  <si>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</si>
  <si>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</si>
  <si>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</si>
  <si>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</si>
  <si>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</si>
  <si>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</si>
  <si>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</si>
  <si>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</si>
  <si>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</si>
  <si>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</si>
  <si>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</si>
  <si>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</si>
  <si>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</si>
  <si>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</si>
  <si>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</si>
  <si>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</si>
  <si>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</si>
  <si>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</si>
  <si>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</si>
  <si>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</si>
  <si>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</si>
  <si>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</si>
  <si>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</si>
  <si>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</si>
  <si>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</si>
  <si>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</si>
  <si>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</si>
  <si>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</si>
  <si>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</si>
  <si>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</si>
  <si>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</si>
  <si>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</si>
  <si>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</si>
  <si>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</si>
  <si>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</si>
  <si>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</si>
  <si>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</si>
  <si>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</si>
  <si>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</si>
  <si>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</si>
  <si>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</si>
  <si>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</si>
  <si>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</si>
  <si>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</si>
  <si>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</si>
  <si>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</si>
  <si>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</si>
  <si>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</si>
  <si>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</si>
  <si>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</si>
  <si>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</si>
  <si>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</si>
  <si>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</si>
  <si>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</si>
  <si>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</si>
  <si>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</si>
  <si>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</si>
  <si>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</si>
  <si>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</si>
  <si>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</si>
  <si>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</si>
  <si>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</si>
  <si>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</si>
  <si>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</si>
  <si>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</si>
  <si>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</si>
  <si>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</si>
  <si>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</si>
  <si>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</si>
  <si>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</si>
  <si>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</si>
  <si>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</si>
  <si>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</si>
  <si>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</si>
  <si>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</si>
  <si>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</si>
  <si>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</si>
  <si>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</si>
  <si>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</si>
  <si>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</si>
  <si>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</si>
  <si>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</si>
  <si>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</si>
  <si>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</si>
  <si>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</si>
  <si>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</si>
  <si>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</si>
  <si>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</si>
  <si>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</si>
  <si>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</si>
  <si>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</si>
  <si>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</si>
  <si>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</si>
  <si>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</si>
  <si>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</si>
  <si>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</si>
  <si>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</si>
  <si>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</si>
  <si>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</si>
  <si>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</si>
  <si>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</si>
  <si>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</si>
  <si>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</si>
  <si>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</si>
  <si>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</si>
  <si>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</si>
  <si>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</si>
  <si>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</si>
  <si>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</si>
  <si>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</si>
  <si>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</si>
  <si>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</si>
  <si>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</si>
  <si>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</si>
  <si>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</si>
  <si>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</si>
  <si>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</si>
  <si>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</si>
  <si>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</si>
  <si>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</si>
  <si>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</si>
  <si>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</si>
  <si>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</si>
  <si>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</si>
  <si>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</si>
  <si>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</si>
  <si>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</si>
  <si>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</si>
  <si>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</si>
  <si>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</si>
  <si>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</si>
  <si>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</si>
  <si>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</si>
  <si>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</si>
  <si>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</si>
  <si>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</si>
  <si>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</si>
  <si>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</si>
  <si>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</si>
  <si>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</si>
  <si>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</si>
  <si>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</si>
  <si>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</si>
  <si>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</si>
  <si>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</si>
  <si>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</si>
  <si>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</si>
  <si>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</si>
  <si>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</si>
  <si>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</si>
  <si>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</si>
  <si>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</si>
  <si>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</si>
  <si>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</si>
  <si>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</si>
  <si>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</si>
  <si>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</si>
  <si>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</si>
  <si>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</si>
  <si>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</si>
  <si>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</si>
  <si>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</si>
  <si>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</si>
  <si>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</si>
  <si>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</si>
  <si>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</si>
  <si>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</si>
  <si>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</si>
  <si>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</si>
  <si>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</si>
  <si>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</si>
  <si>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</si>
  <si>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</si>
  <si>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</si>
  <si>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</si>
  <si>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</si>
  <si>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</si>
  <si>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</si>
  <si>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</si>
  <si>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</si>
  <si>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</si>
  <si>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</si>
  <si>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</si>
  <si>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</si>
  <si>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</si>
  <si>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</si>
  <si>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</si>
  <si>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</si>
  <si>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</si>
  <si>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</si>
  <si>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</si>
  <si>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</si>
  <si>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</si>
  <si>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</si>
  <si>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</si>
  <si>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</si>
  <si>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</si>
  <si>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</si>
  <si>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</si>
  <si>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</si>
  <si>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</si>
  <si>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</si>
  <si>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</si>
  <si>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</si>
  <si>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</si>
  <si>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</si>
  <si>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</si>
  <si>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</si>
  <si>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</si>
  <si>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</si>
  <si>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</si>
  <si>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</si>
  <si>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</si>
  <si>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</si>
  <si>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</si>
  <si>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</si>
  <si>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</si>
  <si>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</si>
  <si>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</si>
  <si>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</si>
  <si>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</si>
  <si>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</si>
  <si>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</si>
  <si>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</si>
  <si>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</si>
  <si>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</si>
  <si>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</si>
  <si>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</si>
  <si>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</si>
  <si>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</si>
  <si>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</si>
  <si>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</si>
  <si>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</si>
  <si>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</si>
  <si>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</si>
  <si>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</si>
  <si>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</si>
  <si>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</si>
  <si>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</si>
  <si>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</si>
  <si>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</si>
  <si>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</si>
  <si>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</si>
  <si>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</si>
  <si>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</si>
  <si>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</si>
  <si>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</si>
  <si>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</si>
  <si>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</si>
  <si>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</si>
  <si>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</si>
  <si>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</si>
  <si>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</si>
  <si>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</si>
  <si>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</si>
  <si>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</si>
  <si>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</si>
  <si>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</si>
  <si>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</si>
  <si>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</si>
  <si>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</si>
  <si>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</si>
  <si>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</si>
  <si>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</si>
  <si>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</si>
  <si>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</si>
  <si>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</si>
  <si>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</si>
  <si>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</si>
  <si>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</si>
  <si>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</si>
  <si>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</si>
  <si>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</si>
  <si>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</si>
  <si>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</si>
  <si>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</si>
  <si>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</si>
  <si>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</si>
  <si>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</si>
  <si>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</si>
  <si>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</si>
  <si>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</si>
  <si>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</si>
  <si>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</si>
  <si>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</si>
  <si>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</si>
  <si>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</si>
  <si>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</si>
  <si>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</si>
  <si>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</si>
  <si>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</si>
  <si>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</si>
  <si>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</si>
  <si>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</si>
  <si>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</si>
  <si>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</si>
  <si>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</si>
  <si>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</si>
  <si>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</si>
  <si>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</si>
  <si>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</si>
  <si>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</si>
  <si>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</si>
  <si>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</si>
  <si>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</si>
  <si>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</si>
  <si>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</si>
  <si>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</si>
  <si>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</si>
  <si>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</si>
  <si>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</si>
  <si>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</si>
  <si>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</si>
  <si>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</si>
  <si>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</si>
  <si>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</si>
  <si>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</si>
  <si>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</si>
  <si>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</si>
  <si>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</si>
  <si>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</si>
  <si>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</si>
  <si>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</si>
  <si>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</si>
  <si>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</si>
  <si>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</si>
  <si>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</si>
  <si>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</si>
  <si>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</si>
  <si>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</si>
  <si>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</si>
  <si>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</si>
  <si>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</si>
  <si>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</si>
  <si>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</si>
  <si>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</si>
  <si>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</si>
  <si>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</si>
  <si>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</si>
  <si>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</si>
  <si>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</si>
  <si>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</si>
  <si>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</si>
  <si>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</si>
  <si>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</si>
  <si>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</si>
  <si>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</si>
  <si>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</si>
  <si>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</si>
  <si>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</si>
  <si>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</si>
  <si>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</si>
  <si>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</si>
  <si>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</si>
  <si>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</si>
  <si>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</si>
  <si>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</si>
  <si>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</si>
  <si>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</si>
  <si>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</si>
  <si>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</si>
  <si>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</si>
  <si>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</si>
  <si>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</si>
  <si>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</si>
  <si>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</si>
  <si>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</si>
  <si>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</si>
  <si>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</si>
  <si>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</si>
  <si>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</si>
  <si>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</si>
  <si>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</si>
  <si>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</si>
  <si>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</si>
  <si>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</si>
  <si>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</si>
  <si>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</si>
  <si>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</si>
  <si>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</si>
  <si>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</si>
  <si>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</si>
  <si>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</si>
  <si>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</si>
  <si>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</si>
  <si>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</si>
  <si>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</si>
  <si>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</si>
  <si>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</si>
  <si>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</si>
  <si>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</si>
  <si>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</si>
  <si>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</si>
  <si>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</si>
  <si>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</si>
  <si>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</si>
  <si>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</si>
  <si>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</si>
  <si>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</si>
  <si>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</si>
  <si>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</si>
  <si>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</si>
  <si>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</si>
  <si>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</si>
  <si>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</si>
  <si>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</si>
  <si>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</si>
  <si>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</si>
  <si>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</si>
  <si>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</si>
  <si>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</si>
  <si>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</si>
  <si>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</si>
  <si>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</si>
  <si>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</si>
  <si>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</si>
  <si>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</si>
  <si>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</si>
  <si>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</si>
  <si>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</si>
  <si>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</si>
  <si>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</si>
  <si>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</si>
  <si>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</si>
  <si>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</si>
  <si>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</si>
  <si>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</si>
  <si>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</si>
  <si>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</si>
  <si>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</si>
  <si>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</si>
  <si>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</si>
  <si>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</si>
  <si>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</si>
  <si>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</si>
  <si>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</si>
  <si>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</si>
  <si>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</si>
  <si>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</si>
  <si>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</si>
  <si>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</si>
  <si>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</si>
  <si>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</si>
  <si>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</si>
  <si>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</si>
  <si>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</si>
  <si>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</si>
  <si>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</si>
  <si>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</si>
  <si>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</si>
  <si>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</si>
  <si>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</si>
  <si>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</si>
  <si>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</si>
  <si>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</si>
  <si>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</si>
  <si>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</si>
  <si>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</si>
  <si>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</si>
  <si>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</si>
  <si>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</si>
  <si>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</si>
  <si>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</si>
  <si>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</si>
  <si>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</si>
  <si>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</si>
  <si>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</si>
  <si>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</si>
  <si>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</si>
  <si>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</si>
  <si>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</si>
  <si>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</si>
  <si>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</si>
  <si>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</si>
  <si>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</si>
  <si>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</si>
  <si>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</si>
  <si>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</si>
  <si>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</si>
  <si>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</si>
  <si>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</si>
  <si>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</si>
  <si>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</si>
  <si>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</si>
  <si>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</si>
  <si>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</si>
  <si>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</si>
  <si>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</si>
  <si>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</si>
  <si>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</si>
  <si>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</si>
  <si>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</si>
  <si>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</si>
  <si>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</si>
  <si>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</si>
  <si>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</si>
  <si>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</si>
  <si>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</si>
  <si>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</si>
  <si>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</si>
  <si>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</si>
  <si>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</si>
  <si>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</si>
  <si>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</si>
  <si>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</si>
  <si>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</si>
  <si>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</si>
  <si>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</si>
  <si>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</si>
  <si>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</si>
  <si>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</si>
  <si>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</si>
  <si>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</si>
  <si>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</si>
  <si>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</si>
  <si>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</si>
  <si>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</si>
  <si>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</si>
  <si>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</si>
  <si>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</si>
  <si>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</si>
  <si>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</si>
  <si>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</si>
  <si>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</si>
  <si>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</si>
  <si>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</si>
  <si>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</si>
  <si>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</si>
  <si>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</si>
  <si>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</si>
  <si>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</si>
  <si>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</si>
  <si>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</si>
  <si>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</si>
  <si>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</si>
  <si>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</si>
  <si>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</si>
  <si>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</si>
  <si>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</si>
  <si>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</si>
  <si>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</si>
  <si>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</si>
  <si>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2023-3</t>
    <phoneticPr fontId="4" type="noConversion"/>
  </si>
  <si>
    <t>2023-4</t>
    <phoneticPr fontId="4" type="noConversion"/>
  </si>
  <si>
    <t>2023-4</t>
    <phoneticPr fontId="4" type="noConversion"/>
  </si>
  <si>
    <t>2024-3</t>
    <phoneticPr fontId="4" type="noConversion"/>
  </si>
  <si>
    <t>2024-2</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</si>
  <si>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</si>
  <si>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</si>
  <si>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</si>
  <si>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</si>
  <si>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北京市</t>
  </si>
  <si>
    <t>自然人</t>
  </si>
  <si>
    <t>核定资产</t>
  </si>
  <si>
    <t>房地产市场价值</t>
  </si>
  <si>
    <t>住宅</t>
  </si>
  <si>
    <t>地上</t>
  </si>
  <si>
    <t>是</t>
  </si>
  <si>
    <t>住宅</t>
    <phoneticPr fontId="8" type="noConversion"/>
  </si>
  <si>
    <t>成新度</t>
  </si>
  <si>
    <t>利息：取LPR加浮动点数</t>
  </si>
  <si>
    <t>单套模式</t>
  </si>
  <si>
    <t>售价</t>
  </si>
  <si>
    <t>正常</t>
  </si>
  <si>
    <t>住宅</t>
    <phoneticPr fontId="25" type="noConversion"/>
  </si>
  <si>
    <t>楼层</t>
    <phoneticPr fontId="25" type="noConversion"/>
  </si>
  <si>
    <t>高级</t>
    <phoneticPr fontId="25" type="noConversion"/>
  </si>
  <si>
    <t>中高级</t>
    <phoneticPr fontId="25" type="noConversion"/>
  </si>
  <si>
    <t>精装修</t>
    <phoneticPr fontId="25" type="noConversion"/>
  </si>
  <si>
    <t>普通装修</t>
  </si>
  <si>
    <t>普通装修</t>
    <phoneticPr fontId="25" type="noConversion"/>
  </si>
  <si>
    <t>七通</t>
    <phoneticPr fontId="25" type="noConversion"/>
  </si>
  <si>
    <t>平层</t>
  </si>
  <si>
    <t>平层</t>
    <phoneticPr fontId="25" type="noConversion"/>
  </si>
  <si>
    <t>跃层</t>
    <phoneticPr fontId="25" type="noConversion"/>
  </si>
  <si>
    <t>简单装修</t>
    <phoneticPr fontId="25" type="noConversion"/>
  </si>
  <si>
    <t>物业公司管理</t>
  </si>
  <si>
    <t>物业公司管理</t>
    <phoneticPr fontId="25" type="noConversion"/>
  </si>
  <si>
    <t>比较法-住宅</t>
  </si>
  <si>
    <t>成本法 (元)</t>
  </si>
  <si>
    <t>塔楼</t>
    <phoneticPr fontId="25" type="noConversion"/>
  </si>
  <si>
    <t>六通</t>
    <phoneticPr fontId="25" type="noConversion"/>
  </si>
  <si>
    <t>预售</t>
    <phoneticPr fontId="25" type="noConversion"/>
  </si>
  <si>
    <t>七通</t>
  </si>
  <si>
    <t>毛坯</t>
  </si>
  <si>
    <t>毛坯</t>
    <phoneticPr fontId="25" type="noConversion"/>
  </si>
  <si>
    <t>预售</t>
    <phoneticPr fontId="25" type="noConversion"/>
  </si>
  <si>
    <t>一般</t>
  </si>
  <si>
    <t>二手房</t>
    <phoneticPr fontId="25" type="noConversion"/>
  </si>
  <si>
    <t>一手房</t>
    <phoneticPr fontId="25" type="noConversion"/>
  </si>
  <si>
    <t>多层板楼</t>
    <phoneticPr fontId="25" type="noConversion"/>
  </si>
  <si>
    <t>高层板楼</t>
    <phoneticPr fontId="25" type="noConversion"/>
  </si>
  <si>
    <t>环境质量</t>
  </si>
  <si>
    <t>成交单价</t>
  </si>
  <si>
    <t>钢混</t>
    <phoneticPr fontId="25" type="noConversion"/>
  </si>
  <si>
    <r>
      <rPr>
        <sz val="11"/>
        <color indexed="8"/>
        <rFont val="宋体"/>
        <family val="3"/>
        <charset val="134"/>
      </rPr>
      <t>朝向</t>
    </r>
    <phoneticPr fontId="25" type="noConversion"/>
  </si>
  <si>
    <t>西北</t>
  </si>
  <si>
    <t>南</t>
  </si>
  <si>
    <t>未包含在土地购买价格中</t>
  </si>
  <si>
    <t>已包含在土地取得成本中</t>
  </si>
  <si>
    <t xml:space="preserve"> 北京市丰台区角门东里52号楼4层2门402号</t>
    <phoneticPr fontId="4" type="noConversion"/>
  </si>
  <si>
    <t>时间</t>
  </si>
  <si>
    <t>户型</t>
  </si>
  <si>
    <t>面积(㎡)</t>
  </si>
  <si>
    <t>楼层</t>
  </si>
  <si>
    <t>朝向</t>
  </si>
  <si>
    <t>挂牌价(万)</t>
  </si>
  <si>
    <t>挂牌时间</t>
  </si>
  <si>
    <t>成交价(万)</t>
  </si>
  <si>
    <t>2室1厅1卫</t>
  </si>
  <si>
    <t>东</t>
  </si>
  <si>
    <t>0000-00-00</t>
  </si>
  <si>
    <t>2室1厅</t>
  </si>
  <si>
    <t>高楼层(共19层)</t>
  </si>
  <si>
    <t>中楼层(共6层)</t>
  </si>
  <si>
    <t>南 西南</t>
  </si>
  <si>
    <t>1室1厅1卫</t>
  </si>
  <si>
    <t>3室1厅</t>
  </si>
  <si>
    <t>中楼层(共18层)</t>
  </si>
  <si>
    <t>东 东南 南</t>
  </si>
  <si>
    <t>底层(共6层)</t>
  </si>
  <si>
    <t>南 北</t>
  </si>
  <si>
    <t>顶层(共6层)</t>
  </si>
  <si>
    <t>低楼层(共6层)</t>
  </si>
  <si>
    <t>高楼层(共6层)</t>
  </si>
  <si>
    <t>东 西</t>
  </si>
  <si>
    <t>东 南 北</t>
  </si>
  <si>
    <t>中楼层(共19层)</t>
  </si>
  <si>
    <t>东北</t>
  </si>
  <si>
    <t>/</t>
  </si>
  <si>
    <t>低楼层(共19层)</t>
  </si>
  <si>
    <t>西</t>
  </si>
  <si>
    <t>西南</t>
  </si>
  <si>
    <t>东南 西北</t>
  </si>
  <si>
    <t>南 西</t>
  </si>
  <si>
    <t>低楼层(共18层)</t>
  </si>
  <si>
    <t>东南</t>
  </si>
  <si>
    <t>东 南</t>
  </si>
  <si>
    <t>东 北</t>
  </si>
  <si>
    <t>1室1厅</t>
  </si>
  <si>
    <t>顶层(共5层)</t>
  </si>
  <si>
    <t>3室0厅</t>
  </si>
  <si>
    <t>东 西 北</t>
  </si>
  <si>
    <t>3室1厅1卫</t>
  </si>
  <si>
    <t>底层(共19层)</t>
  </si>
  <si>
    <t>西南 北</t>
  </si>
  <si>
    <t>东南 北</t>
  </si>
  <si>
    <t>东 西北</t>
  </si>
  <si>
    <t>顶层(共18层)</t>
  </si>
  <si>
    <t>西南 东北</t>
  </si>
  <si>
    <t>1室0厅</t>
  </si>
  <si>
    <t>2室2厅1卫</t>
  </si>
  <si>
    <t>东南 西南</t>
  </si>
  <si>
    <t>南 东北</t>
  </si>
  <si>
    <t>顶层(共19层)</t>
  </si>
  <si>
    <t>东 南 西</t>
  </si>
  <si>
    <t>西南 南</t>
  </si>
  <si>
    <t>2室2厅</t>
  </si>
  <si>
    <t>高楼层/6层</t>
  </si>
  <si>
    <t>中楼层/6层</t>
  </si>
  <si>
    <t>西 东</t>
  </si>
  <si>
    <t>底层(共18层)</t>
  </si>
  <si>
    <t>中楼层/18层</t>
  </si>
  <si>
    <t>低楼层/19层</t>
  </si>
  <si>
    <t>中楼层/19层</t>
  </si>
  <si>
    <t>低楼层/6层</t>
  </si>
  <si>
    <t>南 西 北</t>
  </si>
  <si>
    <t>低楼层/18层</t>
  </si>
  <si>
    <t>东北西</t>
  </si>
  <si>
    <t>东南西</t>
  </si>
  <si>
    <t>底层(共5层)</t>
  </si>
  <si>
    <t>高楼层(共18层)</t>
  </si>
  <si>
    <t>南西北</t>
  </si>
  <si>
    <t>南北</t>
  </si>
  <si>
    <t>底层 共6层</t>
  </si>
  <si>
    <t>顶层 共6层</t>
  </si>
  <si>
    <t>底层 共19层</t>
  </si>
  <si>
    <t>高楼层 共19层</t>
  </si>
  <si>
    <t>低楼层 共6层</t>
  </si>
  <si>
    <t>南 西北</t>
  </si>
  <si>
    <t>东西</t>
  </si>
  <si>
    <t>中楼层 共6层</t>
  </si>
  <si>
    <t>高楼层 共6层</t>
  </si>
  <si>
    <t>北 南</t>
  </si>
  <si>
    <t>中楼层 共19层</t>
  </si>
  <si>
    <t>低楼层 共19层</t>
  </si>
  <si>
    <t>高楼层/19层</t>
  </si>
  <si>
    <t>低楼层 共18层</t>
  </si>
  <si>
    <t>中楼层 共18层</t>
  </si>
  <si>
    <t>0000-00-01</t>
  </si>
  <si>
    <t>高楼层 共18层</t>
  </si>
  <si>
    <t>2室厅卫</t>
  </si>
  <si>
    <t>南 东</t>
  </si>
  <si>
    <t>中楼层/21层</t>
  </si>
  <si>
    <t>中楼层/20层</t>
  </si>
  <si>
    <t>2室2厅2卫</t>
  </si>
  <si>
    <t>3室1厅1厨1卫</t>
  </si>
  <si>
    <t>2室1厅1厨2卫</t>
  </si>
  <si>
    <t>底层/6层</t>
  </si>
  <si>
    <t>2室1厅1厨1卫</t>
  </si>
  <si>
    <t>高楼层/18层</t>
  </si>
  <si>
    <t>顶层/6层</t>
  </si>
  <si>
    <t>底层/19层</t>
  </si>
  <si>
    <t>高楼层/21层</t>
  </si>
  <si>
    <t>低楼层/21层</t>
  </si>
  <si>
    <t>低楼层/7层</t>
  </si>
  <si>
    <t>顶层/19层</t>
  </si>
  <si>
    <t>高楼层/20层</t>
  </si>
  <si>
    <t>高楼层/7层</t>
  </si>
  <si>
    <t>顶层/18层</t>
  </si>
  <si>
    <t>底层/18层</t>
  </si>
  <si>
    <t>东 南 西 北</t>
  </si>
  <si>
    <t>北 西南</t>
  </si>
  <si>
    <t>西 北</t>
  </si>
  <si>
    <t>北</t>
  </si>
  <si>
    <t>角门东里</t>
    <phoneticPr fontId="25" type="noConversion"/>
  </si>
  <si>
    <t>南北</t>
    <phoneticPr fontId="25" type="noConversion"/>
  </si>
  <si>
    <r>
      <t>4/6</t>
    </r>
    <r>
      <rPr>
        <sz val="11"/>
        <color indexed="8"/>
        <rFont val="宋体"/>
        <family val="3"/>
        <charset val="134"/>
      </rPr>
      <t>（中层）</t>
    </r>
    <phoneticPr fontId="25" type="noConversion"/>
  </si>
  <si>
    <t>多层板楼</t>
  </si>
  <si>
    <t>简单装修</t>
  </si>
  <si>
    <t>砖混</t>
  </si>
  <si>
    <t>砖混</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</si>
</sst>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宋体"/>
      <family val="2"/>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cellStyleXfs>
  <cellXfs count="382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29" fillId="0" borderId="51"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129" fillId="0" borderId="83" xfId="0" applyNumberFormat="1" applyFont="1" applyFill="1" applyBorder="1" applyAlignment="1" applyProtection="1">
      <alignment horizontal="center" vertical="center"/>
      <protection locked="0"/>
    </xf>
    <xf numFmtId="10" fontId="48" fillId="9" borderId="1" xfId="1" applyNumberFormat="1" applyFont="1" applyFill="1" applyBorder="1" applyAlignment="1" applyProtection="1">
      <alignment horizontal="center" vertical="center"/>
      <protection locked="0"/>
    </xf>
    <xf numFmtId="49" fontId="45" fillId="0" borderId="44" xfId="0" applyNumberFormat="1" applyFont="1" applyFill="1" applyBorder="1" applyAlignment="1" applyProtection="1">
      <alignment horizontal="center" vertical="center" wrapText="1"/>
      <protection locked="0"/>
    </xf>
    <xf numFmtId="0" fontId="129" fillId="0" borderId="2" xfId="0" applyNumberFormat="1" applyFont="1" applyFill="1" applyBorder="1" applyAlignment="1" applyProtection="1">
      <alignment horizontal="center" vertical="center" wrapText="1"/>
      <protection locked="0"/>
    </xf>
    <xf numFmtId="1" fontId="71" fillId="3" borderId="20" xfId="0" applyNumberFormat="1" applyFont="1" applyFill="1" applyBorder="1" applyAlignment="1" applyProtection="1">
      <alignment vertical="center" wrapText="1"/>
      <protection locked="0"/>
    </xf>
    <xf numFmtId="0" fontId="129" fillId="0" borderId="37" xfId="0" applyNumberFormat="1" applyFont="1" applyFill="1" applyBorder="1" applyAlignment="1" applyProtection="1">
      <alignment horizontal="center" vertical="center" wrapText="1"/>
      <protection locked="0"/>
    </xf>
    <xf numFmtId="181" fontId="69" fillId="9" borderId="0" xfId="0" applyNumberFormat="1" applyFont="1" applyFill="1" applyBorder="1" applyAlignment="1" applyProtection="1">
      <alignment horizontal="center" vertical="center" wrapText="1"/>
      <protection locked="0"/>
    </xf>
    <xf numFmtId="0" fontId="52" fillId="9" borderId="0" xfId="0" applyFont="1" applyFill="1" applyBorder="1" applyAlignment="1" applyProtection="1">
      <alignment horizontal="center" vertical="center"/>
      <protection locked="0"/>
    </xf>
    <xf numFmtId="0" fontId="52" fillId="9" borderId="1" xfId="0" applyFont="1" applyFill="1" applyBorder="1" applyAlignment="1" applyProtection="1">
      <alignment horizontal="center" vertical="center" wrapText="1"/>
    </xf>
    <xf numFmtId="187" fontId="52" fillId="9" borderId="5" xfId="0" applyNumberFormat="1" applyFont="1" applyFill="1" applyBorder="1" applyAlignment="1" applyProtection="1">
      <alignment horizontal="center" vertical="center"/>
    </xf>
    <xf numFmtId="49" fontId="52" fillId="9" borderId="3" xfId="0" applyNumberFormat="1" applyFont="1" applyFill="1" applyBorder="1" applyAlignment="1" applyProtection="1">
      <alignment horizontal="center" vertical="center"/>
    </xf>
    <xf numFmtId="0" fontId="52" fillId="9" borderId="15" xfId="0" applyFont="1" applyFill="1" applyBorder="1" applyAlignment="1" applyProtection="1">
      <alignment horizontal="center" vertical="center"/>
    </xf>
    <xf numFmtId="0" fontId="52" fillId="9" borderId="1" xfId="0" applyFont="1" applyFill="1" applyBorder="1" applyAlignment="1" applyProtection="1">
      <alignment horizontal="center" vertical="center"/>
    </xf>
    <xf numFmtId="0" fontId="52" fillId="9" borderId="1" xfId="0" applyNumberFormat="1" applyFont="1" applyFill="1" applyBorder="1" applyAlignment="1" applyProtection="1">
      <alignment horizontal="center" vertical="center"/>
    </xf>
    <xf numFmtId="0" fontId="52" fillId="9" borderId="0" xfId="0" applyFont="1" applyFill="1" applyAlignment="1" applyProtection="1">
      <alignment horizontal="center" vertical="center"/>
      <protection locked="0"/>
    </xf>
    <xf numFmtId="0" fontId="129" fillId="0" borderId="41"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44" fontId="209" fillId="0" borderId="3" xfId="0" applyNumberFormat="1" applyFont="1" applyFill="1" applyBorder="1" applyAlignment="1" applyProtection="1">
      <alignment horizontal="center" vertical="center" wrapText="1"/>
      <protection locked="0"/>
    </xf>
    <xf numFmtId="0" fontId="167" fillId="0" borderId="5" xfId="0" applyNumberFormat="1"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209"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4" xfId="0" applyNumberFormat="1" applyFont="1" applyFill="1" applyBorder="1" applyAlignment="1" applyProtection="1">
      <alignment horizontal="center" vertical="center" wrapText="1"/>
      <protection locked="0"/>
    </xf>
    <xf numFmtId="0" fontId="209"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70" fillId="0" borderId="0" xfId="19" applyFont="1" applyAlignment="1">
      <alignment horizontal="center" vertical="center" wrapText="1"/>
    </xf>
    <xf numFmtId="0" fontId="1" fillId="0" borderId="0" xfId="19">
      <alignment vertical="center"/>
    </xf>
    <xf numFmtId="14" fontId="270" fillId="0" borderId="0" xfId="19" applyNumberFormat="1" applyFont="1" applyAlignment="1">
      <alignment horizontal="center" vertical="center" wrapText="1"/>
    </xf>
    <xf numFmtId="0" fontId="1" fillId="0" borderId="0" xfId="19" applyAlignment="1">
      <alignment horizontal="center" vertical="center" wrapText="1"/>
    </xf>
    <xf numFmtId="14" fontId="270" fillId="5" borderId="0" xfId="19" applyNumberFormat="1" applyFont="1" applyFill="1" applyAlignment="1">
      <alignment horizontal="center" vertical="center" wrapText="1"/>
    </xf>
    <xf numFmtId="0" fontId="270" fillId="5" borderId="0" xfId="19" applyFont="1" applyFill="1" applyAlignment="1">
      <alignment horizontal="center" vertical="center" wrapText="1"/>
    </xf>
    <xf numFmtId="0" fontId="1" fillId="5" borderId="0" xfId="19" applyFill="1">
      <alignment vertical="center"/>
    </xf>
    <xf numFmtId="44" fontId="209" fillId="0" borderId="23"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35282;&#38376;&#19996;&#37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1054997</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估价对象为北京市房地产，为所有。根据《国有土地使用证》[]，估价对象（分摊）出让国有建设用地使用权面积为0平方米，建筑面积为57.2平方米。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估价对象为北京市房地产,属开发建设的，该项目尚在开发建设中。根据《国有土地使用证》[]，估价对象（分摊）出让国有建设用地使用权面积为0平方米，规划建筑面积为57.2平方米。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2015年8月19日</v>
      </c>
    </row>
    <row r="13" spans="1:2" s="1203" customFormat="1">
      <c r="A13" s="1201" t="s">
        <v>529</v>
      </c>
      <c r="B13" s="1202" t="str">
        <f>'预评函-1'!A18</f>
        <v>本次估价的“房地产价值”是指在正常市场情况下，在价值时点2015年8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57.2</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2015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54" t="s">
        <v>385</v>
      </c>
      <c r="C54" s="1551" t="s">
        <v>583</v>
      </c>
    </row>
    <row r="55" spans="1:4">
      <c r="A55" s="3512"/>
      <c r="B55" s="1554" t="s">
        <v>386</v>
      </c>
      <c r="C55" s="1551" t="s">
        <v>584</v>
      </c>
    </row>
    <row r="56" spans="1:4">
      <c r="A56" s="3512"/>
      <c r="B56" s="1554" t="s">
        <v>387</v>
      </c>
      <c r="C56" s="1551" t="s">
        <v>588</v>
      </c>
    </row>
    <row r="57" spans="1:4">
      <c r="A57" s="351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3" t="s">
        <v>2580</v>
      </c>
      <c r="J2" s="3513"/>
      <c r="K2" s="3513"/>
      <c r="L2" s="3513"/>
      <c r="M2" s="3513"/>
      <c r="N2" s="3513"/>
      <c r="O2" s="3513"/>
      <c r="P2" s="3513"/>
      <c r="Q2" s="3513"/>
      <c r="R2" s="3513"/>
    </row>
    <row r="3" spans="1:18">
      <c r="A3" s="3020" t="s">
        <v>2501</v>
      </c>
      <c r="B3" s="3021">
        <f>项目基本情况!D3</f>
        <v>42235</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11.34</v>
      </c>
      <c r="D5" s="3025">
        <f>IF(ISERROR(ROUND(POWER(1+E5,A5-C5)*(POWER(1+E5,C5)-1)/(POWER(1+E5,A5)-1),3)),0,ROUND(POWER(1+E5,A5-C5)*(POWER(1+E5,C5)-1)/(POWER(1+E5,A5)-1),4))</f>
        <v>0.45350000000000001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21.35</v>
      </c>
      <c r="D6" s="3025">
        <f>IF(ISERROR(ROUND(POWER(1+E6,A6-C6)*(POWER(1+E6,C6)-1)/(POWER(1+E6,A6)-1),3)),0,ROUND(POWER(1+E6,A6-C6)*(POWER(1+E6,C6)-1)/(POWER(1+E6,A6)-1),4))</f>
        <v>0.66</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41.36</v>
      </c>
      <c r="D7" s="3025">
        <f>IF(ISERROR(ROUND(POWER(1+E7,A7-C7)*(POWER(1+E7,C7)-1)/(POWER(1+E7,A7)-1),3)),0,ROUND(POWER(1+E7,A7-C7)*(POWER(1+E7,C7)-1)/(POWER(1+E7,A7)-1),4))</f>
        <v>0.85760000000000003</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22" sqref="L22"/>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14" t="str">
        <f>IF(B10="北京市","北京市",C10)&amp;F10&amp;IF(结果表!G1="在建","出让国有建设用地使用权及在建建筑物",IF(结果表!G1="土地","出让国有建设用地使用权",))&amp;B9&amp;"预评估"</f>
        <v>北京市房地产市场价值预评估</v>
      </c>
      <c r="C1" s="3515"/>
      <c r="D1" s="3515"/>
      <c r="E1" s="3515"/>
      <c r="F1" s="3515"/>
      <c r="G1" s="3515"/>
      <c r="H1" s="3515"/>
      <c r="I1" s="351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42235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517"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518"/>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67876</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24"/>
      <c r="C16" s="3525"/>
      <c r="D16" s="3526"/>
      <c r="E16" s="2413" t="s">
        <v>2193</v>
      </c>
      <c r="F16" s="3527"/>
      <c r="G16" s="3528"/>
      <c r="H16" s="3528"/>
      <c r="I16" s="3529"/>
      <c r="J16" s="2439"/>
      <c r="K16" s="2617"/>
      <c r="L16" s="2451"/>
      <c r="M16" s="2451"/>
      <c r="N16" s="2509"/>
      <c r="O16" s="2451"/>
      <c r="P16" s="2509"/>
      <c r="Q16" s="2439"/>
      <c r="R16" s="2439"/>
    </row>
    <row r="17" spans="1:28">
      <c r="A17" s="313" t="s">
        <v>2194</v>
      </c>
      <c r="B17" s="302" t="s">
        <v>2195</v>
      </c>
      <c r="C17" s="8">
        <f>'数据-汇总表'!E3</f>
        <v>57.2</v>
      </c>
      <c r="D17" s="2322" t="s">
        <v>2196</v>
      </c>
      <c r="E17" s="3530" t="s">
        <v>2197</v>
      </c>
      <c r="F17" s="3531"/>
      <c r="G17" s="3531"/>
      <c r="H17" s="3531"/>
      <c r="I17" s="3532"/>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33" t="s">
        <v>2201</v>
      </c>
      <c r="F18" s="3534"/>
      <c r="G18" s="3534"/>
      <c r="H18" s="3534"/>
      <c r="I18" s="3535"/>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20" t="s">
        <v>2205</v>
      </c>
      <c r="C20" s="3521"/>
      <c r="D20" s="3522" t="s">
        <v>2206</v>
      </c>
      <c r="E20" s="3523"/>
      <c r="F20" s="2647" t="s">
        <v>1056</v>
      </c>
      <c r="G20" s="2664"/>
      <c r="H20" s="2664"/>
      <c r="I20" s="2664"/>
      <c r="J20" s="2439"/>
      <c r="K20" s="351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7"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7"/>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7"/>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8"/>
      <c r="B30" s="302" t="s">
        <v>2217</v>
      </c>
      <c r="C30" s="3539"/>
      <c r="D30" s="3540"/>
      <c r="E30" s="2664"/>
      <c r="F30" s="2664"/>
      <c r="G30" s="2664"/>
      <c r="H30" s="2664"/>
      <c r="I30" s="2664"/>
      <c r="J30" s="2439"/>
      <c r="K30" s="2616"/>
      <c r="L30" s="2613"/>
      <c r="M30" s="2613"/>
      <c r="N30" s="2439"/>
      <c r="O30" s="2450"/>
      <c r="P30" s="2439"/>
      <c r="Q30" s="2439"/>
      <c r="R30" s="2439"/>
      <c r="S30" s="2439"/>
      <c r="T30" s="2439"/>
      <c r="U30" s="2439"/>
      <c r="V30" s="2439"/>
    </row>
    <row r="31" spans="1:28">
      <c r="A31" s="3541"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36" t="s">
        <v>2227</v>
      </c>
      <c r="T34" s="2428" t="str">
        <f>NUMBERSTRING(7-K34,1)&amp;"通"</f>
        <v>七通</v>
      </c>
      <c r="U34" s="2439"/>
      <c r="V34" s="2439"/>
    </row>
    <row r="35" spans="1:30">
      <c r="A35" s="2429"/>
      <c r="B35" s="3543" t="s">
        <v>2228</v>
      </c>
      <c r="C35" s="3543"/>
      <c r="D35" s="3543"/>
      <c r="E35" s="354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6"/>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110</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57.2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57.2</v>
      </c>
      <c r="H5" s="13">
        <f t="shared" ref="H5:AT5" si="0">SUM(H13:H656)</f>
        <v>57.2</v>
      </c>
      <c r="I5" s="13">
        <f t="shared" si="0"/>
        <v>57.2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57.2</v>
      </c>
      <c r="BA5" s="15">
        <f t="shared" si="1"/>
        <v>57.2</v>
      </c>
      <c r="BB5" s="15">
        <f t="shared" si="1"/>
        <v>57.2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57.2</v>
      </c>
      <c r="H13" s="17">
        <f>SUMIF(I$12:AB$12,"总值",I13:AB13)</f>
        <v>57.2</v>
      </c>
      <c r="I13" s="1626">
        <v>57.2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57.2</v>
      </c>
      <c r="BA13" s="13">
        <f>SUM(BB13:BK13)</f>
        <v>57.2</v>
      </c>
      <c r="BB13" s="13">
        <f>IF($D13="是",I13-J13,0)</f>
        <v>57.2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3" sqref="F43"/>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3" t="s">
        <v>1131</v>
      </c>
      <c r="B2" s="3553"/>
      <c r="C2" s="3553"/>
      <c r="D2" s="796" t="s">
        <v>1107</v>
      </c>
      <c r="E2" s="1639" t="s">
        <v>1108</v>
      </c>
      <c r="F2" s="2659"/>
      <c r="G2" s="2650"/>
      <c r="H2" s="2651"/>
      <c r="I2" s="2325" t="s">
        <v>1132</v>
      </c>
      <c r="J2" s="2659"/>
      <c r="K2" s="2659"/>
      <c r="L2" s="2659"/>
      <c r="M2" s="2659"/>
      <c r="N2" s="2661"/>
      <c r="O2" s="2659"/>
      <c r="P2" s="2659"/>
    </row>
    <row r="3" spans="1:16" ht="15" thickBot="1">
      <c r="A3" s="3554" t="s">
        <v>1105</v>
      </c>
      <c r="B3" s="3554"/>
      <c r="C3" s="3554"/>
      <c r="D3" s="43">
        <f>'数据-基础表'!AY6</f>
        <v>0</v>
      </c>
      <c r="E3" s="43">
        <f>'数据-基础表'!AZ5</f>
        <v>57.2</v>
      </c>
      <c r="F3" s="2659"/>
      <c r="G3" s="1145"/>
      <c r="H3" s="1026" t="s">
        <v>1106</v>
      </c>
      <c r="I3" s="855" t="e">
        <f>ROUND('数据-基础表'!B3/'数据-基础表'!A3,2)</f>
        <v>#DIV/0!</v>
      </c>
      <c r="J3" s="2659"/>
      <c r="K3" s="2659"/>
      <c r="L3" s="2659"/>
      <c r="M3" s="2659"/>
      <c r="N3" s="2661"/>
      <c r="O3" s="2659"/>
      <c r="P3" s="2659"/>
    </row>
    <row r="4" spans="1:16" ht="14.4">
      <c r="A4" s="3555"/>
      <c r="B4" s="3556"/>
      <c r="C4" s="355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58" t="s">
        <v>1110</v>
      </c>
      <c r="C5" s="3558"/>
      <c r="D5" s="45">
        <f>ROUND($D$3*E5/$E$3,2)</f>
        <v>0</v>
      </c>
      <c r="E5" s="46">
        <f>SUMIF('数据-基础表'!$11:$11,"住宅",'数据-基础表'!$5:$5)</f>
        <v>57.2</v>
      </c>
      <c r="F5" s="2659"/>
      <c r="G5" s="1145"/>
      <c r="H5" s="1026" t="s">
        <v>1106</v>
      </c>
      <c r="I5" s="855" t="e">
        <f>ROUND(E31/D31,2)</f>
        <v>#DIV/0!</v>
      </c>
      <c r="J5" s="2659"/>
      <c r="K5" s="2659"/>
      <c r="L5" s="2659"/>
      <c r="M5" s="2659"/>
      <c r="N5" s="2659"/>
      <c r="O5" s="2659"/>
      <c r="P5" s="2659"/>
    </row>
    <row r="6" spans="1:16" ht="15" thickBot="1">
      <c r="A6" s="1644"/>
      <c r="B6" s="3558" t="s">
        <v>1111</v>
      </c>
      <c r="C6" s="3558"/>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50"/>
      <c r="B7" s="3551"/>
      <c r="C7" s="3552"/>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57.2</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57.2</v>
      </c>
      <c r="F16" s="2659"/>
      <c r="G16" s="2660"/>
      <c r="H16" s="1648" t="s">
        <v>1135</v>
      </c>
      <c r="I16" s="1649"/>
      <c r="J16" s="1139"/>
      <c r="K16" s="3547" t="s">
        <v>1135</v>
      </c>
      <c r="L16" s="3548"/>
      <c r="M16" s="3548"/>
      <c r="N16" s="3548"/>
      <c r="O16" s="3548"/>
      <c r="P16" s="3549"/>
    </row>
    <row r="17" spans="1:19" ht="14.4">
      <c r="A17" s="1650" t="s">
        <v>1136</v>
      </c>
      <c r="B17" s="1651" t="s">
        <v>1137</v>
      </c>
      <c r="C17" s="1652" t="s">
        <v>1138</v>
      </c>
      <c r="D17" s="1653" t="s">
        <v>1126</v>
      </c>
      <c r="E17" s="1654" t="s">
        <v>1127</v>
      </c>
      <c r="F17" s="1655"/>
      <c r="G17" s="1656"/>
      <c r="H17" s="1657" t="s">
        <v>1139</v>
      </c>
      <c r="I17" s="1658" t="s">
        <v>1124</v>
      </c>
      <c r="J17" s="1139"/>
      <c r="K17" s="3544" t="s">
        <v>1140</v>
      </c>
      <c r="L17" s="3545"/>
      <c r="M17" s="3546"/>
      <c r="N17" s="3544" t="s">
        <v>1141</v>
      </c>
      <c r="O17" s="3545"/>
      <c r="P17" s="3546"/>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57.2</v>
      </c>
      <c r="F19" s="2795">
        <f>'数据-基础表'!I13</f>
        <v>57.2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57.2</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57.2</v>
      </c>
      <c r="F27" s="1140">
        <f>IF(SUM(F19:F26)=E8,SUM(F19:F26),"地上面积有误")</f>
        <v>57.2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57.2</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57.2</v>
      </c>
      <c r="F31" s="677">
        <f>F27+F30</f>
        <v>57.2</v>
      </c>
      <c r="G31" s="678">
        <f>G27+G30</f>
        <v>0</v>
      </c>
      <c r="H31" s="2659"/>
      <c r="I31" s="2659"/>
      <c r="J31" s="2659"/>
      <c r="K31" s="2659"/>
      <c r="L31" s="2659"/>
      <c r="M31" s="2659"/>
      <c r="N31" s="2659"/>
      <c r="O31" s="2659"/>
      <c r="P31" s="2659"/>
    </row>
    <row r="32" spans="1:19" ht="14.4">
      <c r="A32" s="1643"/>
      <c r="B32" s="1643" t="s">
        <v>1159</v>
      </c>
      <c r="C32" s="1643"/>
      <c r="D32" s="1643"/>
      <c r="E32" s="1053">
        <f>SUMIF(C19:C26,"*住宅*",E19:E26)</f>
        <v>57.2</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15"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42235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67876</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57.2</v>
      </c>
      <c r="L6" s="733">
        <v>2000</v>
      </c>
      <c r="M6" s="67">
        <f t="shared" ref="M6:M14" si="0">ROUND(K6*L6/10000,0)</f>
        <v>11</v>
      </c>
      <c r="N6" s="3455">
        <v>0.65</v>
      </c>
      <c r="O6" s="67" t="str">
        <f>IF($N$5="成新度","——",ROUND(M6*N6,0))</f>
        <v>——</v>
      </c>
      <c r="P6" s="68" t="str">
        <f>IF($N$5="成新度","——",M6-O6)</f>
        <v>——</v>
      </c>
      <c r="Q6" s="734">
        <v>0.08</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114400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57.2</v>
      </c>
      <c r="L16" s="93">
        <f>ROUND(M16*10000/SUM(K6:K14),0)</f>
        <v>1923</v>
      </c>
      <c r="M16" s="93">
        <f>SUM(M6:M14)</f>
        <v>11</v>
      </c>
      <c r="N16" s="94">
        <f>ROUND(SUMPRODUCT(M6:M14,N6:N14)/M16,3)</f>
        <v>0.65</v>
      </c>
      <c r="O16" s="93">
        <f>SUM(O6:O14)</f>
        <v>0</v>
      </c>
      <c r="P16" s="93">
        <f>SUM(P6:P14)</f>
        <v>0</v>
      </c>
      <c r="Q16" s="95">
        <f>ROUND(SUMPRODUCT(Q6:Q13,K6:K13)/SUMPRODUCT((Q6:Q13&gt;0)*(K6:K13)),2)</f>
        <v>0.08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1.5</v>
      </c>
      <c r="C20" s="2800" t="s">
        <v>2300</v>
      </c>
      <c r="D20" s="2676"/>
      <c r="E20" s="2673"/>
      <c r="F20" s="2673"/>
      <c r="G20" s="2673"/>
      <c r="H20" s="2673"/>
      <c r="I20" s="2673"/>
      <c r="J20" s="2673"/>
      <c r="K20" s="2672"/>
      <c r="L20" s="2672"/>
      <c r="M20" s="2671"/>
      <c r="N20" s="2671">
        <f>1-(2015-1993)/50</f>
        <v>0.56000000000000005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0.03</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0.02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5.2499999999999998E-2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59" t="s">
        <v>2285</v>
      </c>
      <c r="B1" s="3560"/>
      <c r="C1" s="3560"/>
      <c r="D1" s="3560"/>
      <c r="E1" s="3560"/>
      <c r="F1" s="3560"/>
      <c r="G1" s="356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57.2</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42235</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179</v>
      </c>
      <c r="C5" s="2512" t="e">
        <f ca="1">IF(B5=D14,结果表!H102,ROUND(B5*10000/$B$1,0))</f>
        <v>#REF!</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57.2</v>
      </c>
      <c r="C14" s="2518"/>
      <c r="D14" s="2518">
        <f ca="1">结果表!G19</f>
        <v>179</v>
      </c>
      <c r="E14" s="2518">
        <f ca="1">ROUND(D14*10000/B14,0)</f>
        <v>31294</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5" sqref="C5:C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8" t="str">
        <f>项目基本情况!S2</f>
        <v>北京市房地产</v>
      </c>
      <c r="B2" s="3629"/>
      <c r="C2" s="3629"/>
      <c r="D2" s="3629"/>
      <c r="E2" s="3629"/>
      <c r="F2" s="3629"/>
      <c r="G2" s="3629"/>
      <c r="H2" s="3629"/>
      <c r="I2" s="3630"/>
    </row>
    <row r="3" spans="1:12" ht="13.2">
      <c r="A3" s="3632" t="s">
        <v>1264</v>
      </c>
      <c r="B3" s="3633"/>
      <c r="C3" s="3633"/>
      <c r="D3" s="3633"/>
      <c r="E3" s="3633"/>
      <c r="F3" s="3633"/>
      <c r="G3" s="3633"/>
      <c r="H3" s="3633"/>
      <c r="I3" s="3633"/>
    </row>
    <row r="4" spans="1:12" ht="14.4">
      <c r="A4" s="1754" t="s">
        <v>1265</v>
      </c>
      <c r="B4" s="1755" t="s">
        <v>1266</v>
      </c>
      <c r="C4" s="1756" t="s">
        <v>3410</v>
      </c>
      <c r="D4" s="1756" t="s">
        <v>3411</v>
      </c>
      <c r="E4" s="3637" t="s">
        <v>1267</v>
      </c>
      <c r="F4" s="3638"/>
      <c r="G4" s="3638"/>
      <c r="H4" s="3638"/>
      <c r="I4" s="363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76" t="s">
        <v>1268</v>
      </c>
      <c r="B5" s="3631">
        <v>25</v>
      </c>
      <c r="C5" s="3634">
        <v>7</v>
      </c>
      <c r="D5" s="3622">
        <f>10-C5</f>
        <v>3</v>
      </c>
      <c r="E5" s="131" t="s">
        <v>1269</v>
      </c>
      <c r="F5" s="1757"/>
      <c r="G5" s="1757"/>
      <c r="H5" s="1757"/>
      <c r="I5" s="1373"/>
    </row>
    <row r="6" spans="1:12" ht="13.2">
      <c r="A6" s="3576"/>
      <c r="B6" s="3631"/>
      <c r="C6" s="3636"/>
      <c r="D6" s="3622"/>
      <c r="E6" s="131" t="s">
        <v>1270</v>
      </c>
      <c r="F6" s="1757"/>
      <c r="G6" s="1757"/>
      <c r="H6" s="1757"/>
      <c r="I6" s="1373"/>
    </row>
    <row r="7" spans="1:12" ht="13.2">
      <c r="A7" s="3576"/>
      <c r="B7" s="3631"/>
      <c r="C7" s="3635"/>
      <c r="D7" s="3622"/>
      <c r="E7" s="131" t="s">
        <v>1271</v>
      </c>
      <c r="F7" s="1757"/>
      <c r="G7" s="1757"/>
      <c r="H7" s="1757"/>
      <c r="I7" s="1373"/>
    </row>
    <row r="8" spans="1:12" ht="13.2">
      <c r="A8" s="3576" t="s">
        <v>1272</v>
      </c>
      <c r="B8" s="3631">
        <v>15</v>
      </c>
      <c r="C8" s="3634"/>
      <c r="D8" s="3622"/>
      <c r="E8" s="131" t="s">
        <v>1273</v>
      </c>
      <c r="F8" s="1757"/>
      <c r="G8" s="1757"/>
      <c r="H8" s="1757"/>
      <c r="I8" s="1373"/>
    </row>
    <row r="9" spans="1:12" ht="13.2">
      <c r="A9" s="3576"/>
      <c r="B9" s="3631"/>
      <c r="C9" s="3635"/>
      <c r="D9" s="3622"/>
      <c r="E9" s="131" t="s">
        <v>1274</v>
      </c>
      <c r="F9" s="1757"/>
      <c r="G9" s="1757"/>
      <c r="H9" s="1757"/>
      <c r="I9" s="1373"/>
    </row>
    <row r="10" spans="1:12" ht="13.2">
      <c r="A10" s="3576" t="s">
        <v>1275</v>
      </c>
      <c r="B10" s="3631">
        <v>15</v>
      </c>
      <c r="C10" s="3634"/>
      <c r="D10" s="3622"/>
      <c r="E10" s="131" t="s">
        <v>1276</v>
      </c>
      <c r="F10" s="1757"/>
      <c r="G10" s="1757"/>
      <c r="H10" s="1757"/>
      <c r="I10" s="1373"/>
    </row>
    <row r="11" spans="1:12" ht="13.2">
      <c r="A11" s="3576"/>
      <c r="B11" s="3631"/>
      <c r="C11" s="3635"/>
      <c r="D11" s="3622"/>
      <c r="E11" s="131" t="s">
        <v>1277</v>
      </c>
      <c r="F11" s="1757"/>
      <c r="G11" s="1757"/>
      <c r="H11" s="1757"/>
      <c r="I11" s="1373"/>
    </row>
    <row r="12" spans="1:12" ht="13.2">
      <c r="A12" s="3576" t="s">
        <v>1278</v>
      </c>
      <c r="B12" s="3631">
        <v>15</v>
      </c>
      <c r="C12" s="3634"/>
      <c r="D12" s="3622"/>
      <c r="E12" s="131" t="s">
        <v>1279</v>
      </c>
      <c r="F12" s="1757"/>
      <c r="G12" s="1757"/>
      <c r="H12" s="1757"/>
      <c r="I12" s="1373"/>
    </row>
    <row r="13" spans="1:12" ht="13.2">
      <c r="A13" s="3576"/>
      <c r="B13" s="3631"/>
      <c r="C13" s="3635"/>
      <c r="D13" s="3622"/>
      <c r="E13" s="131" t="s">
        <v>1280</v>
      </c>
      <c r="F13" s="1757"/>
      <c r="G13" s="1757"/>
      <c r="H13" s="1757"/>
      <c r="I13" s="1373"/>
    </row>
    <row r="14" spans="1:12" ht="13.2">
      <c r="A14" s="3576" t="s">
        <v>1281</v>
      </c>
      <c r="B14" s="3631">
        <v>30</v>
      </c>
      <c r="C14" s="3634"/>
      <c r="D14" s="3622"/>
      <c r="E14" s="131" t="s">
        <v>1282</v>
      </c>
      <c r="F14" s="1757"/>
      <c r="G14" s="1757"/>
      <c r="H14" s="1757"/>
      <c r="I14" s="1373"/>
    </row>
    <row r="15" spans="1:12" ht="13.2">
      <c r="A15" s="3576"/>
      <c r="B15" s="3631"/>
      <c r="C15" s="3636"/>
      <c r="D15" s="3622"/>
      <c r="E15" s="131" t="s">
        <v>1283</v>
      </c>
      <c r="F15" s="1757"/>
      <c r="G15" s="1757"/>
      <c r="H15" s="1757"/>
      <c r="I15" s="1373"/>
    </row>
    <row r="16" spans="1:12" ht="13.2">
      <c r="A16" s="3576"/>
      <c r="B16" s="3631"/>
      <c r="C16" s="3635"/>
      <c r="D16" s="3622"/>
      <c r="E16" s="131" t="s">
        <v>1284</v>
      </c>
      <c r="F16" s="1757"/>
      <c r="G16" s="1757"/>
      <c r="H16" s="1757"/>
      <c r="I16" s="1373"/>
    </row>
    <row r="17" spans="1:36" ht="14.4">
      <c r="A17" s="1758" t="s">
        <v>1285</v>
      </c>
      <c r="B17" s="56"/>
      <c r="C17" s="132">
        <f>SUM(C5:C16)</f>
        <v>7</v>
      </c>
      <c r="D17" s="132">
        <f>SUM(D5:D16)</f>
        <v>3</v>
      </c>
      <c r="E17" s="129"/>
      <c r="F17" s="129"/>
      <c r="G17" s="129"/>
      <c r="H17" s="129"/>
      <c r="I17" s="129"/>
      <c r="K17" s="302"/>
      <c r="L17" s="302" t="s">
        <v>1286</v>
      </c>
      <c r="M17" s="302" t="s">
        <v>1287</v>
      </c>
    </row>
    <row r="18" spans="1:36" ht="31.95" customHeight="1" thickBot="1">
      <c r="A18" s="1759" t="s">
        <v>1288</v>
      </c>
      <c r="B18" s="1760"/>
      <c r="C18" s="133">
        <f>ROUND(C17/SUM(C17:D17),2)</f>
        <v>0.7</v>
      </c>
      <c r="D18" s="133">
        <f>1-C18</f>
        <v>0.30000000000000004</v>
      </c>
      <c r="E18" s="3653" t="s">
        <v>2130</v>
      </c>
      <c r="F18" s="3654"/>
      <c r="G18" s="3654"/>
      <c r="H18" s="3654"/>
      <c r="I18" s="3654"/>
      <c r="K18" s="302" t="s">
        <v>1289</v>
      </c>
      <c r="L18" s="302">
        <f>IF(C1="",'数据-汇总表'!E3,SUMIF(项目类型,C1,'数据-汇总表'!E17:E26)+SUMIF(项目类型,C1,'数据-汇总表'!I17:I26))</f>
        <v>57.2</v>
      </c>
      <c r="M18" s="302">
        <f>IF(C1="",'数据-汇总表'!E3,SUMIF(项目类型,C1,'数据-汇总表'!E17:E26))</f>
        <v>57.2</v>
      </c>
    </row>
    <row r="19" spans="1:36" ht="14.4">
      <c r="A19" s="1761" t="s">
        <v>1290</v>
      </c>
      <c r="B19" s="1762" t="s">
        <v>1291</v>
      </c>
      <c r="C19" s="134">
        <f ca="1">SUMIF(INDIRECT("'"&amp;C4&amp;"'"&amp;"!A:A"),结果表!B19,INDIRECT("'"&amp;C4&amp;"'"&amp;"!B:B"))</f>
        <v>191.49420000000001</v>
      </c>
      <c r="D19" s="135">
        <f ca="1">SUMIF(INDIRECT("'"&amp;D4&amp;"'"&amp;"!A:A"),结果表!B19,INDIRECT("'"&amp;D4&amp;"'"&amp;"!B:B"))</f>
        <v>148.21180000000001</v>
      </c>
      <c r="E19" s="1761" t="s">
        <v>1292</v>
      </c>
      <c r="F19" s="1762" t="s">
        <v>1291</v>
      </c>
      <c r="G19" s="136">
        <f ca="1">ROUND(C19*$C$18+D19*$D$18,0)</f>
        <v>179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33478</v>
      </c>
      <c r="D20" s="138">
        <f ca="1">SUMIF(INDIRECT("'"&amp;D4&amp;"'"&amp;"!A:A"),结果表!B20,INDIRECT("'"&amp;D4&amp;"'"&amp;"!B:B"))</f>
        <v>25911</v>
      </c>
      <c r="E20" s="1764"/>
      <c r="F20" s="1026" t="s">
        <v>1295</v>
      </c>
      <c r="G20" s="139">
        <f ca="1">ROUND(C20*$C$18+D20*$D$18,0)</f>
        <v>31208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0.29203072899728633</v>
      </c>
      <c r="E22" s="129"/>
      <c r="F22" s="129"/>
      <c r="G22" s="129"/>
      <c r="H22" s="129"/>
      <c r="I22" s="129"/>
    </row>
    <row r="23" spans="1:36" ht="13.8" thickBot="1">
      <c r="A23" s="1747"/>
      <c r="B23" s="1747"/>
      <c r="C23" s="1747"/>
      <c r="D23" s="1747"/>
      <c r="E23" s="129"/>
      <c r="F23" s="129"/>
      <c r="G23" s="129"/>
      <c r="H23" s="129"/>
      <c r="I23" s="129"/>
    </row>
    <row r="24" spans="1:36" ht="14.4">
      <c r="A24" s="3646" t="s">
        <v>1299</v>
      </c>
      <c r="B24" s="1762" t="s">
        <v>1291</v>
      </c>
      <c r="C24" s="136">
        <f>IF(B30=0,0,D30)</f>
        <v>0</v>
      </c>
      <c r="D24" s="1769"/>
      <c r="E24" s="129"/>
      <c r="F24" s="129"/>
      <c r="G24" s="129"/>
      <c r="H24" s="129"/>
      <c r="I24" s="129"/>
    </row>
    <row r="25" spans="1:36" ht="14.4">
      <c r="A25" s="36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31208</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3" t="s">
        <v>1312</v>
      </c>
      <c r="B36" s="1787" t="s">
        <v>1313</v>
      </c>
      <c r="C36" s="145"/>
      <c r="D36" s="1788"/>
      <c r="E36" s="1789"/>
      <c r="F36" s="1790"/>
      <c r="G36" s="129"/>
      <c r="H36" s="129"/>
      <c r="I36" s="129"/>
    </row>
    <row r="37" spans="1:15" ht="15" thickBot="1">
      <c r="A37" s="3624"/>
      <c r="B37" s="1674" t="s">
        <v>1314</v>
      </c>
      <c r="C37" s="147"/>
      <c r="D37" s="1139"/>
      <c r="E37" s="1139"/>
      <c r="F37" s="1790"/>
      <c r="G37" s="129"/>
      <c r="H37" s="129"/>
      <c r="I37" s="129"/>
    </row>
    <row r="38" spans="1:15" ht="15" thickBot="1">
      <c r="A38" s="362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3" t="s">
        <v>1326</v>
      </c>
      <c r="B45" s="3644"/>
      <c r="C45" s="3645"/>
      <c r="D45" s="155" t="e">
        <f ca="1">ROUND(H101*F45,0)</f>
        <v>#REF!</v>
      </c>
      <c r="E45" s="156" t="s">
        <v>1327</v>
      </c>
      <c r="F45" s="157">
        <v>1</v>
      </c>
      <c r="G45" s="158" t="s">
        <v>1328</v>
      </c>
      <c r="H45" s="129"/>
      <c r="I45" s="129"/>
      <c r="J45" s="3563" t="s">
        <v>1329</v>
      </c>
      <c r="K45" s="3563"/>
      <c r="L45" s="3563"/>
      <c r="M45" s="3563"/>
      <c r="N45" s="3563"/>
      <c r="O45" s="3563"/>
    </row>
    <row r="46" spans="1:15" ht="14.25" customHeight="1">
      <c r="A46" s="3640" t="s">
        <v>1330</v>
      </c>
      <c r="B46" s="3641"/>
      <c r="C46" s="3641"/>
      <c r="D46" s="3641"/>
      <c r="E46" s="3641"/>
      <c r="F46" s="3641"/>
      <c r="G46" s="3642"/>
      <c r="H46" s="1806"/>
      <c r="I46" s="159"/>
      <c r="J46" s="2523">
        <v>1</v>
      </c>
      <c r="K46" s="3564" t="s">
        <v>1331</v>
      </c>
      <c r="L46" s="3564"/>
      <c r="M46" s="3565"/>
      <c r="N46" s="3565"/>
      <c r="O46" s="3565"/>
    </row>
    <row r="47" spans="1:15" ht="12" customHeight="1">
      <c r="A47" s="160" t="s">
        <v>1332</v>
      </c>
      <c r="B47" s="161"/>
      <c r="C47" s="162"/>
      <c r="D47" s="1087" t="s">
        <v>1333</v>
      </c>
      <c r="E47" s="302" t="s">
        <v>1334</v>
      </c>
      <c r="F47" s="163" t="s">
        <v>1335</v>
      </c>
      <c r="G47" s="2546" t="s">
        <v>1336</v>
      </c>
      <c r="H47" s="2547"/>
      <c r="I47" s="159"/>
      <c r="J47" s="2523">
        <v>2</v>
      </c>
      <c r="K47" s="3564" t="s">
        <v>1337</v>
      </c>
      <c r="L47" s="3564"/>
      <c r="M47" s="3566">
        <f>'数据-取费表'!B2</f>
        <v>42235</v>
      </c>
      <c r="N47" s="3566"/>
      <c r="O47" s="3566"/>
    </row>
    <row r="48" spans="1:15" ht="26.4">
      <c r="A48" s="3626" t="s">
        <v>1338</v>
      </c>
      <c r="B48" s="3627"/>
      <c r="C48" s="362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4" t="s">
        <v>1340</v>
      </c>
      <c r="L48" s="3564"/>
      <c r="M48" s="3567" t="e">
        <f ca="1">H101</f>
        <v>#REF!</v>
      </c>
      <c r="N48" s="3567"/>
      <c r="O48" s="3567"/>
    </row>
    <row r="49" spans="1:35" ht="25.5" customHeight="1">
      <c r="A49" s="2333" t="s">
        <v>1341</v>
      </c>
      <c r="B49" s="3612" t="s">
        <v>1342</v>
      </c>
      <c r="C49" s="3612"/>
      <c r="D49" s="1590">
        <v>0</v>
      </c>
      <c r="E49" s="324" t="s">
        <v>1343</v>
      </c>
      <c r="F49" s="2424" t="s">
        <v>28</v>
      </c>
      <c r="G49" s="3595"/>
      <c r="H49" s="2310" t="s">
        <v>2133</v>
      </c>
      <c r="I49" s="2311"/>
      <c r="J49" s="2523">
        <v>4</v>
      </c>
      <c r="K49" s="3564" t="str">
        <f>IF(项目基本情况!E8="房地产抵押价值","房地产抵押价值","抵押担保权已注销时的房地产抵押价值")</f>
        <v>抵押担保权已注销时的房地产抵押价值</v>
      </c>
      <c r="L49" s="3564"/>
      <c r="M49" s="3567" t="str">
        <f>IF(项目基本情况!E8="房地产抵押价值",H107,H109)</f>
        <v>——</v>
      </c>
      <c r="N49" s="3567"/>
      <c r="O49" s="3567"/>
    </row>
    <row r="50" spans="1:35" ht="25.5" customHeight="1">
      <c r="A50" s="2551"/>
      <c r="B50" s="3612" t="s">
        <v>1344</v>
      </c>
      <c r="C50" s="3612"/>
      <c r="D50" s="2552"/>
      <c r="E50" s="332"/>
      <c r="F50" s="2424"/>
      <c r="G50" s="3596"/>
      <c r="H50" s="2312" t="s">
        <v>2134</v>
      </c>
      <c r="I50" s="2311"/>
      <c r="J50" s="3563" t="s">
        <v>1345</v>
      </c>
      <c r="K50" s="3563"/>
      <c r="L50" s="3563"/>
      <c r="M50" s="3563"/>
      <c r="N50" s="3563"/>
      <c r="O50" s="3563"/>
    </row>
    <row r="51" spans="1:35" ht="20.399999999999999" customHeight="1">
      <c r="A51" s="2553"/>
      <c r="B51" s="3612" t="s">
        <v>1346</v>
      </c>
      <c r="C51" s="3612"/>
      <c r="D51" s="1087"/>
      <c r="E51" s="327"/>
      <c r="F51" s="2424"/>
      <c r="G51" s="3597"/>
      <c r="H51" s="2312" t="s">
        <v>2135</v>
      </c>
      <c r="I51" s="2311"/>
      <c r="J51" s="2524" t="s">
        <v>1347</v>
      </c>
      <c r="K51" s="3564" t="s">
        <v>1348</v>
      </c>
      <c r="L51" s="3564"/>
      <c r="M51" s="2524" t="s">
        <v>1349</v>
      </c>
      <c r="N51" s="2524" t="s">
        <v>1350</v>
      </c>
      <c r="O51" s="2524" t="s">
        <v>1351</v>
      </c>
    </row>
    <row r="52" spans="1:35" ht="24" customHeight="1">
      <c r="A52" s="2335" t="s">
        <v>1352</v>
      </c>
      <c r="B52" s="3612" t="s">
        <v>1353</v>
      </c>
      <c r="C52" s="3612"/>
      <c r="D52" s="1087" t="e">
        <f ca="1">ROUND(D45*'数据-取费表'!B41/(1+'数据-取费表'!C42),0)</f>
        <v>#REF!</v>
      </c>
      <c r="E52" s="2334" t="s">
        <v>1354</v>
      </c>
      <c r="F52" s="2554">
        <f>'数据-取费表'!B41</f>
        <v>5.6000000000000001E-2</v>
      </c>
      <c r="G52" s="2555"/>
      <c r="H52" s="2544"/>
      <c r="I52" s="1807"/>
      <c r="J52" s="2523">
        <v>1</v>
      </c>
      <c r="K52" s="3589" t="s">
        <v>1355</v>
      </c>
      <c r="L52" s="3589"/>
      <c r="M52" s="2525" t="b">
        <f>D48</f>
        <v>0</v>
      </c>
      <c r="N52" s="2523" t="str">
        <f>E48</f>
        <v>销售额×税（费）率</v>
      </c>
      <c r="O52" s="2526">
        <f>F48</f>
        <v>5.6000000000000001E-2</v>
      </c>
    </row>
    <row r="53" spans="1:35" ht="12" customHeight="1">
      <c r="A53" s="2335" t="s">
        <v>1356</v>
      </c>
      <c r="B53" s="3613" t="s">
        <v>2290</v>
      </c>
      <c r="C53" s="3614"/>
      <c r="D53" s="1087" t="e">
        <f ca="1">ROUND(D45*'数据-取费表'!B41/(1+'数据-取费表'!C42),0)</f>
        <v>#REF!</v>
      </c>
      <c r="E53" s="2334" t="s">
        <v>1354</v>
      </c>
      <c r="F53" s="2554">
        <f>'数据-取费表'!B41</f>
        <v>5.6000000000000001E-2</v>
      </c>
      <c r="G53" s="2555"/>
      <c r="H53" s="2544"/>
      <c r="I53" s="1807"/>
      <c r="J53" s="2523">
        <v>2</v>
      </c>
      <c r="K53" s="3589" t="s">
        <v>1357</v>
      </c>
      <c r="L53" s="3589"/>
      <c r="M53" s="2525" t="e">
        <f t="shared" ref="M53:O54" ca="1" si="0">D55</f>
        <v>#REF!</v>
      </c>
      <c r="N53" s="2523" t="str">
        <f t="shared" si="0"/>
        <v>销售额×税（费）率</v>
      </c>
      <c r="O53" s="2526" t="str">
        <f t="shared" si="0"/>
        <v>免征</v>
      </c>
    </row>
    <row r="54" spans="1:35" ht="12" customHeight="1">
      <c r="A54" s="2335" t="s">
        <v>1358</v>
      </c>
      <c r="B54" s="3613" t="s">
        <v>2291</v>
      </c>
      <c r="C54" s="3614"/>
      <c r="D54" s="1087" t="e">
        <f ca="1">C68</f>
        <v>#REF!</v>
      </c>
      <c r="E54" s="327" t="s">
        <v>1359</v>
      </c>
      <c r="F54" s="2554">
        <f>'数据-取费表'!B41</f>
        <v>5.6000000000000001E-2</v>
      </c>
      <c r="G54" s="2555"/>
      <c r="H54" s="2556"/>
      <c r="I54" s="1807"/>
      <c r="J54" s="2523">
        <v>3</v>
      </c>
      <c r="K54" s="3589" t="s">
        <v>1360</v>
      </c>
      <c r="L54" s="3589"/>
      <c r="M54" s="2525" t="e">
        <f t="shared" ca="1" si="0"/>
        <v>#REF!</v>
      </c>
      <c r="N54" s="2523" t="str">
        <f t="shared" si="0"/>
        <v>增值额×税（费）率</v>
      </c>
      <c r="O54" s="2527" t="str">
        <f t="shared" si="0"/>
        <v>免征</v>
      </c>
    </row>
    <row r="55" spans="1:35" ht="24" customHeight="1">
      <c r="A55" s="3649" t="s">
        <v>1361</v>
      </c>
      <c r="B55" s="3627"/>
      <c r="C55" s="3627"/>
      <c r="D55" s="2324" t="e">
        <f ca="1">IF(H55="个人住宅",0,ROUND(D45*I55,0))</f>
        <v>#REF!</v>
      </c>
      <c r="E55" s="2334" t="s">
        <v>1362</v>
      </c>
      <c r="F55" s="2554" t="str">
        <f>IF(H55="正常",I55,"免征")</f>
        <v>免征</v>
      </c>
      <c r="G55" s="2555"/>
      <c r="H55" s="2550"/>
      <c r="I55" s="165">
        <f>'数据-取费表'!B49</f>
        <v>5.0000000000000001E-4</v>
      </c>
      <c r="J55" s="2523">
        <f>IF(H59="非个人房产","",4)</f>
        <v>4</v>
      </c>
      <c r="K55" s="3589" t="str">
        <f>IF(H59="非个人房产","——","个人所得税")</f>
        <v>个人所得税</v>
      </c>
      <c r="L55" s="3589"/>
      <c r="M55" s="2528" t="e">
        <f ca="1">D59</f>
        <v>#REF!</v>
      </c>
      <c r="N55" s="2040" t="str">
        <f>E59</f>
        <v>差额计税</v>
      </c>
      <c r="O55" s="2529">
        <f>F59</f>
        <v>0.01</v>
      </c>
    </row>
    <row r="56" spans="1:35" ht="25.2">
      <c r="A56" s="3649" t="s">
        <v>1363</v>
      </c>
      <c r="B56" s="3627"/>
      <c r="C56" s="3627"/>
      <c r="D56" s="2324" t="e">
        <f ca="1">IF(H56="个人住宅",D57,D58)</f>
        <v>#REF!</v>
      </c>
      <c r="E56" s="2334" t="s">
        <v>1364</v>
      </c>
      <c r="F56" s="2554" t="str">
        <f>IF(H56="正常",F58,"免征")</f>
        <v>免征</v>
      </c>
      <c r="G56" s="2557" t="s">
        <v>1365</v>
      </c>
      <c r="H56" s="2558"/>
      <c r="I56" s="1808"/>
      <c r="J56" s="2523" t="str">
        <f>IF(项目基本情况!K6="上海银行",IF(J55="",4,J55+1),"")</f>
        <v/>
      </c>
      <c r="K56" s="3570" t="str">
        <f>IF(项目基本情况!K6="上海银行","其他处置费用","")</f>
        <v/>
      </c>
      <c r="L56" s="3571"/>
      <c r="M56" s="2525" t="str">
        <f>IF(项目基本情况!K6="上海银行",M69,"")</f>
        <v/>
      </c>
      <c r="N56" s="3570" t="str">
        <f>IF(项目基本情况!K6="上海银行","包含处置中涉及的律师、诉讼、拍卖、评估等费用","")</f>
        <v/>
      </c>
      <c r="O56" s="3573"/>
    </row>
    <row r="57" spans="1:35" ht="13.2">
      <c r="A57" s="2335" t="s">
        <v>1341</v>
      </c>
      <c r="B57" s="3613" t="s">
        <v>1366</v>
      </c>
      <c r="C57" s="3614"/>
      <c r="D57" s="1590">
        <v>0</v>
      </c>
      <c r="E57" s="324" t="s">
        <v>1343</v>
      </c>
      <c r="F57" s="302"/>
      <c r="G57" s="2555"/>
      <c r="H57" s="2559"/>
      <c r="I57" s="1808"/>
      <c r="J57" s="3589">
        <f>IF(AND(J55="",J56=""),4,IF(项目基本情况!K6="上海银行",结果表!J56+1,结果表!J55+1))</f>
        <v>5</v>
      </c>
      <c r="K57" s="3589" t="s">
        <v>1367</v>
      </c>
      <c r="L57" s="2530" t="s">
        <v>1368</v>
      </c>
      <c r="M57" s="2531"/>
      <c r="N57" s="2532">
        <f ca="1">SUMIF(M52:M56,"&lt;9e307")</f>
        <v>0</v>
      </c>
      <c r="O57" s="2533"/>
      <c r="P57" s="2690" t="e">
        <f ca="1">N57/M49</f>
        <v>#VALUE!</v>
      </c>
    </row>
    <row r="58" spans="1:35" ht="25.2">
      <c r="A58" s="2335" t="s">
        <v>1352</v>
      </c>
      <c r="B58" s="3613" t="s">
        <v>1369</v>
      </c>
      <c r="C58" s="3612"/>
      <c r="D58" s="2324" t="e">
        <f ca="1">IF(H58="转让取得",C81,C97)</f>
        <v>#REF!</v>
      </c>
      <c r="E58" s="2334" t="s">
        <v>1364</v>
      </c>
      <c r="F58" s="302" t="s">
        <v>28</v>
      </c>
      <c r="G58" s="2555"/>
      <c r="H58" s="2558"/>
      <c r="I58" s="1808"/>
      <c r="J58" s="3589"/>
      <c r="K58" s="3589"/>
      <c r="L58" s="2530" t="s">
        <v>1370</v>
      </c>
      <c r="M58" s="2534"/>
      <c r="N58" s="2535" t="str">
        <f ca="1">NUMBERSTRING(INT(N57*10000),2)&amp;"元整"</f>
        <v>零元整</v>
      </c>
      <c r="O58" s="2536"/>
    </row>
    <row r="59" spans="1:35" ht="24.6" thickBot="1">
      <c r="A59" s="3593" t="s">
        <v>1371</v>
      </c>
      <c r="B59" s="3594"/>
      <c r="C59" s="359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91">
        <f>J57+1</f>
        <v>6</v>
      </c>
      <c r="K59" s="3589" t="s">
        <v>1372</v>
      </c>
      <c r="L59" s="2523" t="s">
        <v>1368</v>
      </c>
      <c r="M59" s="2537"/>
      <c r="N59" s="2538" t="e">
        <f ca="1">M49-N57</f>
        <v>#VALUE!</v>
      </c>
      <c r="O59" s="2539"/>
    </row>
    <row r="60" spans="1:35" ht="12" customHeight="1">
      <c r="A60" s="1809"/>
      <c r="B60" s="1747"/>
      <c r="C60" s="1747"/>
      <c r="D60" s="1747"/>
      <c r="E60" s="1578"/>
      <c r="F60" s="1808"/>
      <c r="G60" s="1808"/>
      <c r="H60" s="1810"/>
      <c r="I60" s="129"/>
      <c r="J60" s="3592"/>
      <c r="K60" s="3589"/>
      <c r="L60" s="2530" t="s">
        <v>1370</v>
      </c>
      <c r="M60" s="2534"/>
      <c r="N60" s="2535" t="e">
        <f ca="1">NUMBERSTRING(INT(N59*10000),2)&amp;"元整"</f>
        <v>#VALUE!</v>
      </c>
      <c r="O60" s="2536"/>
    </row>
    <row r="61" spans="1:35" ht="13.8" thickBot="1">
      <c r="A61" s="3648" t="s">
        <v>1373</v>
      </c>
      <c r="B61" s="3648"/>
      <c r="C61" s="3648"/>
      <c r="D61" s="3648"/>
      <c r="E61" s="3648"/>
      <c r="F61" s="1808"/>
      <c r="G61" s="1808"/>
      <c r="H61" s="1810"/>
      <c r="I61" s="129"/>
      <c r="J61" s="2523">
        <f>J59+1</f>
        <v>7</v>
      </c>
      <c r="K61" s="3589" t="s">
        <v>1374</v>
      </c>
      <c r="L61" s="3589"/>
      <c r="M61" s="2540"/>
      <c r="N61" s="2541" t="e">
        <f ca="1">ROUND(N59*10000/'数据-汇总表'!E3,0)</f>
        <v>#VALUE!</v>
      </c>
      <c r="O61" s="2542"/>
    </row>
    <row r="62" spans="1:35" ht="13.2">
      <c r="A62" s="3608" t="s">
        <v>1375</v>
      </c>
      <c r="B62" s="3609"/>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7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7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6" t="s">
        <v>1394</v>
      </c>
      <c r="B70" s="3617"/>
      <c r="C70" s="3617"/>
      <c r="D70" s="3617"/>
      <c r="E70" s="3617"/>
      <c r="F70" s="3617"/>
      <c r="G70" s="3617"/>
      <c r="H70" s="361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8" t="s">
        <v>1375</v>
      </c>
      <c r="B71" s="360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3" t="s">
        <v>1402</v>
      </c>
      <c r="F76" s="3612"/>
      <c r="G76" s="3612"/>
      <c r="H76" s="361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05" t="s">
        <v>1406</v>
      </c>
      <c r="F78" s="3606"/>
      <c r="G78" s="3606"/>
      <c r="H78" s="360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6" t="s">
        <v>1410</v>
      </c>
      <c r="B83" s="3617"/>
      <c r="C83" s="3617"/>
      <c r="D83" s="3617"/>
      <c r="E83" s="3617"/>
      <c r="F83" s="3617"/>
      <c r="G83" s="3617"/>
      <c r="H83" s="361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8" t="s">
        <v>1375</v>
      </c>
      <c r="B84" s="360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74" t="s">
        <v>2128</v>
      </c>
      <c r="H90" s="3575"/>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5" t="s">
        <v>1419</v>
      </c>
      <c r="F91" s="3606"/>
      <c r="G91" s="360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5" t="s">
        <v>1422</v>
      </c>
      <c r="F92" s="3606"/>
      <c r="G92" s="3606"/>
      <c r="H92" s="3607"/>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05" t="s">
        <v>1406</v>
      </c>
      <c r="F93" s="3606"/>
      <c r="G93" s="3606"/>
      <c r="H93" s="360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0" t="s">
        <v>1426</v>
      </c>
      <c r="F94" s="3651"/>
      <c r="G94" s="3651"/>
      <c r="H94" s="365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5" t="s">
        <v>1428</v>
      </c>
      <c r="B100" s="3556"/>
      <c r="C100" s="3556"/>
      <c r="D100" s="3590"/>
      <c r="E100" s="3556" t="s">
        <v>1429</v>
      </c>
      <c r="F100" s="3556"/>
      <c r="G100" s="3556"/>
      <c r="H100" s="3590"/>
      <c r="I100" s="129"/>
    </row>
    <row r="101" spans="1:35" ht="18.75" customHeight="1">
      <c r="A101" s="3598" t="s">
        <v>1430</v>
      </c>
      <c r="B101" s="3599"/>
      <c r="C101" s="2585" t="str">
        <f>C4</f>
        <v>比较法-住宅</v>
      </c>
      <c r="D101" s="2586" t="str">
        <f>D4</f>
        <v>成本法 (元)</v>
      </c>
      <c r="E101" s="3568" t="s">
        <v>1431</v>
      </c>
      <c r="F101" s="3569"/>
      <c r="G101" s="1827" t="s">
        <v>1432</v>
      </c>
      <c r="H101" s="2595" t="e">
        <f ca="1">H118</f>
        <v>#REF!</v>
      </c>
      <c r="I101" s="129"/>
    </row>
    <row r="102" spans="1:35" ht="18.75" customHeight="1">
      <c r="A102" s="3600" t="s">
        <v>1433</v>
      </c>
      <c r="B102" s="2584" t="s">
        <v>1432</v>
      </c>
      <c r="C102" s="2585">
        <f ca="1">IF(D32="楼面单价",ROUND(C19,0),C19)</f>
        <v>191.49420000000001</v>
      </c>
      <c r="D102" s="2586">
        <f ca="1">IF(D32="楼面单价",ROUND(D19,0),D19)</f>
        <v>148.21180000000001</v>
      </c>
      <c r="E102" s="3568"/>
      <c r="F102" s="3569"/>
      <c r="G102" s="1827" t="s">
        <v>1434</v>
      </c>
      <c r="H102" s="2555" t="e">
        <f ca="1">I118</f>
        <v>#REF!</v>
      </c>
      <c r="I102" s="129"/>
    </row>
    <row r="103" spans="1:35" ht="42.75" customHeight="1">
      <c r="A103" s="3600"/>
      <c r="B103" s="2584" t="s">
        <v>1434</v>
      </c>
      <c r="C103" s="2587">
        <f ca="1">C20</f>
        <v>33478</v>
      </c>
      <c r="D103" s="2588">
        <f ca="1">D20</f>
        <v>25911</v>
      </c>
      <c r="E103" s="3561" t="s">
        <v>1435</v>
      </c>
      <c r="F103" s="3562"/>
      <c r="G103" s="1828" t="s">
        <v>1436</v>
      </c>
      <c r="H103" s="2595">
        <f>IF(D36="正常操作",H104+H105+H106,H105+H106)</f>
        <v>0</v>
      </c>
      <c r="I103" s="129"/>
    </row>
    <row r="104" spans="1:35" ht="18.75" customHeight="1">
      <c r="A104" s="360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1" t="str">
        <f>IF(项目基本情况!E8="已注销","——","3.房地产抵押价值")</f>
        <v>3.房地产抵押价值</v>
      </c>
      <c r="F107" s="3569"/>
      <c r="G107" s="1827" t="s">
        <v>1432</v>
      </c>
      <c r="H107" s="2595" t="e">
        <f ca="1">IF(E107="——","——",H101-H103)</f>
        <v>#REF!</v>
      </c>
      <c r="I107" s="129"/>
    </row>
    <row r="108" spans="1:35" ht="18.75" customHeight="1">
      <c r="A108" s="129"/>
      <c r="B108" s="129"/>
      <c r="C108" s="129"/>
      <c r="D108" s="129"/>
      <c r="E108" s="3601"/>
      <c r="F108" s="3569"/>
      <c r="G108" s="1827" t="s">
        <v>1434</v>
      </c>
      <c r="H108" s="2555">
        <f ca="1">IF(H107=H101,H102,ROUND(H107*10000/'数据-汇总表'!E3,0))</f>
        <v>0</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569"/>
      <c r="G109" s="1827" t="s">
        <v>1432</v>
      </c>
      <c r="H109" s="2598" t="str">
        <f>IF(E109="——","——",H101-H105-H106)</f>
        <v>——</v>
      </c>
      <c r="I109" s="129"/>
    </row>
    <row r="110" spans="1:35" ht="18.75" customHeight="1">
      <c r="A110" s="129"/>
      <c r="B110" s="129"/>
      <c r="C110" s="129"/>
      <c r="D110" s="129"/>
      <c r="E110" s="3601"/>
      <c r="F110" s="3569"/>
      <c r="G110" s="1827" t="s">
        <v>1434</v>
      </c>
      <c r="H110" s="2555" t="str">
        <f>IF(H109="——","——",ROUND(H109*10000/'数据-汇总表'!E3,0))</f>
        <v>——</v>
      </c>
      <c r="I110" s="129"/>
    </row>
    <row r="111" spans="1:35" ht="18.75" customHeight="1">
      <c r="A111" s="129"/>
      <c r="B111" s="129"/>
      <c r="C111" s="129"/>
      <c r="D111" s="129"/>
      <c r="E111" s="3602" t="str">
        <f>IF(项目基本情况!E9="抵押净值",IF(OR(项目基本情况!E8="已注销",项目基本情况!E8="房地产抵押价值"),"4.抵押净值","5.抵押净值"),"——")</f>
        <v>——</v>
      </c>
      <c r="F111" s="3588"/>
      <c r="G111" s="1827" t="s">
        <v>1432</v>
      </c>
      <c r="H111" s="2595" t="str">
        <f>IF(E111="——","——",N59)</f>
        <v>——</v>
      </c>
      <c r="I111" s="129"/>
    </row>
    <row r="112" spans="1:35" ht="18.75" customHeight="1" thickBot="1">
      <c r="A112" s="129"/>
      <c r="B112" s="129"/>
      <c r="C112" s="129"/>
      <c r="D112" s="129"/>
      <c r="E112" s="3603"/>
      <c r="F112" s="3604"/>
      <c r="G112" s="1830" t="s">
        <v>1434</v>
      </c>
      <c r="H112" s="2599" t="str">
        <f>IF(E111="——","——",N61)</f>
        <v>——</v>
      </c>
      <c r="I112" s="129"/>
    </row>
    <row r="113" spans="1:27" ht="18.75" customHeight="1">
      <c r="A113" s="129"/>
      <c r="B113" s="129"/>
      <c r="C113" s="129"/>
      <c r="D113" s="129"/>
      <c r="E113" s="3611" t="s">
        <v>1440</v>
      </c>
      <c r="F113" s="3611"/>
      <c r="G113" s="3611"/>
      <c r="H113" s="3611"/>
      <c r="I113" s="129"/>
    </row>
    <row r="114" spans="1:27" ht="3.75" customHeight="1">
      <c r="A114" s="1747"/>
      <c r="B114" s="1747"/>
      <c r="C114" s="1747"/>
      <c r="D114" s="1747"/>
      <c r="E114" s="1809"/>
      <c r="F114" s="1809"/>
      <c r="G114" s="1809"/>
      <c r="H114" s="1809"/>
      <c r="I114" s="1747"/>
    </row>
    <row r="115" spans="1:27" ht="18.75" customHeight="1">
      <c r="A115" s="3619" t="s">
        <v>1442</v>
      </c>
      <c r="B115" s="3620"/>
      <c r="C115" s="3620"/>
      <c r="D115" s="3620"/>
      <c r="E115" s="3620"/>
      <c r="F115" s="3620"/>
      <c r="G115" s="3620"/>
      <c r="H115" s="3620"/>
      <c r="I115" s="3621"/>
    </row>
    <row r="116" spans="1:27" ht="27" customHeight="1">
      <c r="A116" s="3576" t="s">
        <v>1443</v>
      </c>
      <c r="B116" s="3580" t="s">
        <v>1444</v>
      </c>
      <c r="C116" s="3580" t="s">
        <v>1445</v>
      </c>
      <c r="D116" s="3586" t="s">
        <v>1446</v>
      </c>
      <c r="E116" s="3587"/>
      <c r="F116" s="3618" t="s">
        <v>1447</v>
      </c>
      <c r="G116" s="3618"/>
      <c r="H116" s="3576" t="s">
        <v>1448</v>
      </c>
      <c r="I116" s="3576"/>
    </row>
    <row r="117" spans="1:27" ht="18.75" customHeight="1">
      <c r="A117" s="3576"/>
      <c r="B117" s="3581"/>
      <c r="C117" s="358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57.2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6" t="s">
        <v>1452</v>
      </c>
      <c r="B119" s="3576"/>
      <c r="C119" s="3576"/>
      <c r="D119" s="3582" t="e">
        <f ca="1">NUMBERSTRING(INT(D118*10000),2)&amp;"元整"</f>
        <v>#REF!</v>
      </c>
      <c r="E119" s="3583"/>
      <c r="F119" s="3582" t="e">
        <f ca="1">NUMBERSTRING(INT(F118*10000),2)&amp;"元整"</f>
        <v>#REF!</v>
      </c>
      <c r="G119" s="3583"/>
      <c r="H119" s="3582" t="e">
        <f ca="1">NUMBERSTRING(INT(H118*10000),2)&amp;"元整"</f>
        <v>#REF!</v>
      </c>
      <c r="I119" s="3583"/>
    </row>
    <row r="120" spans="1:27" ht="18.75" customHeight="1">
      <c r="A120" s="3577" t="str">
        <f>IF(项目基本情况!B9="房地产市场价值","",MID(E103,3,LEN(E103)-2))</f>
        <v/>
      </c>
      <c r="B120" s="3578"/>
      <c r="C120" s="3579"/>
      <c r="D120" s="3577">
        <f>H103</f>
        <v>0</v>
      </c>
      <c r="E120" s="3578"/>
      <c r="F120" s="3578"/>
      <c r="G120" s="3578"/>
      <c r="H120" s="3578"/>
      <c r="I120" s="357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2" t="s">
        <v>1452</v>
      </c>
      <c r="B121" s="3584"/>
      <c r="C121" s="3583"/>
      <c r="D121" s="3582" t="str">
        <f>IF(D120=0,"零元整",NUMBERSTRING(INT(D120*10000),2)&amp;"元整")</f>
        <v>零元整</v>
      </c>
      <c r="E121" s="3584"/>
      <c r="F121" s="3584"/>
      <c r="G121" s="3584"/>
      <c r="H121" s="3584"/>
      <c r="I121" s="3583"/>
      <c r="AA121" s="725"/>
    </row>
    <row r="122" spans="1:27" ht="18.75" customHeight="1">
      <c r="A122" s="3588" t="str">
        <f>IF(项目基本情况!B9="房地产市场价值","",MID(E107,3,LEN(E107)-2))</f>
        <v/>
      </c>
      <c r="B122" s="3588"/>
      <c r="C122" s="3588"/>
      <c r="D122" s="3577" t="e">
        <f ca="1">H107</f>
        <v>#REF!</v>
      </c>
      <c r="E122" s="3578"/>
      <c r="F122" s="3578"/>
      <c r="G122" s="3578"/>
      <c r="H122" s="3578"/>
      <c r="I122" s="3579"/>
      <c r="AA122" s="725"/>
    </row>
    <row r="123" spans="1:27" ht="18.75" customHeight="1">
      <c r="A123" s="3576" t="s">
        <v>1452</v>
      </c>
      <c r="B123" s="3576"/>
      <c r="C123" s="3576"/>
      <c r="D123" s="3582" t="e">
        <f ca="1">NUMBERSTRING(INT(D122*10000),2)&amp;"元整"</f>
        <v>#REF!</v>
      </c>
      <c r="E123" s="3584"/>
      <c r="F123" s="3584"/>
      <c r="G123" s="3584"/>
      <c r="H123" s="3584"/>
      <c r="I123" s="3583"/>
      <c r="AA123" s="725"/>
    </row>
    <row r="124" spans="1:27" ht="18.75" customHeight="1">
      <c r="A124" s="3588" t="str">
        <f>IF(项目基本情况!B9="房地产市场价值","",MID(E109,3,LEN(E109)-2))</f>
        <v/>
      </c>
      <c r="B124" s="3588"/>
      <c r="C124" s="3588"/>
      <c r="D124" s="3577" t="str">
        <f>H109</f>
        <v>——</v>
      </c>
      <c r="E124" s="3578"/>
      <c r="F124" s="3578"/>
      <c r="G124" s="3578"/>
      <c r="H124" s="3578"/>
      <c r="I124" s="3579"/>
      <c r="AA124" s="725"/>
    </row>
    <row r="125" spans="1:27" ht="18.75" customHeight="1">
      <c r="A125" s="3576" t="s">
        <v>1452</v>
      </c>
      <c r="B125" s="3576"/>
      <c r="C125" s="3576"/>
      <c r="D125" s="3582" t="e">
        <f>NUMBERSTRING(INT(D124*10000),2)&amp;"元整"</f>
        <v>#VALUE!</v>
      </c>
      <c r="E125" s="3584"/>
      <c r="F125" s="3584"/>
      <c r="G125" s="3584"/>
      <c r="H125" s="3584"/>
      <c r="I125" s="3583"/>
      <c r="AA125" s="725"/>
    </row>
    <row r="126" spans="1:27" ht="18.75" customHeight="1">
      <c r="A126" s="3588" t="str">
        <f>IF(项目基本情况!B9="房地产市场价值","",MID(E111,3,LEN(E111)-2))</f>
        <v/>
      </c>
      <c r="B126" s="3588"/>
      <c r="C126" s="3588"/>
      <c r="D126" s="3577" t="str">
        <f>H111</f>
        <v>——</v>
      </c>
      <c r="E126" s="3578"/>
      <c r="F126" s="3578"/>
      <c r="G126" s="3578"/>
      <c r="H126" s="3578"/>
      <c r="I126" s="3579"/>
      <c r="AA126" s="725"/>
    </row>
    <row r="127" spans="1:27" ht="18.75" customHeight="1">
      <c r="A127" s="3576" t="s">
        <v>1452</v>
      </c>
      <c r="B127" s="3576"/>
      <c r="C127" s="3576"/>
      <c r="D127" s="3582" t="e">
        <f>NUMBERSTRING(INT(D126*10000),2)&amp;"元整"</f>
        <v>#VALUE!</v>
      </c>
      <c r="E127" s="3584"/>
      <c r="F127" s="3584"/>
      <c r="G127" s="3584"/>
      <c r="H127" s="3584"/>
      <c r="I127" s="3583"/>
      <c r="AA127" s="725"/>
    </row>
    <row r="128" spans="1:27" ht="21.75" customHeight="1">
      <c r="A128" s="3585" t="s">
        <v>1453</v>
      </c>
      <c r="B128" s="3585"/>
      <c r="C128" s="3585"/>
      <c r="D128" s="3585"/>
      <c r="E128" s="3585"/>
      <c r="F128" s="3585"/>
      <c r="G128" s="3585"/>
      <c r="H128" s="3585"/>
      <c r="I128" s="358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1748</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57.2</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57.2</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5.2499999999999998E-2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0</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0.03</v>
      </c>
      <c r="G36" s="260" t="s">
        <v>1530</v>
      </c>
    </row>
    <row r="37" spans="1:7" s="258" customFormat="1" ht="13.5" customHeight="1">
      <c r="A37" s="780" t="s">
        <v>353</v>
      </c>
      <c r="B37" s="215" t="s">
        <v>1531</v>
      </c>
      <c r="C37" s="249">
        <f ca="1">ROUND(E37*D37*F34/10000,0)</f>
        <v>1</v>
      </c>
      <c r="D37" s="217">
        <f ca="1">D19</f>
        <v>57.2</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0</v>
      </c>
      <c r="D41" s="235">
        <f ca="1">C44</f>
        <v>4.0000000000000002E-4</v>
      </c>
      <c r="E41" s="236" t="s">
        <v>1539</v>
      </c>
      <c r="F41" s="237">
        <f ca="1">F22</f>
        <v>5.2499999999999998E-2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0</v>
      </c>
      <c r="D42" s="238"/>
      <c r="E42" s="238"/>
      <c r="F42" s="239"/>
      <c r="G42" s="3655" t="s">
        <v>1544</v>
      </c>
    </row>
    <row r="43" spans="1:7" ht="13.5" customHeight="1">
      <c r="A43" s="780" t="s">
        <v>347</v>
      </c>
      <c r="B43" s="215" t="s">
        <v>1545</v>
      </c>
      <c r="C43" s="238">
        <f ca="1">ROUND(IF('数据-取费表'!B22&lt;=1,C39*F22*'数据-取费表'!B21/2,C39*(POWER((1+F22),'数据-取费表'!B21/2)-1)),0)</f>
        <v>0</v>
      </c>
      <c r="D43" s="238"/>
      <c r="E43" s="238"/>
      <c r="F43" s="239"/>
      <c r="G43" s="3656"/>
    </row>
    <row r="44" spans="1:7" ht="13.5" customHeight="1">
      <c r="A44" s="780" t="s">
        <v>348</v>
      </c>
      <c r="B44" s="215" t="s">
        <v>1546</v>
      </c>
      <c r="C44" s="238">
        <f ca="1">ROUND(IF('数据-取费表'!B22&lt;=1,C40*F22*'数据-取费表'!B21/2,C40*(POWER((1+F22),'数据-取费表'!B21/2)-1)),4)</f>
        <v>4.0000000000000002E-4</v>
      </c>
      <c r="D44" s="238"/>
      <c r="E44" s="238"/>
      <c r="F44" s="239"/>
      <c r="G44" s="3657"/>
    </row>
    <row r="45" spans="1:7" s="214" customFormat="1" ht="13.5" customHeight="1">
      <c r="A45" s="255" t="s">
        <v>1547</v>
      </c>
      <c r="B45" s="244" t="s">
        <v>1513</v>
      </c>
      <c r="C45" s="245">
        <f ca="1">C46</f>
        <v>1</v>
      </c>
      <c r="D45" s="235">
        <f ca="1">C47</f>
        <v>8.0000000000000004E-4</v>
      </c>
      <c r="E45" s="236" t="s">
        <v>1539</v>
      </c>
      <c r="F45" s="246">
        <f ca="1">F27</f>
        <v>0.08</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14</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9</v>
      </c>
      <c r="D51" s="232"/>
      <c r="E51" s="232"/>
      <c r="F51" s="264"/>
      <c r="G51" s="234" t="s">
        <v>1560</v>
      </c>
    </row>
    <row r="52" spans="1:7" s="208" customFormat="1" ht="16.8" thickBot="1">
      <c r="A52" s="265" t="s">
        <v>1561</v>
      </c>
      <c r="B52" s="266"/>
      <c r="C52" s="267">
        <f ca="1">C31+C51</f>
        <v>10</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2" t="str">
        <f>项目基本情况!B1</f>
        <v>北京市房地产市场价值预评估</v>
      </c>
      <c r="C37" s="3472"/>
      <c r="D37" s="3472"/>
      <c r="E37" s="3472"/>
      <c r="F37" s="3472"/>
      <c r="G37" s="3472"/>
      <c r="H37" s="3472"/>
      <c r="I37" s="347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29" sqref="G2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148.21180000000001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25911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1096326</v>
      </c>
      <c r="D5" s="211" t="s">
        <v>1469</v>
      </c>
      <c r="E5" s="212" t="s">
        <v>1470</v>
      </c>
      <c r="F5" s="212" t="s">
        <v>1471</v>
      </c>
      <c r="G5" s="213"/>
    </row>
    <row r="6" spans="1:8" s="214" customFormat="1" ht="13.5" customHeight="1">
      <c r="A6" s="778" t="s">
        <v>1472</v>
      </c>
      <c r="B6" s="215" t="s">
        <v>1473</v>
      </c>
      <c r="C6" s="216">
        <f ca="1">'[2]2014基准地价'!$E$29</f>
        <v>1054997</v>
      </c>
      <c r="D6" s="217"/>
      <c r="E6" s="218"/>
      <c r="F6" s="218"/>
      <c r="G6" s="219"/>
    </row>
    <row r="7" spans="1:8" s="214" customFormat="1" ht="13.5" customHeight="1">
      <c r="A7" s="778" t="s">
        <v>1474</v>
      </c>
      <c r="B7" s="215" t="s">
        <v>1475</v>
      </c>
      <c r="C7" s="220">
        <f ca="1">ROUND(C6*F7,0)</f>
        <v>32177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9152</v>
      </c>
      <c r="D8" s="222"/>
      <c r="E8" s="220"/>
      <c r="F8" s="221"/>
      <c r="G8" s="1856" t="s">
        <v>3430</v>
      </c>
    </row>
    <row r="9" spans="1:8" s="214" customFormat="1" ht="13.5" customHeight="1">
      <c r="A9" s="779" t="s">
        <v>355</v>
      </c>
      <c r="B9" s="224" t="s">
        <v>1478</v>
      </c>
      <c r="C9" s="225">
        <f ca="1">ROUND(D9*E9,0)</f>
        <v>9152</v>
      </c>
      <c r="D9" s="845">
        <f ca="1">IF(B1="",'数据-汇总表'!E5,IF(INDIRECT("'数据-取费表'!c"&amp;$G$1)="住宅",INDIRECT("'数据-取费表'!k"&amp;$G$1),0))</f>
        <v>57.2</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57.2</v>
      </c>
      <c r="E19" s="211">
        <f>'数据-取费表'!B31</f>
        <v>200</v>
      </c>
      <c r="F19" s="231"/>
      <c r="G19" s="1856" t="s">
        <v>3431</v>
      </c>
    </row>
    <row r="20" spans="1:7" s="214" customFormat="1" ht="13.5" customHeight="1">
      <c r="A20" s="255" t="s">
        <v>1574</v>
      </c>
      <c r="B20" s="210" t="s">
        <v>1575</v>
      </c>
      <c r="C20" s="232">
        <f ca="1">ROUND((C5+C19)*F20,0)</f>
        <v>10963</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87888</v>
      </c>
      <c r="D22" s="235">
        <f ca="1">C26</f>
        <v>4.0000000000000002E-4</v>
      </c>
      <c r="E22" s="236" t="s">
        <v>1579</v>
      </c>
      <c r="F22" s="237">
        <f ca="1">'数据-取费表'!B40</f>
        <v>5.2499999999999998E-2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87459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429</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88583</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ROUND((C5+C19+C20)*F27,0)</f>
        <v>88583</v>
      </c>
      <c r="D28" s="235"/>
      <c r="E28" s="236"/>
      <c r="F28" s="246"/>
      <c r="G28" s="247"/>
    </row>
    <row r="29" spans="1:7" s="214" customFormat="1" ht="13.5" customHeight="1">
      <c r="A29" s="780" t="s">
        <v>347</v>
      </c>
      <c r="B29" s="248" t="s">
        <v>1517</v>
      </c>
      <c r="C29" s="238">
        <f ca="1">ROUND(C21*F27,4)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1376244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134420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114400</v>
      </c>
      <c r="D34" s="217"/>
      <c r="E34" s="220"/>
      <c r="F34" s="257"/>
      <c r="G34" s="219"/>
    </row>
    <row r="35" spans="1:7" ht="13.5" customHeight="1">
      <c r="A35" s="780" t="s">
        <v>351</v>
      </c>
      <c r="B35" s="215" t="s">
        <v>1527</v>
      </c>
      <c r="C35" s="220">
        <f ca="1">ROUND(C34*F35,0)</f>
        <v>3432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3432</v>
      </c>
      <c r="D36" s="220"/>
      <c r="E36" s="220"/>
      <c r="F36" s="259">
        <f>'数据-取费表'!B34</f>
        <v>0.03</v>
      </c>
      <c r="G36" s="260" t="s">
        <v>1530</v>
      </c>
    </row>
    <row r="37" spans="1:7" s="258" customFormat="1" ht="13.5" customHeight="1">
      <c r="A37" s="780" t="s">
        <v>353</v>
      </c>
      <c r="B37" s="215" t="s">
        <v>1531</v>
      </c>
      <c r="C37" s="249">
        <f ca="1">ROUND(E37*D37,0)</f>
        <v>11440</v>
      </c>
      <c r="D37" s="217">
        <f ca="1">D19</f>
        <v>57.2</v>
      </c>
      <c r="E37" s="249">
        <f>'数据-取费表'!B35</f>
        <v>200</v>
      </c>
      <c r="F37" s="259"/>
      <c r="G37" s="261"/>
    </row>
    <row r="38" spans="1:7" ht="13.5" customHeight="1">
      <c r="A38" s="780" t="s">
        <v>354</v>
      </c>
      <c r="B38" s="215" t="s">
        <v>1533</v>
      </c>
      <c r="C38" s="220">
        <f ca="1">ROUND(C34*F38,0)</f>
        <v>1716</v>
      </c>
      <c r="D38" s="220"/>
      <c r="E38" s="220"/>
      <c r="F38" s="259">
        <f>'数据-取费表'!B36</f>
        <v>1.4999999999999999E-2</v>
      </c>
      <c r="G38" s="219" t="s">
        <v>1528</v>
      </c>
    </row>
    <row r="39" spans="1:7" s="214" customFormat="1" ht="13.5" customHeight="1">
      <c r="A39" s="255" t="s">
        <v>1534</v>
      </c>
      <c r="B39" s="210" t="s">
        <v>1535</v>
      </c>
      <c r="C39" s="232">
        <f ca="1">ROUND(C33*F20,0)</f>
        <v>1344</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5312</v>
      </c>
      <c r="D41" s="235">
        <f ca="1">C44</f>
        <v>4.0000000000000002E-4</v>
      </c>
      <c r="E41" s="236" t="s">
        <v>1539</v>
      </c>
      <c r="F41" s="237">
        <f ca="1">F22</f>
        <v>5.2499999999999998E-2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5259</v>
      </c>
      <c r="D42" s="238"/>
      <c r="E42" s="238"/>
      <c r="F42" s="239"/>
      <c r="G42" s="3655" t="s">
        <v>1591</v>
      </c>
    </row>
    <row r="43" spans="1:7" ht="13.5" customHeight="1">
      <c r="A43" s="780" t="s">
        <v>347</v>
      </c>
      <c r="B43" s="215" t="s">
        <v>1545</v>
      </c>
      <c r="C43" s="238">
        <f ca="1">ROUND(IF('数据-取费表'!B22&lt;=1,C39*F22*'数据-取费表'!B20/2,C39*(POWER((1+F22),'数据-取费表'!B20/2)-1)),0)</f>
        <v>53</v>
      </c>
      <c r="D43" s="238"/>
      <c r="E43" s="238"/>
      <c r="F43" s="239"/>
      <c r="G43" s="3656"/>
    </row>
    <row r="44" spans="1:7" ht="13.5" customHeight="1">
      <c r="A44" s="780" t="s">
        <v>348</v>
      </c>
      <c r="B44" s="215" t="s">
        <v>1546</v>
      </c>
      <c r="C44" s="238">
        <f ca="1">ROUND(IF('数据-取费表'!B22&lt;=1,C40*F22*'数据-取费表'!B20/2,C40*(POWER((1+F22),'数据-取费表'!B20/2)-1)),4)</f>
        <v>4.0000000000000002E-4</v>
      </c>
      <c r="D44" s="238"/>
      <c r="E44" s="238"/>
      <c r="F44" s="239"/>
      <c r="G44" s="3657"/>
    </row>
    <row r="45" spans="1:7" s="214" customFormat="1" ht="13.5" customHeight="1">
      <c r="A45" s="255" t="s">
        <v>1547</v>
      </c>
      <c r="B45" s="244" t="s">
        <v>1513</v>
      </c>
      <c r="C45" s="245">
        <f ca="1">C46</f>
        <v>10861</v>
      </c>
      <c r="D45" s="235">
        <f ca="1">C47</f>
        <v>8.0000000000000004E-4</v>
      </c>
      <c r="E45" s="236" t="s">
        <v>1539</v>
      </c>
      <c r="F45" s="246">
        <f ca="1">F27</f>
        <v>0.08</v>
      </c>
      <c r="G45" s="247" t="s">
        <v>1548</v>
      </c>
    </row>
    <row r="46" spans="1:7" s="214" customFormat="1" ht="13.5" customHeight="1">
      <c r="A46" s="780" t="s">
        <v>346</v>
      </c>
      <c r="B46" s="248" t="s">
        <v>1549</v>
      </c>
      <c r="C46" s="249">
        <f ca="1">ROUND((C33+C39)*F27,0)</f>
        <v>10861</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162883</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105874</v>
      </c>
      <c r="D51" s="232"/>
      <c r="E51" s="232"/>
      <c r="F51" s="264"/>
      <c r="G51" s="234" t="s">
        <v>1560</v>
      </c>
    </row>
    <row r="52" spans="1:7" s="208" customFormat="1" ht="16.8" thickBot="1">
      <c r="A52" s="265" t="s">
        <v>1561</v>
      </c>
      <c r="B52" s="266"/>
      <c r="C52" s="267">
        <f ca="1">C31+C51</f>
        <v>1482118</v>
      </c>
      <c r="D52" s="266"/>
      <c r="E52" s="266"/>
      <c r="F52" s="266"/>
      <c r="G52" s="268"/>
    </row>
    <row r="55" spans="1:7" ht="15">
      <c r="B55" s="270" t="s">
        <v>1562</v>
      </c>
      <c r="C55" s="271"/>
    </row>
    <row r="56" spans="1:7">
      <c r="B56" s="273" t="s">
        <v>802</v>
      </c>
      <c r="C56" s="275">
        <f ca="1">1-C57</f>
        <v>0.92900000000000005</v>
      </c>
    </row>
    <row r="57" spans="1:7">
      <c r="B57" s="273" t="s">
        <v>803</v>
      </c>
      <c r="C57" s="274">
        <f ca="1">ROUND(C51/C52,3)</f>
        <v>7.0999999999999994E-2</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-175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57.2</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0.03</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57.2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57.2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57.2</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5.2499999999999998E-2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0" t="s">
        <v>694</v>
      </c>
      <c r="C6" s="1074">
        <f ca="1">ROUND(F6*F8*F7*(1-F9)/10000,0)</f>
        <v>0</v>
      </c>
      <c r="D6" s="155" t="s">
        <v>2108</v>
      </c>
      <c r="E6" s="302" t="s">
        <v>696</v>
      </c>
      <c r="F6" s="303">
        <f ca="1">INDIRECT("'数据-取费表'!u"&amp;$G$1)</f>
        <v>0</v>
      </c>
      <c r="G6" s="1384"/>
      <c r="H6" s="1069" t="s">
        <v>398</v>
      </c>
      <c r="I6" s="3660" t="s">
        <v>694</v>
      </c>
      <c r="J6" s="301">
        <f ca="1">ROUND(M6*M8*M7*(1-M9)/10000,0)</f>
        <v>0</v>
      </c>
      <c r="K6" s="155" t="s">
        <v>2107</v>
      </c>
      <c r="L6" s="302" t="s">
        <v>696</v>
      </c>
      <c r="M6" s="303">
        <f ca="1">INDIRECT("'数据-取费表'!z"&amp;$G$1)</f>
        <v>0</v>
      </c>
    </row>
    <row r="7" spans="1:37" ht="18" customHeight="1">
      <c r="A7" s="1073"/>
      <c r="B7" s="3661"/>
      <c r="C7" s="1075"/>
      <c r="D7" s="307"/>
      <c r="E7" s="1076" t="s">
        <v>697</v>
      </c>
      <c r="F7" s="303">
        <f ca="1">IF(INDIRECT("'数据-取费表'!ah"&amp;$G$1)="",INDIRECT("'数据-取费表'!k"&amp;$G$1),INDIRECT("'数据-取费表'!ah"&amp;$G$1))</f>
        <v>0</v>
      </c>
      <c r="G7" s="1384"/>
      <c r="H7" s="304"/>
      <c r="I7" s="3661"/>
      <c r="J7" s="306"/>
      <c r="K7" s="307"/>
      <c r="L7" s="302" t="s">
        <v>697</v>
      </c>
      <c r="M7" s="303">
        <f ca="1">F7</f>
        <v>0</v>
      </c>
    </row>
    <row r="8" spans="1:37" ht="18" customHeight="1">
      <c r="A8" s="304"/>
      <c r="B8" s="3661"/>
      <c r="C8" s="306"/>
      <c r="D8" s="307"/>
      <c r="E8" s="302" t="s">
        <v>698</v>
      </c>
      <c r="F8" s="303">
        <f ca="1">INDIRECT("'数据-取费表'!ai"&amp;$G$1)</f>
        <v>0</v>
      </c>
      <c r="G8" s="1384"/>
      <c r="H8" s="304"/>
      <c r="I8" s="3661"/>
      <c r="J8" s="306"/>
      <c r="K8" s="307"/>
      <c r="L8" s="302" t="s">
        <v>698</v>
      </c>
      <c r="M8" s="303">
        <f ca="1">INDIRECT("'数据-取费表'!ai"&amp;$G$1)</f>
        <v>0</v>
      </c>
    </row>
    <row r="9" spans="1:37" ht="18" customHeight="1">
      <c r="A9" s="304"/>
      <c r="B9" s="3662"/>
      <c r="C9" s="306"/>
      <c r="D9" s="307"/>
      <c r="E9" s="302" t="s">
        <v>699</v>
      </c>
      <c r="F9" s="312">
        <f ca="1">INDIRECT("'数据-取费表'!w"&amp;$G$1)</f>
        <v>0</v>
      </c>
      <c r="G9" s="1384"/>
      <c r="H9" s="304"/>
      <c r="I9" s="366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0.02</v>
      </c>
      <c r="G11" s="1384"/>
      <c r="H11" s="1077"/>
      <c r="I11" s="1367" t="s">
        <v>679</v>
      </c>
      <c r="J11" s="959"/>
      <c r="K11" s="684"/>
      <c r="L11" s="313" t="s">
        <v>702</v>
      </c>
      <c r="M11" s="862">
        <f ca="1">'数据-取费表'!B39</f>
        <v>0.02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5.2499999999999998E-2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58" t="s">
        <v>837</v>
      </c>
      <c r="L53" s="365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0" t="s">
        <v>694</v>
      </c>
      <c r="C6" s="1074">
        <f ca="1">ROUND(F6*F8*F7*(1-F9),0)</f>
        <v>0</v>
      </c>
      <c r="D6" s="155" t="s">
        <v>2105</v>
      </c>
      <c r="E6" s="302" t="s">
        <v>696</v>
      </c>
      <c r="F6" s="303">
        <f ca="1">INDIRECT("'数据-取费表'!u"&amp;$G$1)</f>
        <v>0</v>
      </c>
      <c r="G6" s="1384"/>
      <c r="H6" s="1069" t="s">
        <v>398</v>
      </c>
      <c r="I6" s="3660" t="s">
        <v>694</v>
      </c>
      <c r="J6" s="301">
        <f ca="1">ROUND(M6*M8*M7*(1-M9),0)</f>
        <v>0</v>
      </c>
      <c r="K6" s="1376" t="s">
        <v>2106</v>
      </c>
      <c r="L6" s="302" t="s">
        <v>696</v>
      </c>
      <c r="M6" s="303">
        <f ca="1">INDIRECT("'数据-取费表'!z"&amp;$G$1)</f>
        <v>0</v>
      </c>
    </row>
    <row r="7" spans="1:37" ht="18" customHeight="1">
      <c r="A7" s="1073"/>
      <c r="B7" s="3661"/>
      <c r="C7" s="1075"/>
      <c r="D7" s="307"/>
      <c r="E7" s="1076" t="s">
        <v>697</v>
      </c>
      <c r="F7" s="303">
        <f ca="1">IF(INDIRECT("'数据-取费表'!ah"&amp;$G$1)="",INDIRECT("'数据-取费表'!k"&amp;$G$1),INDIRECT("'数据-取费表'!ah"&amp;$G$1))</f>
        <v>0</v>
      </c>
      <c r="G7" s="1384"/>
      <c r="H7" s="304"/>
      <c r="I7" s="3661"/>
      <c r="J7" s="306"/>
      <c r="K7" s="307"/>
      <c r="L7" s="302" t="s">
        <v>697</v>
      </c>
      <c r="M7" s="303">
        <f ca="1">F7</f>
        <v>0</v>
      </c>
    </row>
    <row r="8" spans="1:37" ht="18" customHeight="1">
      <c r="A8" s="304"/>
      <c r="B8" s="3661"/>
      <c r="C8" s="306"/>
      <c r="D8" s="307"/>
      <c r="E8" s="302" t="s">
        <v>698</v>
      </c>
      <c r="F8" s="303">
        <f ca="1">INDIRECT("'数据-取费表'!ai"&amp;$G$1)</f>
        <v>0</v>
      </c>
      <c r="G8" s="1384"/>
      <c r="H8" s="304"/>
      <c r="I8" s="3661"/>
      <c r="J8" s="306"/>
      <c r="K8" s="307"/>
      <c r="L8" s="302" t="s">
        <v>698</v>
      </c>
      <c r="M8" s="303">
        <f ca="1">INDIRECT("'数据-取费表'!ai"&amp;$G$1)</f>
        <v>0</v>
      </c>
    </row>
    <row r="9" spans="1:37" ht="18" customHeight="1">
      <c r="A9" s="304"/>
      <c r="B9" s="3662"/>
      <c r="C9" s="306"/>
      <c r="D9" s="307"/>
      <c r="E9" s="302" t="s">
        <v>699</v>
      </c>
      <c r="F9" s="312">
        <f ca="1">INDIRECT("'数据-取费表'!w"&amp;$G$1)</f>
        <v>0</v>
      </c>
      <c r="G9" s="1384"/>
      <c r="H9" s="304"/>
      <c r="I9" s="366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0.02</v>
      </c>
      <c r="G11" s="1384"/>
      <c r="H11" s="1077"/>
      <c r="I11" s="1367" t="s">
        <v>891</v>
      </c>
      <c r="J11" s="959"/>
      <c r="K11" s="684"/>
      <c r="L11" s="313" t="s">
        <v>702</v>
      </c>
      <c r="M11" s="862">
        <f ca="1">'数据-取费表'!B39</f>
        <v>0.02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5.2499999999999998E-2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58" t="s">
        <v>837</v>
      </c>
      <c r="L53" s="3659"/>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63" t="s">
        <v>2317</v>
      </c>
      <c r="K2" s="3664"/>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65" t="s">
        <v>2327</v>
      </c>
      <c r="K3" s="3666"/>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65" t="s">
        <v>2329</v>
      </c>
      <c r="K4" s="3666"/>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67" t="s">
        <v>2333</v>
      </c>
      <c r="B6" s="3668"/>
      <c r="C6" s="3669"/>
      <c r="D6" s="2870"/>
      <c r="E6" s="2871"/>
      <c r="F6" s="2872"/>
      <c r="G6" s="2873"/>
      <c r="H6" s="2848"/>
      <c r="I6" s="2849"/>
      <c r="J6" s="3670">
        <v>1</v>
      </c>
      <c r="K6" s="3671"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70"/>
      <c r="K7" s="3672"/>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74" t="s">
        <v>2347</v>
      </c>
      <c r="C8" s="3675"/>
      <c r="D8" s="2889" t="s">
        <v>2348</v>
      </c>
      <c r="E8" s="2890" t="s">
        <v>2349</v>
      </c>
      <c r="F8" s="2891" t="s">
        <v>2350</v>
      </c>
      <c r="G8" s="2892"/>
      <c r="H8" s="2848"/>
      <c r="I8" s="2849"/>
      <c r="J8" s="3670"/>
      <c r="K8" s="3672"/>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74" t="s">
        <v>2353</v>
      </c>
      <c r="C9" s="3675"/>
      <c r="D9" s="2889">
        <f>ROUND(D6*E9,0)</f>
        <v>0</v>
      </c>
      <c r="E9" s="2893"/>
      <c r="F9" s="2894" t="s">
        <v>2354</v>
      </c>
      <c r="G9" s="2873"/>
      <c r="H9" s="2848"/>
      <c r="I9" s="2849"/>
      <c r="J9" s="3670"/>
      <c r="K9" s="3672"/>
      <c r="L9" s="2883" t="s">
        <v>2355</v>
      </c>
      <c r="M9" s="2884"/>
      <c r="N9" s="2860"/>
      <c r="O9" s="2885"/>
      <c r="P9" s="2885"/>
      <c r="Q9" s="2886">
        <v>365</v>
      </c>
      <c r="R9" s="2887">
        <f t="shared" si="0"/>
        <v>0</v>
      </c>
      <c r="S9" s="2841"/>
      <c r="T9" s="2841"/>
      <c r="U9" s="2841"/>
      <c r="V9" s="2849"/>
    </row>
    <row r="10" spans="1:22" s="2853" customFormat="1" ht="13.2" customHeight="1">
      <c r="A10" s="2888">
        <v>2</v>
      </c>
      <c r="B10" s="3674" t="s">
        <v>2356</v>
      </c>
      <c r="C10" s="3675"/>
      <c r="D10" s="2889">
        <f>ROUND(D6*E10,0)</f>
        <v>0</v>
      </c>
      <c r="E10" s="2893"/>
      <c r="F10" s="2894" t="s">
        <v>2357</v>
      </c>
      <c r="G10" s="2873"/>
      <c r="H10" s="2848"/>
      <c r="I10" s="2849"/>
      <c r="J10" s="3670"/>
      <c r="K10" s="3672"/>
      <c r="L10" s="2883" t="s">
        <v>2358</v>
      </c>
      <c r="M10" s="2884"/>
      <c r="N10" s="2860"/>
      <c r="O10" s="2885"/>
      <c r="P10" s="2885"/>
      <c r="Q10" s="2886">
        <v>365</v>
      </c>
      <c r="R10" s="2887">
        <f t="shared" si="0"/>
        <v>0</v>
      </c>
      <c r="S10" s="2841"/>
      <c r="T10" s="2841"/>
      <c r="U10" s="2841"/>
      <c r="V10" s="2849"/>
    </row>
    <row r="11" spans="1:22" s="2853" customFormat="1" ht="13.2" customHeight="1">
      <c r="A11" s="2888">
        <v>3</v>
      </c>
      <c r="B11" s="3674" t="s">
        <v>2359</v>
      </c>
      <c r="C11" s="3675"/>
      <c r="D11" s="2889">
        <f>D12+D14+D15+D16</f>
        <v>0</v>
      </c>
      <c r="E11" s="2895" t="e">
        <f>D11/D6</f>
        <v>#DIV/0!</v>
      </c>
      <c r="F11" s="2891"/>
      <c r="G11" s="2892"/>
      <c r="H11" s="2848"/>
      <c r="I11" s="2849"/>
      <c r="J11" s="3670"/>
      <c r="K11" s="3672"/>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76" t="s">
        <v>2362</v>
      </c>
      <c r="C12" s="3677"/>
      <c r="D12" s="2897">
        <f>ROUND(D13*1.2%*(1-30%),0)</f>
        <v>0</v>
      </c>
      <c r="E12" s="2898">
        <v>1.2E-2</v>
      </c>
      <c r="F12" s="2891" t="s">
        <v>2363</v>
      </c>
      <c r="G12" s="2892"/>
      <c r="H12" s="2848"/>
      <c r="I12" s="2849"/>
      <c r="J12" s="3670"/>
      <c r="K12" s="3672"/>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70"/>
      <c r="K13" s="3672"/>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76" t="s">
        <v>2368</v>
      </c>
      <c r="C14" s="3677"/>
      <c r="D14" s="2897">
        <f>ROUND(E14*B5/10000,0)</f>
        <v>0</v>
      </c>
      <c r="E14" s="2886"/>
      <c r="F14" s="2891" t="s">
        <v>2369</v>
      </c>
      <c r="G14" s="2892"/>
      <c r="H14" s="2848"/>
      <c r="I14" s="2849"/>
      <c r="J14" s="3670"/>
      <c r="K14" s="3673"/>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76" t="s">
        <v>2372</v>
      </c>
      <c r="C15" s="3677"/>
      <c r="D15" s="2897">
        <f>ROUND(D6*E15,0)</f>
        <v>0</v>
      </c>
      <c r="E15" s="2898">
        <v>5.5E-2</v>
      </c>
      <c r="F15" s="2891" t="s">
        <v>2373</v>
      </c>
      <c r="G15" s="2873"/>
      <c r="H15" s="2848"/>
      <c r="I15" s="2849"/>
      <c r="J15" s="3670">
        <v>2</v>
      </c>
      <c r="K15" s="3671"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76" t="s">
        <v>2381</v>
      </c>
      <c r="C16" s="3677"/>
      <c r="D16" s="2908">
        <f>D6*E16</f>
        <v>0</v>
      </c>
      <c r="E16" s="2909"/>
      <c r="F16" s="2894" t="s">
        <v>2382</v>
      </c>
      <c r="G16" s="2873"/>
      <c r="H16" s="2848"/>
      <c r="I16" s="2849"/>
      <c r="J16" s="3670"/>
      <c r="K16" s="3672"/>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78" t="s">
        <v>2384</v>
      </c>
      <c r="C17" s="3679"/>
      <c r="D17" s="2911">
        <f>ROUND(D6*E17,0)</f>
        <v>0</v>
      </c>
      <c r="E17" s="2912"/>
      <c r="F17" s="2913" t="s">
        <v>2385</v>
      </c>
      <c r="G17" s="2873"/>
      <c r="H17" s="2848"/>
      <c r="I17" s="2849"/>
      <c r="J17" s="3670"/>
      <c r="K17" s="3672"/>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70"/>
      <c r="K18" s="3672"/>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70"/>
      <c r="K19" s="3673"/>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0">
        <v>3</v>
      </c>
      <c r="K20" s="3671"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70"/>
      <c r="K21" s="3672"/>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70"/>
      <c r="K22" s="3672"/>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70"/>
      <c r="K23" s="3672"/>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70"/>
      <c r="K24" s="3673"/>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80">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81"/>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63" t="s">
        <v>2317</v>
      </c>
      <c r="K32" s="3664"/>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65" t="s">
        <v>2327</v>
      </c>
      <c r="K33" s="3666"/>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65" t="s">
        <v>2329</v>
      </c>
      <c r="K34" s="3666"/>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70">
        <v>1</v>
      </c>
      <c r="K36" s="3671"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70"/>
      <c r="K37" s="3672"/>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0"/>
      <c r="K38" s="3672"/>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70"/>
      <c r="K39" s="3672"/>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70"/>
      <c r="K40" s="3673"/>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80">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81"/>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82" t="s">
        <v>1654</v>
      </c>
      <c r="C5" s="3683"/>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90" zoomScaleNormal="60" zoomScaleSheetLayoutView="90" workbookViewId="0">
      <selection activeCell="K43" sqref="K43"/>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191.49420000000001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33478</v>
      </c>
      <c r="C3" s="354" t="s">
        <v>1665</v>
      </c>
      <c r="D3" s="353">
        <f>IF(D1="",'数据-汇总表'!E3,SUMIF('数据-汇总表'!$C19:$C33,D1,'数据-汇总表'!$E19:$E33))</f>
        <v>57.2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3" t="s">
        <v>1667</v>
      </c>
      <c r="D4" s="3704"/>
      <c r="E4" s="3705" t="s">
        <v>1668</v>
      </c>
      <c r="F4" s="3706"/>
      <c r="G4" s="3703" t="s">
        <v>1669</v>
      </c>
      <c r="H4" s="3704"/>
      <c r="I4" s="3703" t="s">
        <v>1670</v>
      </c>
      <c r="J4" s="3704"/>
      <c r="K4" s="1889" t="s">
        <v>1671</v>
      </c>
      <c r="L4" s="2715"/>
      <c r="M4" s="2716"/>
      <c r="N4" s="2716"/>
      <c r="O4" s="2716"/>
      <c r="P4" s="3707" t="s">
        <v>1672</v>
      </c>
      <c r="Q4" s="3708"/>
      <c r="R4" s="3689" t="s">
        <v>1668</v>
      </c>
      <c r="S4" s="3690"/>
      <c r="T4" s="3689" t="s">
        <v>1669</v>
      </c>
      <c r="U4" s="3690"/>
      <c r="V4" s="3715" t="s">
        <v>1670</v>
      </c>
      <c r="W4" s="3715"/>
      <c r="X4" s="1355"/>
      <c r="Y4" s="3689" t="s">
        <v>1672</v>
      </c>
      <c r="Z4" s="3690"/>
      <c r="AA4" s="3684" t="s">
        <v>1668</v>
      </c>
      <c r="AB4" s="3684" t="s">
        <v>1669</v>
      </c>
      <c r="AC4" s="3684" t="s">
        <v>1670</v>
      </c>
    </row>
    <row r="5" spans="1:29" ht="39.75" customHeight="1">
      <c r="A5" s="358"/>
      <c r="B5" s="359"/>
      <c r="C5" s="3695" t="s">
        <v>3432</v>
      </c>
      <c r="D5" s="3696"/>
      <c r="E5" s="3693" t="s">
        <v>3547</v>
      </c>
      <c r="F5" s="3694"/>
      <c r="G5" s="3824" t="str">
        <f>E5</f>
        <v>角门东里</v>
      </c>
      <c r="H5" s="3699"/>
      <c r="I5" s="3824" t="str">
        <f>E5</f>
        <v>角门东里</v>
      </c>
      <c r="J5" s="3699"/>
      <c r="K5" s="1890"/>
      <c r="L5" s="2715"/>
      <c r="M5" s="2716"/>
      <c r="N5" s="2716"/>
      <c r="O5" s="2716"/>
      <c r="P5" s="3709"/>
      <c r="Q5" s="3710"/>
      <c r="R5" s="3691"/>
      <c r="S5" s="3692"/>
      <c r="T5" s="3691"/>
      <c r="U5" s="3692"/>
      <c r="V5" s="3715"/>
      <c r="W5" s="3715"/>
      <c r="X5" s="1355"/>
      <c r="Y5" s="3691"/>
      <c r="Z5" s="3692"/>
      <c r="AA5" s="3685"/>
      <c r="AB5" s="3685"/>
      <c r="AC5" s="3685"/>
    </row>
    <row r="6" spans="1:29" ht="15" thickBot="1">
      <c r="A6" s="360"/>
      <c r="B6" s="361"/>
      <c r="C6" s="3697"/>
      <c r="D6" s="3698"/>
      <c r="E6" s="3700"/>
      <c r="F6" s="3701"/>
      <c r="G6" s="3697"/>
      <c r="H6" s="3698"/>
      <c r="I6" s="3697"/>
      <c r="J6" s="3698"/>
      <c r="K6" s="1890" t="s">
        <v>1678</v>
      </c>
      <c r="L6" s="2715"/>
      <c r="M6" s="2716"/>
      <c r="N6" s="2716"/>
      <c r="O6" s="2716"/>
      <c r="P6" s="3711"/>
      <c r="Q6" s="3712"/>
      <c r="R6" s="3691"/>
      <c r="S6" s="3692"/>
      <c r="T6" s="3713"/>
      <c r="U6" s="3714"/>
      <c r="V6" s="3715"/>
      <c r="W6" s="3715"/>
      <c r="X6" s="1355"/>
      <c r="Y6" s="3713"/>
      <c r="Z6" s="3714"/>
      <c r="AA6" s="3686"/>
      <c r="AB6" s="3686"/>
      <c r="AC6" s="3686"/>
    </row>
    <row r="7" spans="1:29" s="108" customFormat="1" ht="15" thickBot="1">
      <c r="A7" s="362" t="s">
        <v>1679</v>
      </c>
      <c r="B7" s="363"/>
      <c r="C7" s="364">
        <f>'数据-取费表'!B2</f>
        <v>42235</v>
      </c>
      <c r="D7" s="365">
        <v>100</v>
      </c>
      <c r="E7" s="366">
        <f>角门东里!A1158</f>
        <v>42234</v>
      </c>
      <c r="F7" s="367">
        <f>SUMIF(58:58,YEAR(E7)&amp;"-"&amp;MONTH(E7),59:59)</f>
        <v>100</v>
      </c>
      <c r="G7" s="366">
        <f>角门东里!A1159</f>
        <v>42232</v>
      </c>
      <c r="H7" s="365">
        <f>SUMIF(58:58,YEAR(G7)&amp;"-"&amp;MONTH(G7),59:59)</f>
        <v>100</v>
      </c>
      <c r="I7" s="366">
        <f>角门东里!A1163</f>
        <v>42224</v>
      </c>
      <c r="J7" s="365">
        <f>SUMIF(58:58,YEAR(I7)&amp;"-"&amp;MONTH(I7),59:59)</f>
        <v>100</v>
      </c>
      <c r="K7" s="1891"/>
      <c r="L7" s="2717"/>
      <c r="M7" s="2718"/>
      <c r="N7" s="2718"/>
      <c r="O7" s="2718"/>
      <c r="P7" s="3687" t="s">
        <v>1680</v>
      </c>
      <c r="Q7" s="3716"/>
      <c r="R7" s="701" t="s">
        <v>20</v>
      </c>
      <c r="S7" s="702">
        <f t="shared" ref="S7:S15" si="0">F7</f>
        <v>100</v>
      </c>
      <c r="T7" s="701" t="s">
        <v>20</v>
      </c>
      <c r="U7" s="702">
        <f t="shared" ref="U7:U15" si="1">H7</f>
        <v>100</v>
      </c>
      <c r="V7" s="701" t="s">
        <v>20</v>
      </c>
      <c r="W7" s="702">
        <f t="shared" ref="W7:W15" si="2">J7</f>
        <v>100</v>
      </c>
      <c r="X7" s="703"/>
      <c r="Y7" s="3687" t="s">
        <v>1680</v>
      </c>
      <c r="Z7" s="3688"/>
      <c r="AA7" s="704">
        <f>D7/F7</f>
        <v>1</v>
      </c>
      <c r="AB7" s="704">
        <f>D7/H7</f>
        <v>1</v>
      </c>
      <c r="AC7" s="704">
        <f>D7/J7</f>
        <v>1</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687" t="s">
        <v>1683</v>
      </c>
      <c r="Q8" s="3688"/>
      <c r="R8" s="701" t="s">
        <v>20</v>
      </c>
      <c r="S8" s="702">
        <f t="shared" si="0"/>
        <v>100</v>
      </c>
      <c r="T8" s="701" t="s">
        <v>20</v>
      </c>
      <c r="U8" s="702">
        <f t="shared" si="1"/>
        <v>100</v>
      </c>
      <c r="V8" s="701" t="s">
        <v>20</v>
      </c>
      <c r="W8" s="702">
        <f t="shared" si="2"/>
        <v>100</v>
      </c>
      <c r="X8" s="703"/>
      <c r="Y8" s="3687" t="s">
        <v>1683</v>
      </c>
      <c r="Z8" s="3688"/>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02"/>
      <c r="Q11" s="1343" t="str">
        <f t="shared" si="6"/>
        <v>容积率</v>
      </c>
      <c r="R11" s="701" t="s">
        <v>18</v>
      </c>
      <c r="S11" s="702">
        <f t="shared" si="0"/>
        <v>100</v>
      </c>
      <c r="T11" s="701" t="s">
        <v>18</v>
      </c>
      <c r="U11" s="702">
        <f t="shared" si="1"/>
        <v>100</v>
      </c>
      <c r="V11" s="701" t="s">
        <v>18</v>
      </c>
      <c r="W11" s="702">
        <f t="shared" si="2"/>
        <v>100</v>
      </c>
      <c r="X11" s="703"/>
      <c r="Y11" s="3631"/>
      <c r="Z11" s="52" t="str">
        <f t="shared" si="7"/>
        <v>容积率</v>
      </c>
      <c r="AA11" s="704">
        <f t="shared" si="3"/>
        <v>1</v>
      </c>
      <c r="AB11" s="704">
        <f t="shared" si="4"/>
        <v>1</v>
      </c>
      <c r="AC11" s="704">
        <f t="shared" si="5"/>
        <v>1</v>
      </c>
    </row>
    <row r="12" spans="1:29" s="108" customFormat="1" ht="15">
      <c r="A12" s="382"/>
      <c r="B12" s="1893">
        <v>111</v>
      </c>
      <c r="C12" s="3469" t="s">
        <v>3420</v>
      </c>
      <c r="D12" s="384">
        <v>100</v>
      </c>
      <c r="E12" s="3469" t="s">
        <v>3420</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02"/>
      <c r="Q12" s="1343">
        <f t="shared" si="6"/>
        <v>111</v>
      </c>
      <c r="R12" s="701" t="s">
        <v>18</v>
      </c>
      <c r="S12" s="702">
        <f t="shared" si="0"/>
        <v>100</v>
      </c>
      <c r="T12" s="701" t="s">
        <v>18</v>
      </c>
      <c r="U12" s="702">
        <f t="shared" si="1"/>
        <v>100</v>
      </c>
      <c r="V12" s="701" t="s">
        <v>18</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2"/>
      <c r="Q13" s="1343">
        <f t="shared" si="6"/>
        <v>111</v>
      </c>
      <c r="R13" s="701" t="s">
        <v>18</v>
      </c>
      <c r="S13" s="702">
        <f t="shared" si="0"/>
        <v>100</v>
      </c>
      <c r="T13" s="701" t="s">
        <v>18</v>
      </c>
      <c r="U13" s="702">
        <f t="shared" si="1"/>
        <v>100</v>
      </c>
      <c r="V13" s="701" t="s">
        <v>18</v>
      </c>
      <c r="W13" s="702">
        <f t="shared" si="2"/>
        <v>100</v>
      </c>
      <c r="X13" s="703"/>
      <c r="Y13" s="3631"/>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2"/>
      <c r="Q14" s="1343">
        <f t="shared" si="6"/>
        <v>111</v>
      </c>
      <c r="R14" s="701" t="s">
        <v>18</v>
      </c>
      <c r="S14" s="702">
        <f t="shared" si="0"/>
        <v>100</v>
      </c>
      <c r="T14" s="701" t="s">
        <v>18</v>
      </c>
      <c r="U14" s="702">
        <f t="shared" si="1"/>
        <v>100</v>
      </c>
      <c r="V14" s="701" t="s">
        <v>18</v>
      </c>
      <c r="W14" s="702">
        <f t="shared" si="2"/>
        <v>100</v>
      </c>
      <c r="X14" s="703"/>
      <c r="Y14" s="3631"/>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9" t="s">
        <v>1691</v>
      </c>
      <c r="Q15" s="1352" t="str">
        <f t="shared" si="6"/>
        <v>居住社区成熟度</v>
      </c>
      <c r="R15" s="705" t="s">
        <v>18</v>
      </c>
      <c r="S15" s="706">
        <f t="shared" si="0"/>
        <v>100</v>
      </c>
      <c r="T15" s="705" t="s">
        <v>18</v>
      </c>
      <c r="U15" s="706">
        <f t="shared" si="1"/>
        <v>100</v>
      </c>
      <c r="V15" s="705" t="s">
        <v>18</v>
      </c>
      <c r="W15" s="706">
        <f t="shared" si="2"/>
        <v>100</v>
      </c>
      <c r="X15" s="1355"/>
      <c r="Y15" s="372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0"/>
      <c r="Q16" s="1352"/>
      <c r="R16" s="705"/>
      <c r="S16" s="706"/>
      <c r="T16" s="705"/>
      <c r="U16" s="706"/>
      <c r="V16" s="705"/>
      <c r="W16" s="706"/>
      <c r="X16" s="1355"/>
      <c r="Y16" s="3723"/>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30"/>
      <c r="Q17" s="1352" t="str">
        <f>B17</f>
        <v>交通便捷度</v>
      </c>
      <c r="R17" s="705" t="s">
        <v>18</v>
      </c>
      <c r="S17" s="706">
        <f>F17</f>
        <v>100</v>
      </c>
      <c r="T17" s="705" t="s">
        <v>18</v>
      </c>
      <c r="U17" s="706">
        <f>H17</f>
        <v>100</v>
      </c>
      <c r="V17" s="705" t="s">
        <v>18</v>
      </c>
      <c r="W17" s="706">
        <f>J17</f>
        <v>100</v>
      </c>
      <c r="X17" s="1355"/>
      <c r="Y17" s="3723"/>
      <c r="Z17" s="1356" t="str">
        <f>Q17</f>
        <v>交通便捷度</v>
      </c>
      <c r="AA17" s="1353">
        <f t="shared" si="3"/>
        <v>1</v>
      </c>
      <c r="AB17" s="1353">
        <f t="shared" si="4"/>
        <v>1</v>
      </c>
      <c r="AC17" s="1353">
        <f t="shared" si="5"/>
        <v>1</v>
      </c>
    </row>
    <row r="18" spans="1:29" ht="15">
      <c r="A18" s="379"/>
      <c r="B18" s="407"/>
      <c r="C18" s="1901" t="s">
        <v>3419</v>
      </c>
      <c r="D18" s="401"/>
      <c r="E18" s="1902" t="s">
        <v>3419</v>
      </c>
      <c r="F18" s="401"/>
      <c r="G18" s="1903" t="s">
        <v>3419</v>
      </c>
      <c r="H18" s="399"/>
      <c r="I18" s="1903" t="s">
        <v>3419</v>
      </c>
      <c r="J18" s="399"/>
      <c r="K18" s="1899"/>
      <c r="L18" s="2722"/>
      <c r="M18" s="2716"/>
      <c r="N18" s="2716"/>
      <c r="O18" s="2716"/>
      <c r="P18" s="3730"/>
      <c r="Q18" s="1352"/>
      <c r="R18" s="705"/>
      <c r="S18" s="706"/>
      <c r="T18" s="705"/>
      <c r="U18" s="706"/>
      <c r="V18" s="705"/>
      <c r="W18" s="706"/>
      <c r="X18" s="1355"/>
      <c r="Y18" s="3723"/>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0"/>
      <c r="Q19" s="1352" t="str">
        <f>B19</f>
        <v>公共配套设施</v>
      </c>
      <c r="R19" s="705" t="s">
        <v>18</v>
      </c>
      <c r="S19" s="706">
        <f>F19</f>
        <v>100</v>
      </c>
      <c r="T19" s="705" t="s">
        <v>18</v>
      </c>
      <c r="U19" s="706">
        <f>H19</f>
        <v>100</v>
      </c>
      <c r="V19" s="705" t="s">
        <v>18</v>
      </c>
      <c r="W19" s="706">
        <f>J19</f>
        <v>100</v>
      </c>
      <c r="X19" s="1355"/>
      <c r="Y19" s="372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0"/>
      <c r="Q20" s="1352"/>
      <c r="R20" s="705"/>
      <c r="S20" s="706"/>
      <c r="T20" s="705"/>
      <c r="U20" s="706"/>
      <c r="V20" s="705"/>
      <c r="W20" s="706"/>
      <c r="X20" s="1355"/>
      <c r="Y20" s="372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0"/>
      <c r="Q22" s="1352"/>
      <c r="R22" s="705"/>
      <c r="S22" s="706"/>
      <c r="T22" s="705"/>
      <c r="U22" s="706"/>
      <c r="V22" s="705"/>
      <c r="W22" s="706"/>
      <c r="X22" s="1355"/>
      <c r="Y22" s="3723"/>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0"/>
      <c r="Q23" s="1352" t="str">
        <f>B23</f>
        <v>自然及人文环境</v>
      </c>
      <c r="R23" s="705" t="s">
        <v>18</v>
      </c>
      <c r="S23" s="706">
        <f>F23</f>
        <v>100</v>
      </c>
      <c r="T23" s="705" t="s">
        <v>18</v>
      </c>
      <c r="U23" s="706">
        <f>H23</f>
        <v>100</v>
      </c>
      <c r="V23" s="705" t="s">
        <v>18</v>
      </c>
      <c r="W23" s="706">
        <f>J23</f>
        <v>100</v>
      </c>
      <c r="X23" s="1355"/>
      <c r="Y23" s="3723"/>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3424</v>
      </c>
      <c r="J24" s="399"/>
      <c r="K24" s="1899"/>
      <c r="L24" s="2722"/>
      <c r="M24" s="2716"/>
      <c r="N24" s="2716"/>
      <c r="O24" s="2716"/>
      <c r="P24" s="3730"/>
      <c r="Q24" s="1352"/>
      <c r="R24" s="705"/>
      <c r="S24" s="706"/>
      <c r="T24" s="705"/>
      <c r="U24" s="706"/>
      <c r="V24" s="705"/>
      <c r="W24" s="706"/>
      <c r="X24" s="1355"/>
      <c r="Y24" s="3723"/>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3"/>
      <c r="Z25" s="1356" t="str">
        <f>Q25</f>
        <v>楼层-1</v>
      </c>
      <c r="AA25" s="1353">
        <f t="shared" ref="AA25:AA46" si="15">D25/F25</f>
        <v>1</v>
      </c>
      <c r="AB25" s="1353">
        <f t="shared" ref="AB25:AB46" si="16">D25/H25</f>
        <v>1</v>
      </c>
      <c r="AC25" s="1353">
        <f t="shared" ref="AC25:AC46" si="17">D25/J25</f>
        <v>1</v>
      </c>
    </row>
    <row r="26" spans="1:29" s="3468" customFormat="1" ht="15">
      <c r="A26" s="382"/>
      <c r="B26" s="3470" t="s">
        <v>3427</v>
      </c>
      <c r="C26" s="416" t="s">
        <v>3505</v>
      </c>
      <c r="D26" s="413">
        <v>100</v>
      </c>
      <c r="E26" s="416" t="s">
        <v>3505</v>
      </c>
      <c r="F26" s="413">
        <f>SUMIF(88:88,E26,89:89)-SUMIF(88:88,C26,89:89)+100</f>
        <v>100</v>
      </c>
      <c r="G26" s="414" t="s">
        <v>3505</v>
      </c>
      <c r="H26" s="413">
        <f>SUMIF(88:88,G26,89:89)-SUMIF(88:88,C26,89:89)+100</f>
        <v>100</v>
      </c>
      <c r="I26" s="414" t="s">
        <v>3505</v>
      </c>
      <c r="J26" s="413">
        <f>SUMIF(88:88,I26,89:89)-SUMIF(88:88,C26,89:89)+100</f>
        <v>100</v>
      </c>
      <c r="K26" s="3471">
        <v>2</v>
      </c>
      <c r="L26" s="3460"/>
      <c r="M26" s="3461"/>
      <c r="N26" s="3461"/>
      <c r="O26" s="3461"/>
      <c r="P26" s="3730"/>
      <c r="Q26" s="3462" t="str">
        <f t="shared" si="11"/>
        <v>朝向</v>
      </c>
      <c r="R26" s="3463" t="s">
        <v>18</v>
      </c>
      <c r="S26" s="3464">
        <f t="shared" si="12"/>
        <v>100</v>
      </c>
      <c r="T26" s="3463" t="s">
        <v>18</v>
      </c>
      <c r="U26" s="3464">
        <f t="shared" si="13"/>
        <v>100</v>
      </c>
      <c r="V26" s="3463" t="s">
        <v>18</v>
      </c>
      <c r="W26" s="3464">
        <f t="shared" si="14"/>
        <v>100</v>
      </c>
      <c r="X26" s="3465"/>
      <c r="Y26" s="3723"/>
      <c r="Z26" s="3466" t="str">
        <f>Q26</f>
        <v>朝向</v>
      </c>
      <c r="AA26" s="3467">
        <f t="shared" si="15"/>
        <v>1</v>
      </c>
      <c r="AB26" s="3467">
        <f t="shared" si="16"/>
        <v>1</v>
      </c>
      <c r="AC26" s="3467">
        <f t="shared" si="17"/>
        <v>1</v>
      </c>
    </row>
    <row r="27" spans="1:29" s="108" customFormat="1" ht="15">
      <c r="A27" s="382"/>
      <c r="B27" s="3450" t="s">
        <v>3397</v>
      </c>
      <c r="C27" s="416" t="s">
        <v>3549</v>
      </c>
      <c r="D27" s="413">
        <v>100</v>
      </c>
      <c r="E27" s="383" t="str">
        <f>角门东里!D1158</f>
        <v>高楼层/6层</v>
      </c>
      <c r="F27" s="413">
        <f>SUMIF(90:90,E27,91:91)-SUMIF(90:90,C27,91:91)+100</f>
        <v>98</v>
      </c>
      <c r="G27" s="1960" t="str">
        <f>角门东里!D1159</f>
        <v>高楼层/6层</v>
      </c>
      <c r="H27" s="413">
        <f>SUMIF(90:90,G27,91:91)-SUMIF(90:90,C27,91:91)+100</f>
        <v>98</v>
      </c>
      <c r="I27" s="1960" t="str">
        <f>角门东里!D1163</f>
        <v>中楼层/6层</v>
      </c>
      <c r="J27" s="413">
        <f>SUMIF(90:90,I27,91:91)-SUMIF(90:90,C27,91:91)+100</f>
        <v>100</v>
      </c>
      <c r="K27" s="1894"/>
      <c r="L27" s="2717"/>
      <c r="M27" s="2718"/>
      <c r="N27" s="2718"/>
      <c r="O27" s="2718"/>
      <c r="P27" s="3730"/>
      <c r="Q27" s="1343" t="str">
        <f t="shared" si="11"/>
        <v>楼层</v>
      </c>
      <c r="R27" s="701" t="s">
        <v>18</v>
      </c>
      <c r="S27" s="702">
        <f t="shared" si="12"/>
        <v>98</v>
      </c>
      <c r="T27" s="701" t="s">
        <v>18</v>
      </c>
      <c r="U27" s="702">
        <f t="shared" si="13"/>
        <v>98</v>
      </c>
      <c r="V27" s="701" t="s">
        <v>18</v>
      </c>
      <c r="W27" s="702">
        <f t="shared" si="14"/>
        <v>100</v>
      </c>
      <c r="X27" s="703"/>
      <c r="Y27" s="3723"/>
      <c r="Z27" s="52" t="str">
        <f>Q27</f>
        <v>楼层</v>
      </c>
      <c r="AA27" s="1353">
        <f t="shared" si="15"/>
        <v>1.0204081632653061</v>
      </c>
      <c r="AB27" s="1353">
        <f t="shared" si="16"/>
        <v>1.0204081632653061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0"/>
      <c r="Q28" s="1352">
        <f t="shared" si="11"/>
        <v>111</v>
      </c>
      <c r="R28" s="705" t="s">
        <v>18</v>
      </c>
      <c r="S28" s="706">
        <f t="shared" si="12"/>
        <v>100</v>
      </c>
      <c r="T28" s="705" t="s">
        <v>18</v>
      </c>
      <c r="U28" s="706">
        <f t="shared" si="13"/>
        <v>100</v>
      </c>
      <c r="V28" s="705" t="s">
        <v>18</v>
      </c>
      <c r="W28" s="706">
        <f t="shared" si="14"/>
        <v>100</v>
      </c>
      <c r="X28" s="1355"/>
      <c r="Y28" s="372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0"/>
      <c r="Q29" s="1352">
        <f t="shared" si="11"/>
        <v>111</v>
      </c>
      <c r="R29" s="705" t="s">
        <v>18</v>
      </c>
      <c r="S29" s="706">
        <f t="shared" si="12"/>
        <v>100</v>
      </c>
      <c r="T29" s="705" t="s">
        <v>18</v>
      </c>
      <c r="U29" s="706">
        <f t="shared" si="13"/>
        <v>100</v>
      </c>
      <c r="V29" s="705" t="s">
        <v>18</v>
      </c>
      <c r="W29" s="706">
        <f t="shared" si="14"/>
        <v>100</v>
      </c>
      <c r="X29" s="1355"/>
      <c r="Y29" s="372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0"/>
      <c r="Q30" s="1352">
        <f t="shared" si="11"/>
        <v>111</v>
      </c>
      <c r="R30" s="705" t="s">
        <v>18</v>
      </c>
      <c r="S30" s="706">
        <f t="shared" si="12"/>
        <v>100</v>
      </c>
      <c r="T30" s="705" t="s">
        <v>18</v>
      </c>
      <c r="U30" s="706">
        <f t="shared" si="13"/>
        <v>100</v>
      </c>
      <c r="V30" s="705" t="s">
        <v>18</v>
      </c>
      <c r="W30" s="706">
        <f t="shared" si="14"/>
        <v>100</v>
      </c>
      <c r="X30" s="1355"/>
      <c r="Y30" s="3723"/>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0"/>
      <c r="Q31" s="1352">
        <f t="shared" si="11"/>
        <v>111</v>
      </c>
      <c r="R31" s="705" t="s">
        <v>18</v>
      </c>
      <c r="S31" s="706">
        <f t="shared" si="12"/>
        <v>100</v>
      </c>
      <c r="T31" s="705" t="s">
        <v>18</v>
      </c>
      <c r="U31" s="706">
        <f t="shared" si="13"/>
        <v>100</v>
      </c>
      <c r="V31" s="705" t="s">
        <v>18</v>
      </c>
      <c r="W31" s="706">
        <f t="shared" si="14"/>
        <v>100</v>
      </c>
      <c r="X31" s="1355"/>
      <c r="Y31" s="3723"/>
      <c r="Z31" s="1356">
        <f t="shared" si="18"/>
        <v>111</v>
      </c>
      <c r="AA31" s="1353">
        <f t="shared" si="15"/>
        <v>1</v>
      </c>
      <c r="AB31" s="1353">
        <f t="shared" si="16"/>
        <v>1</v>
      </c>
      <c r="AC31" s="1353">
        <f t="shared" si="17"/>
        <v>1</v>
      </c>
    </row>
    <row r="32" spans="1:29" ht="15">
      <c r="A32" s="391" t="s">
        <v>1693</v>
      </c>
      <c r="B32" s="63" t="s">
        <v>1694</v>
      </c>
      <c r="C32" s="1910" t="s">
        <v>3550</v>
      </c>
      <c r="D32" s="418">
        <v>100</v>
      </c>
      <c r="E32" s="1911" t="s">
        <v>3550</v>
      </c>
      <c r="F32" s="412">
        <f>SUMIF(100:100,E32,101:101)-SUMIF(100:100,C32,101:101)+100</f>
        <v>100</v>
      </c>
      <c r="G32" s="1910" t="s">
        <v>3550</v>
      </c>
      <c r="H32" s="418">
        <f>SUMIF(100:100,G32,101:101)-SUMIF(100:100,C32,101:101)+100</f>
        <v>100</v>
      </c>
      <c r="I32" s="1911" t="s">
        <v>3550</v>
      </c>
      <c r="J32" s="386">
        <f>SUMIF(100:100,I32,101:101)-SUMIF(100:100,C32,101:101)+100</f>
        <v>100</v>
      </c>
      <c r="K32" s="377">
        <v>1</v>
      </c>
      <c r="L32" s="2722"/>
      <c r="M32" s="2716"/>
      <c r="N32" s="2716"/>
      <c r="O32" s="2716"/>
      <c r="P32" s="3724" t="s">
        <v>1695</v>
      </c>
      <c r="Q32" s="1352" t="str">
        <f t="shared" si="11"/>
        <v>建筑类型</v>
      </c>
      <c r="R32" s="705" t="s">
        <v>18</v>
      </c>
      <c r="S32" s="706">
        <f t="shared" si="12"/>
        <v>100</v>
      </c>
      <c r="T32" s="705" t="s">
        <v>18</v>
      </c>
      <c r="U32" s="706">
        <f t="shared" si="13"/>
        <v>100</v>
      </c>
      <c r="V32" s="705" t="s">
        <v>18</v>
      </c>
      <c r="W32" s="706">
        <f t="shared" si="14"/>
        <v>100</v>
      </c>
      <c r="X32" s="1355"/>
      <c r="Y32" s="3727" t="s">
        <v>1695</v>
      </c>
      <c r="Z32" s="1356" t="str">
        <f t="shared" si="18"/>
        <v>建筑类型</v>
      </c>
      <c r="AA32" s="1353">
        <f t="shared" si="15"/>
        <v>1</v>
      </c>
      <c r="AB32" s="1353">
        <f t="shared" si="16"/>
        <v>1</v>
      </c>
      <c r="AC32" s="1353">
        <f t="shared" si="17"/>
        <v>1</v>
      </c>
    </row>
    <row r="33" spans="1:29" s="422" customFormat="1" ht="15">
      <c r="A33" s="419"/>
      <c r="B33" s="375" t="s">
        <v>1696</v>
      </c>
      <c r="C33" s="420">
        <f>'数据-汇总表'!F19</f>
        <v>57.2</v>
      </c>
      <c r="D33" s="127">
        <v>100</v>
      </c>
      <c r="E33" s="381">
        <f>角门东里!C1158</f>
        <v>57</v>
      </c>
      <c r="F33" s="376">
        <f>LOOKUP(E33,103:103,104:104)-LOOKUP(C33,103:103,104:104)+100</f>
        <v>100</v>
      </c>
      <c r="G33" s="380">
        <f>角门东里!C1159</f>
        <v>54</v>
      </c>
      <c r="H33" s="127">
        <f>LOOKUP(G33,103:103,104:104)-LOOKUP(C33,103:103,104:104)+100</f>
        <v>100</v>
      </c>
      <c r="I33" s="381">
        <f>角门东里!C1163</f>
        <v>69</v>
      </c>
      <c r="J33" s="386">
        <f>LOOKUP(I33,103:103,104:104)-LOOKUP(C33,103:103,104:104)+100</f>
        <v>99</v>
      </c>
      <c r="K33" s="1894"/>
      <c r="L33" s="2721"/>
      <c r="M33" s="2723"/>
      <c r="N33" s="2723"/>
      <c r="O33" s="2723"/>
      <c r="P33" s="3725"/>
      <c r="Q33" s="707" t="str">
        <f t="shared" si="11"/>
        <v>项目建筑规模</v>
      </c>
      <c r="R33" s="708" t="s">
        <v>18</v>
      </c>
      <c r="S33" s="709">
        <f t="shared" si="12"/>
        <v>100</v>
      </c>
      <c r="T33" s="708" t="s">
        <v>18</v>
      </c>
      <c r="U33" s="709">
        <f t="shared" si="13"/>
        <v>100</v>
      </c>
      <c r="V33" s="708" t="s">
        <v>18</v>
      </c>
      <c r="W33" s="709">
        <f t="shared" si="14"/>
        <v>99</v>
      </c>
      <c r="X33" s="710"/>
      <c r="Y33" s="3727"/>
      <c r="Z33" s="711" t="str">
        <f t="shared" si="18"/>
        <v>项目建筑规模</v>
      </c>
      <c r="AA33" s="1353">
        <f t="shared" si="15"/>
        <v>1</v>
      </c>
      <c r="AB33" s="1353">
        <f t="shared" si="16"/>
        <v>1</v>
      </c>
      <c r="AC33" s="1353">
        <f t="shared" si="17"/>
        <v>1.0101010101010102</v>
      </c>
    </row>
    <row r="34" spans="1:29" ht="15">
      <c r="A34" s="423"/>
      <c r="B34" s="375" t="s">
        <v>1697</v>
      </c>
      <c r="C34" s="1912" t="s">
        <v>3552</v>
      </c>
      <c r="D34" s="386">
        <v>100</v>
      </c>
      <c r="E34" s="1913" t="s">
        <v>3552</v>
      </c>
      <c r="F34" s="412">
        <f>SUMIF(105:105,E34,106:106)-SUMIF(105:105,C34,106:106)+100</f>
        <v>100</v>
      </c>
      <c r="G34" s="1912" t="s">
        <v>3552</v>
      </c>
      <c r="H34" s="386">
        <f>SUMIF(105:105,G34,106:106)-SUMIF(105:105,C34,106:106)+100</f>
        <v>100</v>
      </c>
      <c r="I34" s="1913" t="s">
        <v>3552</v>
      </c>
      <c r="J34" s="386">
        <f>SUMIF(105:105,I34,106:106)-SUMIF(105:105,C34,106:106)+100</f>
        <v>100</v>
      </c>
      <c r="K34" s="377"/>
      <c r="L34" s="2722"/>
      <c r="M34" s="2716"/>
      <c r="N34" s="2716"/>
      <c r="O34" s="2716"/>
      <c r="P34" s="3725"/>
      <c r="Q34" s="1352" t="str">
        <f t="shared" si="11"/>
        <v>建筑结构</v>
      </c>
      <c r="R34" s="705" t="s">
        <v>18</v>
      </c>
      <c r="S34" s="706">
        <f t="shared" si="12"/>
        <v>100</v>
      </c>
      <c r="T34" s="705" t="s">
        <v>18</v>
      </c>
      <c r="U34" s="706">
        <f t="shared" si="13"/>
        <v>100</v>
      </c>
      <c r="V34" s="705" t="s">
        <v>18</v>
      </c>
      <c r="W34" s="706">
        <f t="shared" si="14"/>
        <v>100</v>
      </c>
      <c r="X34" s="1355"/>
      <c r="Y34" s="3727"/>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5"/>
      <c r="Q35" s="1352" t="str">
        <f t="shared" si="11"/>
        <v>建筑品质</v>
      </c>
      <c r="R35" s="705" t="s">
        <v>18</v>
      </c>
      <c r="S35" s="706">
        <f t="shared" si="12"/>
        <v>100</v>
      </c>
      <c r="T35" s="705" t="s">
        <v>18</v>
      </c>
      <c r="U35" s="706">
        <f t="shared" si="13"/>
        <v>100</v>
      </c>
      <c r="V35" s="705" t="s">
        <v>18</v>
      </c>
      <c r="W35" s="706">
        <f t="shared" si="14"/>
        <v>100</v>
      </c>
      <c r="X35" s="1355"/>
      <c r="Y35" s="3727"/>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725"/>
      <c r="Q36" s="1352" t="str">
        <f t="shared" si="11"/>
        <v>公共部分装修</v>
      </c>
      <c r="R36" s="705" t="s">
        <v>18</v>
      </c>
      <c r="S36" s="706">
        <f t="shared" si="12"/>
        <v>100</v>
      </c>
      <c r="T36" s="705" t="s">
        <v>18</v>
      </c>
      <c r="U36" s="706">
        <f t="shared" si="13"/>
        <v>100</v>
      </c>
      <c r="V36" s="705" t="s">
        <v>18</v>
      </c>
      <c r="W36" s="706">
        <f t="shared" si="14"/>
        <v>100</v>
      </c>
      <c r="X36" s="1355"/>
      <c r="Y36" s="3727"/>
      <c r="Z36" s="1356" t="str">
        <f t="shared" si="18"/>
        <v>公共部分装修</v>
      </c>
      <c r="AA36" s="1353">
        <f t="shared" si="15"/>
        <v>1</v>
      </c>
      <c r="AB36" s="1353">
        <f t="shared" si="16"/>
        <v>1</v>
      </c>
      <c r="AC36" s="1353">
        <f t="shared" si="17"/>
        <v>1</v>
      </c>
    </row>
    <row r="37" spans="1:29" s="108" customFormat="1" ht="15">
      <c r="A37" s="424"/>
      <c r="B37" s="375" t="s">
        <v>1700</v>
      </c>
      <c r="C37" s="1906">
        <f>'数据-取费表'!N6</f>
        <v>0.65</v>
      </c>
      <c r="D37" s="386">
        <v>100</v>
      </c>
      <c r="E37" s="1907">
        <f>C37</f>
        <v>0.65</v>
      </c>
      <c r="F37" s="412">
        <f>LOOKUP(E37,112:112,113:113)-LOOKUP(C37,112:112,113:113)+100</f>
        <v>100</v>
      </c>
      <c r="G37" s="1906">
        <f>C37</f>
        <v>0.65</v>
      </c>
      <c r="H37" s="386">
        <f>LOOKUP(G37,112:112,113:113)-LOOKUP(C37,112:112,113:113)+100</f>
        <v>100</v>
      </c>
      <c r="I37" s="1907">
        <f>C37</f>
        <v>0.65</v>
      </c>
      <c r="J37" s="127">
        <f>LOOKUP(I37,112:112,113:113)-LOOKUP(C37,112:112,113:113)+100</f>
        <v>100</v>
      </c>
      <c r="K37" s="377">
        <v>0.5</v>
      </c>
      <c r="L37" s="2717"/>
      <c r="M37" s="2718"/>
      <c r="N37" s="2718"/>
      <c r="O37" s="2718"/>
      <c r="P37" s="3725"/>
      <c r="Q37" s="1343" t="str">
        <f t="shared" si="11"/>
        <v>成新度</v>
      </c>
      <c r="R37" s="701" t="s">
        <v>18</v>
      </c>
      <c r="S37" s="702">
        <f t="shared" si="12"/>
        <v>100</v>
      </c>
      <c r="T37" s="701" t="s">
        <v>18</v>
      </c>
      <c r="U37" s="702">
        <f t="shared" si="13"/>
        <v>100</v>
      </c>
      <c r="V37" s="701" t="s">
        <v>18</v>
      </c>
      <c r="W37" s="702">
        <f t="shared" si="14"/>
        <v>100</v>
      </c>
      <c r="X37" s="703"/>
      <c r="Y37" s="3727"/>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725" t="s">
        <v>1695</v>
      </c>
      <c r="Q38" s="1352" t="str">
        <f t="shared" si="11"/>
        <v>物业管理</v>
      </c>
      <c r="R38" s="705" t="s">
        <v>18</v>
      </c>
      <c r="S38" s="706">
        <f t="shared" si="12"/>
        <v>100</v>
      </c>
      <c r="T38" s="705" t="s">
        <v>18</v>
      </c>
      <c r="U38" s="706">
        <f t="shared" si="13"/>
        <v>100</v>
      </c>
      <c r="V38" s="705" t="s">
        <v>18</v>
      </c>
      <c r="W38" s="706">
        <f t="shared" si="14"/>
        <v>100</v>
      </c>
      <c r="X38" s="1355"/>
      <c r="Y38" s="3727"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725"/>
      <c r="Q39" s="1352" t="str">
        <f t="shared" si="11"/>
        <v>市政基础设施</v>
      </c>
      <c r="R39" s="705" t="s">
        <v>18</v>
      </c>
      <c r="S39" s="706">
        <f t="shared" si="12"/>
        <v>100</v>
      </c>
      <c r="T39" s="705" t="s">
        <v>18</v>
      </c>
      <c r="U39" s="706">
        <f t="shared" si="13"/>
        <v>100</v>
      </c>
      <c r="V39" s="705" t="s">
        <v>18</v>
      </c>
      <c r="W39" s="706">
        <f t="shared" si="14"/>
        <v>100</v>
      </c>
      <c r="X39" s="1355"/>
      <c r="Y39" s="3727"/>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725"/>
      <c r="Q40" s="1352" t="str">
        <f t="shared" si="11"/>
        <v>房型</v>
      </c>
      <c r="R40" s="705" t="s">
        <v>18</v>
      </c>
      <c r="S40" s="706">
        <f t="shared" si="12"/>
        <v>100</v>
      </c>
      <c r="T40" s="705" t="s">
        <v>18</v>
      </c>
      <c r="U40" s="706">
        <f t="shared" si="13"/>
        <v>100</v>
      </c>
      <c r="V40" s="705" t="s">
        <v>18</v>
      </c>
      <c r="W40" s="706">
        <f t="shared" si="14"/>
        <v>100</v>
      </c>
      <c r="X40" s="1355"/>
      <c r="Y40" s="3727"/>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5"/>
      <c r="Q41" s="707" t="str">
        <f t="shared" si="11"/>
        <v>单套/主力户型建筑面积</v>
      </c>
      <c r="R41" s="708" t="s">
        <v>18</v>
      </c>
      <c r="S41" s="709">
        <f t="shared" si="12"/>
        <v>100</v>
      </c>
      <c r="T41" s="708" t="s">
        <v>18</v>
      </c>
      <c r="U41" s="709">
        <f t="shared" si="13"/>
        <v>100</v>
      </c>
      <c r="V41" s="708" t="s">
        <v>18</v>
      </c>
      <c r="W41" s="709">
        <f t="shared" si="14"/>
        <v>100</v>
      </c>
      <c r="X41" s="710"/>
      <c r="Y41" s="3727"/>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3551</v>
      </c>
      <c r="F42" s="412">
        <f>SUMIF(122:122,E42,123:123)-SUMIF(122:122,C42,123:123)+100</f>
        <v>106</v>
      </c>
      <c r="G42" s="1906" t="s">
        <v>3551</v>
      </c>
      <c r="H42" s="386">
        <f>SUMIF(122:122,G42,123:123)-SUMIF(122:122,C42,123:123)+100</f>
        <v>106</v>
      </c>
      <c r="I42" s="1907" t="s">
        <v>3551</v>
      </c>
      <c r="J42" s="386">
        <f>SUMIF(122:122,I42,123:123)-SUMIF(122:122,C42,123:123)+100</f>
        <v>106</v>
      </c>
      <c r="K42" s="377">
        <v>6</v>
      </c>
      <c r="L42" s="2722"/>
      <c r="M42" s="2716"/>
      <c r="N42" s="2716"/>
      <c r="O42" s="2716"/>
      <c r="P42" s="3725"/>
      <c r="Q42" s="1352" t="str">
        <f t="shared" si="11"/>
        <v>内部装修</v>
      </c>
      <c r="R42" s="705" t="s">
        <v>18</v>
      </c>
      <c r="S42" s="706">
        <f t="shared" si="12"/>
        <v>106</v>
      </c>
      <c r="T42" s="705" t="s">
        <v>18</v>
      </c>
      <c r="U42" s="706">
        <f t="shared" si="13"/>
        <v>106</v>
      </c>
      <c r="V42" s="705" t="s">
        <v>18</v>
      </c>
      <c r="W42" s="706">
        <f t="shared" si="14"/>
        <v>106</v>
      </c>
      <c r="X42" s="1355"/>
      <c r="Y42" s="3727"/>
      <c r="Z42" s="1356" t="str">
        <f t="shared" si="18"/>
        <v>内部装修</v>
      </c>
      <c r="AA42" s="1353">
        <f t="shared" si="15"/>
        <v>0.94339622641509435</v>
      </c>
      <c r="AB42" s="1353">
        <f t="shared" si="16"/>
        <v>0.94339622641509435</v>
      </c>
      <c r="AC42" s="1353">
        <f t="shared" si="17"/>
        <v>0.94339622641509435</v>
      </c>
    </row>
    <row r="43" spans="1:29" ht="28.8">
      <c r="A43" s="423"/>
      <c r="B43" s="375" t="s">
        <v>1706</v>
      </c>
      <c r="C43" s="1906" t="s">
        <v>3419</v>
      </c>
      <c r="D43" s="386">
        <v>100</v>
      </c>
      <c r="E43" s="1907" t="s">
        <v>3419</v>
      </c>
      <c r="F43" s="412">
        <f>SUMIF(124:124,E43,125:125)-SUMIF(124:124,C43,125:125)+100</f>
        <v>100</v>
      </c>
      <c r="G43" s="1906" t="s">
        <v>3419</v>
      </c>
      <c r="H43" s="386">
        <f>SUMIF(124:124,G43,125:125)-SUMIF(124:124,C43,125:125)+100</f>
        <v>100</v>
      </c>
      <c r="I43" s="1907" t="s">
        <v>3419</v>
      </c>
      <c r="J43" s="386">
        <f>SUMIF(124:124,I43,125:125)-SUMIF(124:124,C43,125:125)+100</f>
        <v>100</v>
      </c>
      <c r="K43" s="377">
        <v>1</v>
      </c>
      <c r="L43" s="2722"/>
      <c r="M43" s="2716"/>
      <c r="N43" s="2716"/>
      <c r="O43" s="2716"/>
      <c r="P43" s="3725"/>
      <c r="Q43" s="1352" t="str">
        <f t="shared" si="11"/>
        <v>内部装修维护情况</v>
      </c>
      <c r="R43" s="705" t="s">
        <v>18</v>
      </c>
      <c r="S43" s="706">
        <f t="shared" si="12"/>
        <v>100</v>
      </c>
      <c r="T43" s="705" t="s">
        <v>18</v>
      </c>
      <c r="U43" s="706">
        <f t="shared" si="13"/>
        <v>100</v>
      </c>
      <c r="V43" s="705" t="s">
        <v>18</v>
      </c>
      <c r="W43" s="706">
        <f t="shared" si="14"/>
        <v>100</v>
      </c>
      <c r="X43" s="1355"/>
      <c r="Y43" s="3727"/>
      <c r="Z43" s="1356" t="str">
        <f t="shared" si="18"/>
        <v>内部装修维护情况</v>
      </c>
      <c r="AA43" s="1353">
        <f t="shared" si="15"/>
        <v>1</v>
      </c>
      <c r="AB43" s="1353">
        <f t="shared" si="16"/>
        <v>1</v>
      </c>
      <c r="AC43" s="1353">
        <f t="shared" si="17"/>
        <v>1</v>
      </c>
    </row>
    <row r="44" spans="1:29" s="108" customFormat="1" ht="15">
      <c r="A44" s="424"/>
      <c r="B44" s="3450">
        <v>111</v>
      </c>
      <c r="C44" s="3459"/>
      <c r="D44" s="127">
        <v>100</v>
      </c>
      <c r="E44" s="420"/>
      <c r="F44" s="376">
        <f>SUMIF(126:126,E44,127:127)-SUMIF(126:126,C44,127:127)+100</f>
        <v>100</v>
      </c>
      <c r="G44" s="3459"/>
      <c r="H44" s="127">
        <f>SUMIF(126:126,G44,127:127)-SUMIF(126:126,C44,127:127)+100</f>
        <v>100</v>
      </c>
      <c r="I44" s="3459"/>
      <c r="J44" s="127">
        <f>SUMIF(126:126,I44,127:127)-SUMIF(126:126,C44,127:127)+100</f>
        <v>100</v>
      </c>
      <c r="K44" s="1894"/>
      <c r="L44" s="2717"/>
      <c r="M44" s="2718"/>
      <c r="N44" s="2718"/>
      <c r="O44" s="2718"/>
      <c r="P44" s="3725"/>
      <c r="Q44" s="1343">
        <f t="shared" si="11"/>
        <v>111</v>
      </c>
      <c r="R44" s="701" t="s">
        <v>18</v>
      </c>
      <c r="S44" s="702">
        <f t="shared" si="12"/>
        <v>100</v>
      </c>
      <c r="T44" s="701" t="s">
        <v>18</v>
      </c>
      <c r="U44" s="702">
        <f t="shared" si="13"/>
        <v>100</v>
      </c>
      <c r="V44" s="701" t="s">
        <v>18</v>
      </c>
      <c r="W44" s="702">
        <f t="shared" si="14"/>
        <v>100</v>
      </c>
      <c r="X44" s="703"/>
      <c r="Y44" s="372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5"/>
      <c r="Q45" s="1352">
        <f t="shared" si="11"/>
        <v>111</v>
      </c>
      <c r="R45" s="705" t="s">
        <v>18</v>
      </c>
      <c r="S45" s="706">
        <f t="shared" si="12"/>
        <v>100</v>
      </c>
      <c r="T45" s="705" t="s">
        <v>18</v>
      </c>
      <c r="U45" s="706">
        <f t="shared" si="13"/>
        <v>100</v>
      </c>
      <c r="V45" s="705" t="s">
        <v>18</v>
      </c>
      <c r="W45" s="706">
        <f t="shared" si="14"/>
        <v>100</v>
      </c>
      <c r="X45" s="1355"/>
      <c r="Y45" s="372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6"/>
      <c r="Q46" s="1352">
        <f t="shared" si="11"/>
        <v>111</v>
      </c>
      <c r="R46" s="705" t="s">
        <v>17</v>
      </c>
      <c r="S46" s="706">
        <f t="shared" si="12"/>
        <v>100</v>
      </c>
      <c r="T46" s="705" t="s">
        <v>17</v>
      </c>
      <c r="U46" s="706">
        <f t="shared" si="13"/>
        <v>100</v>
      </c>
      <c r="V46" s="705" t="s">
        <v>17</v>
      </c>
      <c r="W46" s="706">
        <f t="shared" si="14"/>
        <v>100</v>
      </c>
      <c r="X46" s="1355"/>
      <c r="Y46" s="3728"/>
      <c r="Z46" s="1356">
        <f t="shared" si="18"/>
        <v>111</v>
      </c>
      <c r="AA46" s="1353">
        <f t="shared" si="15"/>
        <v>1</v>
      </c>
      <c r="AB46" s="1353">
        <f t="shared" si="16"/>
        <v>1</v>
      </c>
      <c r="AC46" s="1353">
        <f t="shared" si="17"/>
        <v>1</v>
      </c>
    </row>
    <row r="47" spans="1:29" ht="14.4">
      <c r="A47" s="430" t="s">
        <v>1707</v>
      </c>
      <c r="B47" s="431"/>
      <c r="C47" s="1154" t="s">
        <v>16</v>
      </c>
      <c r="D47" s="1155"/>
      <c r="E47" s="1156">
        <f>角门东里!I1158</f>
        <v>33917</v>
      </c>
      <c r="F47" s="1157"/>
      <c r="G47" s="1158">
        <f>角门东里!I1159</f>
        <v>34598</v>
      </c>
      <c r="H47" s="1159"/>
      <c r="I47" s="3458">
        <f>角门东里!I1163</f>
        <v>36180</v>
      </c>
      <c r="J47" s="1159"/>
      <c r="K47" s="1914"/>
      <c r="L47" s="2724"/>
      <c r="M47" s="2725"/>
      <c r="N47" s="2716"/>
      <c r="O47" s="2725"/>
      <c r="P47" s="3720" t="str">
        <f>A47</f>
        <v>成交单价（元/平方米）</v>
      </c>
      <c r="Q47" s="3720"/>
      <c r="R47" s="3721">
        <f>E47</f>
        <v>33917</v>
      </c>
      <c r="S47" s="3721"/>
      <c r="T47" s="3721">
        <f>G47</f>
        <v>34598</v>
      </c>
      <c r="U47" s="3721"/>
      <c r="V47" s="3721">
        <f>I47</f>
        <v>36180</v>
      </c>
      <c r="W47" s="3721"/>
      <c r="X47" s="690"/>
      <c r="Y47" s="712"/>
      <c r="Z47" s="690"/>
      <c r="AA47" s="690"/>
      <c r="AB47" s="690"/>
      <c r="AC47" s="690"/>
    </row>
    <row r="48" spans="1:29" ht="15" thickBot="1">
      <c r="A48" s="437" t="s">
        <v>1708</v>
      </c>
      <c r="B48" s="438"/>
      <c r="C48" s="1160">
        <f>R49</f>
        <v>33478</v>
      </c>
      <c r="D48" s="2317" t="s">
        <v>2137</v>
      </c>
      <c r="E48" s="1161">
        <f>R48</f>
        <v>32650</v>
      </c>
      <c r="F48" s="2318"/>
      <c r="G48" s="1160">
        <f>T48</f>
        <v>33306</v>
      </c>
      <c r="H48" s="2318"/>
      <c r="I48" s="1161">
        <f>V48</f>
        <v>34477</v>
      </c>
      <c r="J48" s="2318"/>
      <c r="K48" s="2319">
        <f>F48+H48+J48</f>
        <v>0</v>
      </c>
      <c r="L48" s="2724"/>
      <c r="M48" s="2725"/>
      <c r="N48" s="2725"/>
      <c r="O48" s="2725"/>
      <c r="P48" s="3720" t="str">
        <f>A48</f>
        <v>比较价值（元/平方米）</v>
      </c>
      <c r="Q48" s="3720"/>
      <c r="R48" s="3721">
        <f>IF(F1="售价",ROUND(PRODUCT(R47,AA7:AA46),0),ROUND(PRODUCT(R47,AA7:AA46),1))</f>
        <v>32650</v>
      </c>
      <c r="S48" s="3721"/>
      <c r="T48" s="3721">
        <f>IF(F1="售价",ROUND(PRODUCT(T47,AB7:AB46),0),ROUND(PRODUCT(T47,AB7:AB46),1))</f>
        <v>33306</v>
      </c>
      <c r="U48" s="3721"/>
      <c r="V48" s="3721">
        <f>IF(F1="售价",ROUND(PRODUCT(V47,AC7:AC46),0),ROUND(PRODUCT(V47,AC7:AC46),1))</f>
        <v>34477</v>
      </c>
      <c r="W48" s="3721"/>
      <c r="X48" s="690"/>
      <c r="Y48" s="690"/>
      <c r="Z48" s="690"/>
      <c r="AA48" s="690"/>
      <c r="AB48" s="690"/>
      <c r="AC48" s="690"/>
    </row>
    <row r="49" spans="1:29" ht="15" thickBot="1">
      <c r="A49" s="441" t="s">
        <v>1709</v>
      </c>
      <c r="B49" s="442"/>
      <c r="C49" s="1162">
        <f>R49</f>
        <v>33478</v>
      </c>
      <c r="D49" s="1163"/>
      <c r="E49" s="1163"/>
      <c r="F49" s="1163"/>
      <c r="G49" s="1163"/>
      <c r="H49" s="1163"/>
      <c r="I49" s="1163"/>
      <c r="J49" s="1163"/>
      <c r="K49" s="1915"/>
      <c r="L49" s="2724"/>
      <c r="M49" s="2725"/>
      <c r="N49" s="2725"/>
      <c r="O49" s="2725"/>
      <c r="P49" s="3717" t="str">
        <f>A49</f>
        <v>估价对象XX用房的比较价值（楼面单价，元/平方米）</v>
      </c>
      <c r="Q49" s="3718"/>
      <c r="R49" s="3719">
        <f>IF(F1="售价",ROUND(IF(D48="简单平均",AVERAGE(R48:V48),R48*F48+T48*H48+V48*J48),0),ROUND(IF(D48="简单平均",AVERAGE(R48:V48),R48*F48+T48*H48+V48*J48),1))</f>
        <v>33478</v>
      </c>
      <c r="S49" s="3719"/>
      <c r="T49" s="3719"/>
      <c r="U49" s="3719"/>
      <c r="V49" s="3719"/>
      <c r="W49" s="371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3.8805513016845428E-2</v>
      </c>
      <c r="F52" s="449" t="str">
        <f>IF(OR(E52&gt;=0.3,E52&lt;=-0.3),"超过30%","")</f>
        <v/>
      </c>
      <c r="G52" s="448">
        <f>IF(G47&lt;G48,G48/G47-1,G47/G48-1)</f>
        <v>3.8791809283612588E-2</v>
      </c>
      <c r="H52" s="449" t="str">
        <f>IF(OR(G52&gt;=0.3,G52&lt;=-0.3),"超过30%","")</f>
        <v/>
      </c>
      <c r="I52" s="448">
        <f>IF(I47&lt;I48,I48/I47-1,I47/I48-1)</f>
        <v>4.9395249006584097E-2</v>
      </c>
      <c r="J52" s="449" t="str">
        <f>IF(OR(I52&gt;=0.3,I52&lt;=-0.3),"超过30%","")</f>
        <v/>
      </c>
      <c r="K52" s="2730"/>
      <c r="L52" s="2726"/>
      <c r="M52" s="2725"/>
      <c r="N52" s="2725"/>
      <c r="O52" s="2725"/>
    </row>
    <row r="53" spans="1:29" ht="13.5" customHeight="1">
      <c r="A53" s="2725"/>
      <c r="B53" s="2725"/>
      <c r="C53" s="446" t="s">
        <v>1711</v>
      </c>
      <c r="D53" s="450"/>
      <c r="E53" s="448">
        <f>IF(E48&lt;G48,G48/E48-1,E48/G48-1)</f>
        <v>2.0091883614088868E-2</v>
      </c>
      <c r="F53" s="449" t="str">
        <f>IF(OR(E53&gt;=0.2,E53&lt;=-0.2),"超过20%","")</f>
        <v/>
      </c>
      <c r="G53" s="448">
        <f>IF(G48&lt;I48,I48/G48-1,G48/I48-1)</f>
        <v>3.5158830240797467E-2</v>
      </c>
      <c r="H53" s="449" t="str">
        <f>IF(OR(G53&gt;=0.2,G53&lt;=-0.2),"超过20%","")</f>
        <v/>
      </c>
      <c r="I53" s="448">
        <f>IF(I48&lt;E48,E48/I48-1,I48/E48-1)</f>
        <v>5.5957120980091979E-2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2.0078426747648592E-2</v>
      </c>
      <c r="F54" s="449" t="str">
        <f>IF(OR(E54&gt;=0.3,E54&lt;=-0.3),"超过30%","")</f>
        <v/>
      </c>
      <c r="G54" s="448">
        <f>IF(G47&lt;I47,I47/G47-1,G47/I47-1)</f>
        <v>4.5725186426960995E-2</v>
      </c>
      <c r="H54" s="449" t="str">
        <f>IF(OR(G54&gt;=0.3,G54&lt;=-0.3),"超过30%","")</f>
        <v/>
      </c>
      <c r="I54" s="448">
        <f>IF(I47&lt;E47,E47/I47-1,I47/E47-1)</f>
        <v>6.6721702980806041E-2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2015-8</v>
      </c>
      <c r="D58" s="1185">
        <f>EDATE(C58,-1)</f>
        <v>42186</v>
      </c>
      <c r="E58" s="1185">
        <f>EDATE(D58,-1)</f>
        <v>42156</v>
      </c>
      <c r="F58" s="1185">
        <f t="shared" ref="F58:O58" si="19">EDATE(E58,-1)</f>
        <v>42125</v>
      </c>
      <c r="G58" s="1185">
        <f t="shared" si="19"/>
        <v>42095</v>
      </c>
      <c r="H58" s="1185">
        <f t="shared" si="19"/>
        <v>42064</v>
      </c>
      <c r="I58" s="1185">
        <f t="shared" si="19"/>
        <v>42036</v>
      </c>
      <c r="J58" s="1185">
        <f t="shared" si="19"/>
        <v>42005</v>
      </c>
      <c r="K58" s="1185">
        <f t="shared" si="19"/>
        <v>41974</v>
      </c>
      <c r="L58" s="1185">
        <f t="shared" si="19"/>
        <v>41944</v>
      </c>
      <c r="M58" s="1185">
        <f t="shared" si="19"/>
        <v>41913</v>
      </c>
      <c r="N58" s="1185">
        <f t="shared" si="19"/>
        <v>41883</v>
      </c>
      <c r="O58" s="1185">
        <f t="shared" si="19"/>
        <v>41852</v>
      </c>
      <c r="P58" s="1181"/>
    </row>
    <row r="59" spans="1:29" s="108" customFormat="1">
      <c r="A59" s="458"/>
      <c r="B59" s="1919"/>
      <c r="C59" s="1183">
        <v>100</v>
      </c>
      <c r="D59" s="460">
        <v>100</v>
      </c>
      <c r="E59" s="461">
        <v>100</v>
      </c>
      <c r="F59" s="461">
        <v>99.5</v>
      </c>
      <c r="G59" s="461">
        <v>98</v>
      </c>
      <c r="H59" s="461">
        <f>G59</f>
        <v>98</v>
      </c>
      <c r="I59" s="461">
        <f>G59</f>
        <v>98</v>
      </c>
      <c r="J59" s="461">
        <v>99.4</v>
      </c>
      <c r="K59" s="461">
        <f>J59</f>
        <v>99.4</v>
      </c>
      <c r="L59" s="461">
        <f>J59</f>
        <v>99.4</v>
      </c>
      <c r="M59" s="462"/>
      <c r="N59" s="461"/>
      <c r="O59" s="462"/>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3420</v>
      </c>
      <c r="D70" s="3451" t="s">
        <v>3421</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3548</v>
      </c>
      <c r="D88" s="3451"/>
      <c r="E88" s="3451"/>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14.4" thickTop="1">
      <c r="A90" s="502"/>
      <c r="B90" s="487" t="str">
        <f>B27</f>
        <v>楼层</v>
      </c>
      <c r="C90" s="503" t="str">
        <f>C27</f>
        <v>4/6（中层）</v>
      </c>
      <c r="D90" s="3456" t="str">
        <f>E27</f>
        <v>高楼层/6层</v>
      </c>
      <c r="E90" s="3456"/>
      <c r="F90" s="3456" t="str">
        <f>I27</f>
        <v>中楼层/6层</v>
      </c>
      <c r="G90" s="503"/>
      <c r="H90" s="504"/>
      <c r="I90" s="504"/>
      <c r="J90" s="504"/>
      <c r="K90" s="504"/>
      <c r="L90" s="505"/>
      <c r="M90" s="506"/>
      <c r="N90" s="935"/>
      <c r="O90" s="935"/>
      <c r="P90" s="1923"/>
      <c r="Q90" s="508"/>
    </row>
    <row r="91" spans="1:17" s="422" customFormat="1" ht="14.4" thickBot="1">
      <c r="A91" s="502"/>
      <c r="B91" s="492"/>
      <c r="C91" s="509">
        <v>100</v>
      </c>
      <c r="D91" s="509">
        <v>98</v>
      </c>
      <c r="E91" s="509"/>
      <c r="F91" s="509">
        <v>100</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3422</v>
      </c>
      <c r="D100" s="3453" t="s">
        <v>3423</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84</v>
      </c>
      <c r="H104" s="485"/>
      <c r="I104" s="485"/>
      <c r="J104" s="485"/>
      <c r="K104" s="485"/>
      <c r="L104" s="485"/>
      <c r="M104" s="485"/>
      <c r="N104" s="934"/>
      <c r="O104" s="934"/>
      <c r="P104" s="1923"/>
      <c r="Q104" s="508"/>
    </row>
    <row r="105" spans="1:17" ht="15" thickTop="1">
      <c r="A105" s="548"/>
      <c r="B105" s="487" t="s">
        <v>1737</v>
      </c>
      <c r="C105" s="3451" t="s">
        <v>3426</v>
      </c>
      <c r="D105" s="3451" t="s">
        <v>3553</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94</v>
      </c>
      <c r="E123" s="493">
        <f t="shared" si="32"/>
        <v>88</v>
      </c>
      <c r="F123" s="493">
        <f t="shared" si="32"/>
        <v>82</v>
      </c>
      <c r="G123" s="493">
        <f t="shared" si="32"/>
        <v>76</v>
      </c>
      <c r="H123" s="493">
        <f t="shared" si="32"/>
        <v>70</v>
      </c>
      <c r="I123" s="493">
        <f t="shared" si="32"/>
        <v>64</v>
      </c>
      <c r="J123" s="493">
        <f t="shared" si="32"/>
        <v>58</v>
      </c>
      <c r="K123" s="493">
        <f t="shared" si="32"/>
        <v>52</v>
      </c>
      <c r="L123" s="493">
        <f t="shared" si="32"/>
        <v>46</v>
      </c>
      <c r="M123" s="493">
        <f t="shared" si="32"/>
        <v>40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f>B44</f>
        <v>111</v>
      </c>
      <c r="C126" s="503">
        <f>C44</f>
        <v>0</v>
      </c>
      <c r="D126" s="3451" t="s">
        <v>3418</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8" priority="21" stopIfTrue="1" operator="containsText" text="超过">
      <formula>NOT(ISERROR(SEARCH("超过",F52)))</formula>
    </cfRule>
  </conditionalFormatting>
  <conditionalFormatting sqref="J54">
    <cfRule type="containsText" dxfId="157" priority="20" stopIfTrue="1" operator="containsText" text="超过">
      <formula>NOT(ISERROR(SEARCH("超过",J54)))</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J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G54">
    <cfRule type="expression" dxfId="152" priority="14" stopIfTrue="1">
      <formula>$H$54="超过30%"</formula>
    </cfRule>
  </conditionalFormatting>
  <conditionalFormatting sqref="E53">
    <cfRule type="expression" dxfId="151" priority="13" stopIfTrue="1">
      <formula>$F$53="超过20%"</formula>
    </cfRule>
  </conditionalFormatting>
  <conditionalFormatting sqref="E54">
    <cfRule type="expression" dxfId="150" priority="12" stopIfTrue="1">
      <formula>$F$54="超过30%"</formula>
    </cfRule>
  </conditionalFormatting>
  <conditionalFormatting sqref="G52">
    <cfRule type="expression" dxfId="149" priority="11" stopIfTrue="1">
      <formula>$H$52="超过30%"</formula>
    </cfRule>
  </conditionalFormatting>
  <conditionalFormatting sqref="G53">
    <cfRule type="expression" dxfId="148" priority="10" stopIfTrue="1">
      <formula>$H$53="超过20%"</formula>
    </cfRule>
  </conditionalFormatting>
  <conditionalFormatting sqref="I52">
    <cfRule type="expression" dxfId="147" priority="9" stopIfTrue="1">
      <formula>$J$52="超过30%"</formula>
    </cfRule>
  </conditionalFormatting>
  <conditionalFormatting sqref="I53">
    <cfRule type="expression" dxfId="146" priority="8" stopIfTrue="1">
      <formula>$J$53="超过20%"</formula>
    </cfRule>
  </conditionalFormatting>
  <conditionalFormatting sqref="I54">
    <cfRule type="expression" dxfId="145" priority="7" stopIfTrue="1">
      <formula>$J$54="超过30%"</formula>
    </cfRule>
  </conditionalFormatting>
  <conditionalFormatting sqref="F48">
    <cfRule type="expression" dxfId="144" priority="6">
      <formula>$D$48="简单平均"</formula>
    </cfRule>
  </conditionalFormatting>
  <conditionalFormatting sqref="H48">
    <cfRule type="expression" dxfId="143" priority="5">
      <formula>$D$48="简单平均"</formula>
    </cfRule>
  </conditionalFormatting>
  <conditionalFormatting sqref="J48">
    <cfRule type="expression" dxfId="142" priority="4">
      <formula>$D$48="简单平均"</formula>
    </cfRule>
  </conditionalFormatting>
  <conditionalFormatting sqref="F7:F25 H7:H25 J7:J25 H38:H46 F38:F46 J27:J46 H27:H36 F27:F36">
    <cfRule type="cellIs" dxfId="141" priority="3" operator="notEqual">
      <formula>100</formula>
    </cfRule>
  </conditionalFormatting>
  <conditionalFormatting sqref="H37 F37">
    <cfRule type="cellIs" dxfId="140" priority="2" operator="notEqual">
      <formula>100</formula>
    </cfRule>
  </conditionalFormatting>
  <conditionalFormatting sqref="J26 H26 F2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54"/>
  <sheetViews>
    <sheetView workbookViewId="0">
      <selection activeCell="H1195" sqref="H1195"/>
    </sheetView>
  </sheetViews>
  <sheetFormatPr defaultRowHeight="14.4"/>
  <cols>
    <col min="1" max="1" width="11.6640625" style="3818" bestFit="1" customWidth="1"/>
    <col min="2" max="2" width="13.44140625" style="3818" bestFit="1" customWidth="1"/>
    <col min="3" max="3" width="9.21875" style="3818" bestFit="1" customWidth="1"/>
    <col min="4" max="4" width="15.44140625" style="3818" bestFit="1" customWidth="1"/>
    <col min="5" max="5" width="12.33203125" style="3818" bestFit="1" customWidth="1"/>
    <col min="6" max="6" width="11.21875" style="3818" bestFit="1" customWidth="1"/>
    <col min="7" max="7" width="11.6640625" style="3818" bestFit="1" customWidth="1"/>
    <col min="8" max="8" width="11.21875" style="3818" bestFit="1" customWidth="1"/>
    <col min="9" max="9" width="9.109375" style="3818" bestFit="1" customWidth="1"/>
    <col min="10" max="16384" width="8.88671875" style="3818"/>
  </cols>
  <sheetData>
    <row r="1" spans="1:9">
      <c r="A1" s="3817" t="s">
        <v>3433</v>
      </c>
      <c r="B1" s="3817" t="s">
        <v>3434</v>
      </c>
      <c r="C1" s="3817" t="s">
        <v>3435</v>
      </c>
      <c r="D1" s="3817" t="s">
        <v>3436</v>
      </c>
      <c r="E1" s="3817" t="s">
        <v>3437</v>
      </c>
      <c r="F1" s="3817" t="s">
        <v>3438</v>
      </c>
      <c r="G1" s="3817" t="s">
        <v>3439</v>
      </c>
      <c r="H1" s="3817" t="s">
        <v>3440</v>
      </c>
      <c r="I1" s="3817" t="s">
        <v>3425</v>
      </c>
    </row>
    <row r="2" spans="1:9" hidden="1">
      <c r="A2" s="3819">
        <v>45993</v>
      </c>
      <c r="B2" s="3817" t="s">
        <v>3441</v>
      </c>
      <c r="C2" s="3817">
        <v>84</v>
      </c>
      <c r="D2" s="3820"/>
      <c r="E2" s="3817" t="s">
        <v>3442</v>
      </c>
      <c r="F2" s="3817">
        <v>0</v>
      </c>
      <c r="G2" s="3817" t="s">
        <v>3443</v>
      </c>
      <c r="H2" s="3817">
        <v>271</v>
      </c>
      <c r="I2" s="3817">
        <v>31889</v>
      </c>
    </row>
    <row r="3" spans="1:9" hidden="1">
      <c r="A3" s="3819">
        <v>45985</v>
      </c>
      <c r="B3" s="3817" t="s">
        <v>3444</v>
      </c>
      <c r="C3" s="3817">
        <v>62</v>
      </c>
      <c r="D3" s="3817" t="s">
        <v>3445</v>
      </c>
      <c r="E3" s="3817" t="s">
        <v>3442</v>
      </c>
      <c r="F3" s="3817">
        <v>223</v>
      </c>
      <c r="G3" s="3817">
        <v>20251110</v>
      </c>
      <c r="H3" s="3817">
        <v>223</v>
      </c>
      <c r="I3" s="3817">
        <v>35566</v>
      </c>
    </row>
    <row r="4" spans="1:9" hidden="1">
      <c r="A4" s="3819">
        <v>45983</v>
      </c>
      <c r="B4" s="3817" t="s">
        <v>3444</v>
      </c>
      <c r="C4" s="3817">
        <v>51</v>
      </c>
      <c r="D4" s="3817" t="s">
        <v>3446</v>
      </c>
      <c r="E4" s="3817" t="s">
        <v>3447</v>
      </c>
      <c r="F4" s="3817">
        <v>189</v>
      </c>
      <c r="G4" s="3817">
        <v>20250529</v>
      </c>
      <c r="H4" s="3817">
        <v>173</v>
      </c>
      <c r="I4" s="3817">
        <v>33895</v>
      </c>
    </row>
    <row r="5" spans="1:9" hidden="1">
      <c r="A5" s="3819">
        <v>45980</v>
      </c>
      <c r="B5" s="3817" t="s">
        <v>3448</v>
      </c>
      <c r="C5" s="3817">
        <v>40</v>
      </c>
      <c r="D5" s="3820"/>
      <c r="E5" s="3817" t="s">
        <v>3429</v>
      </c>
      <c r="F5" s="3817">
        <v>0</v>
      </c>
      <c r="G5" s="3817" t="s">
        <v>3443</v>
      </c>
      <c r="H5" s="3817">
        <v>130</v>
      </c>
      <c r="I5" s="3817">
        <v>31941</v>
      </c>
    </row>
    <row r="6" spans="1:9" hidden="1">
      <c r="A6" s="3819">
        <v>45980</v>
      </c>
      <c r="B6" s="3817" t="s">
        <v>3441</v>
      </c>
      <c r="C6" s="3817">
        <v>58</v>
      </c>
      <c r="D6" s="3820"/>
      <c r="E6" s="3817" t="s">
        <v>3429</v>
      </c>
      <c r="F6" s="3817">
        <v>0</v>
      </c>
      <c r="G6" s="3817" t="s">
        <v>3443</v>
      </c>
      <c r="H6" s="3817">
        <v>170</v>
      </c>
      <c r="I6" s="3817">
        <v>28960</v>
      </c>
    </row>
    <row r="7" spans="1:9" hidden="1">
      <c r="A7" s="3819">
        <v>45978</v>
      </c>
      <c r="B7" s="3817" t="s">
        <v>3449</v>
      </c>
      <c r="C7" s="3817">
        <v>91</v>
      </c>
      <c r="D7" s="3817" t="s">
        <v>3450</v>
      </c>
      <c r="E7" s="3817" t="s">
        <v>3451</v>
      </c>
      <c r="F7" s="3817">
        <v>390</v>
      </c>
      <c r="G7" s="3817">
        <v>20250801</v>
      </c>
      <c r="H7" s="3817">
        <v>335</v>
      </c>
      <c r="I7" s="3817">
        <v>36684</v>
      </c>
    </row>
    <row r="8" spans="1:9" hidden="1">
      <c r="A8" s="3819">
        <v>45977</v>
      </c>
      <c r="B8" s="3817" t="s">
        <v>3444</v>
      </c>
      <c r="C8" s="3817">
        <v>59</v>
      </c>
      <c r="D8" s="3817" t="s">
        <v>3452</v>
      </c>
      <c r="E8" s="3817" t="s">
        <v>3453</v>
      </c>
      <c r="F8" s="3817">
        <v>245</v>
      </c>
      <c r="G8" s="3817">
        <v>20250928</v>
      </c>
      <c r="H8" s="3817">
        <v>245</v>
      </c>
      <c r="I8" s="3817">
        <v>41039</v>
      </c>
    </row>
    <row r="9" spans="1:9" hidden="1">
      <c r="A9" s="3819">
        <v>45971</v>
      </c>
      <c r="B9" s="3817" t="s">
        <v>3444</v>
      </c>
      <c r="C9" s="3817">
        <v>58</v>
      </c>
      <c r="D9" s="3817" t="s">
        <v>3454</v>
      </c>
      <c r="E9" s="3817" t="s">
        <v>3453</v>
      </c>
      <c r="F9" s="3817">
        <v>168</v>
      </c>
      <c r="G9" s="3817">
        <v>20250901</v>
      </c>
      <c r="H9" s="3817">
        <v>162</v>
      </c>
      <c r="I9" s="3817">
        <v>27598</v>
      </c>
    </row>
    <row r="10" spans="1:9" hidden="1">
      <c r="A10" s="3819">
        <v>45963</v>
      </c>
      <c r="B10" s="3817" t="s">
        <v>3444</v>
      </c>
      <c r="C10" s="3817">
        <v>57</v>
      </c>
      <c r="D10" s="3817" t="s">
        <v>3446</v>
      </c>
      <c r="E10" s="3817" t="s">
        <v>3453</v>
      </c>
      <c r="F10" s="3817">
        <v>235</v>
      </c>
      <c r="G10" s="3817">
        <v>20251023</v>
      </c>
      <c r="H10" s="3817">
        <v>205</v>
      </c>
      <c r="I10" s="3817">
        <v>35839</v>
      </c>
    </row>
    <row r="11" spans="1:9" hidden="1">
      <c r="A11" s="3819">
        <v>45960</v>
      </c>
      <c r="B11" s="3817" t="s">
        <v>3449</v>
      </c>
      <c r="C11" s="3817">
        <v>68</v>
      </c>
      <c r="D11" s="3817" t="s">
        <v>3455</v>
      </c>
      <c r="E11" s="3817" t="s">
        <v>3453</v>
      </c>
      <c r="F11" s="3817">
        <v>130</v>
      </c>
      <c r="G11" s="3817">
        <v>20251029</v>
      </c>
      <c r="H11" s="3817">
        <v>130</v>
      </c>
      <c r="I11" s="3817">
        <v>18984</v>
      </c>
    </row>
    <row r="12" spans="1:9" hidden="1">
      <c r="A12" s="3819">
        <v>45959</v>
      </c>
      <c r="B12" s="3817" t="s">
        <v>3441</v>
      </c>
      <c r="C12" s="3817">
        <v>64</v>
      </c>
      <c r="D12" s="3820"/>
      <c r="E12" s="3817" t="s">
        <v>3429</v>
      </c>
      <c r="F12" s="3817">
        <v>0</v>
      </c>
      <c r="G12" s="3817" t="s">
        <v>3443</v>
      </c>
      <c r="H12" s="3817">
        <v>282</v>
      </c>
      <c r="I12" s="3817">
        <v>43518</v>
      </c>
    </row>
    <row r="13" spans="1:9" hidden="1">
      <c r="A13" s="3819">
        <v>45958</v>
      </c>
      <c r="B13" s="3817" t="s">
        <v>3444</v>
      </c>
      <c r="C13" s="3817">
        <v>57</v>
      </c>
      <c r="D13" s="3817" t="s">
        <v>3446</v>
      </c>
      <c r="E13" s="3817" t="s">
        <v>3453</v>
      </c>
      <c r="F13" s="3817">
        <v>218</v>
      </c>
      <c r="G13" s="3819">
        <v>45939</v>
      </c>
      <c r="H13" s="3817">
        <v>554</v>
      </c>
      <c r="I13" s="3817">
        <v>96853</v>
      </c>
    </row>
    <row r="14" spans="1:9" hidden="1">
      <c r="A14" s="3819">
        <v>45950</v>
      </c>
      <c r="B14" s="3817" t="s">
        <v>3441</v>
      </c>
      <c r="C14" s="3817">
        <v>52</v>
      </c>
      <c r="D14" s="3820"/>
      <c r="E14" s="3817" t="s">
        <v>3429</v>
      </c>
      <c r="F14" s="3817">
        <v>0</v>
      </c>
      <c r="G14" s="3817" t="s">
        <v>3443</v>
      </c>
      <c r="H14" s="3817">
        <v>217</v>
      </c>
      <c r="I14" s="3817">
        <v>41333</v>
      </c>
    </row>
    <row r="15" spans="1:9" hidden="1">
      <c r="A15" s="3819">
        <v>45948</v>
      </c>
      <c r="B15" s="3817" t="s">
        <v>3444</v>
      </c>
      <c r="C15" s="3817">
        <v>59</v>
      </c>
      <c r="D15" s="3817" t="s">
        <v>3454</v>
      </c>
      <c r="E15" s="3817" t="s">
        <v>3453</v>
      </c>
      <c r="F15" s="3817">
        <v>181</v>
      </c>
      <c r="G15" s="3819">
        <v>45888</v>
      </c>
      <c r="H15" s="3817">
        <v>165</v>
      </c>
      <c r="I15" s="3817">
        <v>27684</v>
      </c>
    </row>
    <row r="16" spans="1:9" hidden="1">
      <c r="A16" s="3819">
        <v>45945</v>
      </c>
      <c r="B16" s="3817" t="s">
        <v>3441</v>
      </c>
      <c r="C16" s="3817">
        <v>56</v>
      </c>
      <c r="D16" s="3820"/>
      <c r="E16" s="3817" t="s">
        <v>3429</v>
      </c>
      <c r="F16" s="3817">
        <v>0</v>
      </c>
      <c r="G16" s="3817" t="s">
        <v>3443</v>
      </c>
      <c r="H16" s="3817">
        <v>100</v>
      </c>
      <c r="I16" s="3817">
        <v>17636</v>
      </c>
    </row>
    <row r="17" spans="1:9" hidden="1">
      <c r="A17" s="3819">
        <v>45941</v>
      </c>
      <c r="B17" s="3817" t="s">
        <v>3449</v>
      </c>
      <c r="C17" s="3817">
        <v>69</v>
      </c>
      <c r="D17" s="3817" t="s">
        <v>3456</v>
      </c>
      <c r="E17" s="3817" t="s">
        <v>3453</v>
      </c>
      <c r="F17" s="3817">
        <v>288</v>
      </c>
      <c r="G17" s="3819">
        <v>45872</v>
      </c>
      <c r="H17" s="3817">
        <v>273</v>
      </c>
      <c r="I17" s="3817">
        <v>39565</v>
      </c>
    </row>
    <row r="18" spans="1:9" hidden="1">
      <c r="A18" s="3819">
        <v>45941</v>
      </c>
      <c r="B18" s="3817" t="s">
        <v>3444</v>
      </c>
      <c r="C18" s="3817">
        <v>57</v>
      </c>
      <c r="D18" s="3817" t="s">
        <v>3454</v>
      </c>
      <c r="E18" s="3817" t="s">
        <v>3453</v>
      </c>
      <c r="F18" s="3817">
        <v>180</v>
      </c>
      <c r="G18" s="3819">
        <v>45606</v>
      </c>
      <c r="H18" s="3817">
        <v>171</v>
      </c>
      <c r="I18" s="3817">
        <v>29895</v>
      </c>
    </row>
    <row r="19" spans="1:9" hidden="1">
      <c r="A19" s="3819">
        <v>45930</v>
      </c>
      <c r="B19" s="3817" t="s">
        <v>3444</v>
      </c>
      <c r="C19" s="3817">
        <v>49</v>
      </c>
      <c r="D19" s="3817" t="s">
        <v>3452</v>
      </c>
      <c r="E19" s="3817" t="s">
        <v>3457</v>
      </c>
      <c r="F19" s="3817">
        <v>198</v>
      </c>
      <c r="G19" s="3819">
        <v>45894</v>
      </c>
      <c r="H19" s="3817">
        <v>185</v>
      </c>
      <c r="I19" s="3817">
        <v>37290</v>
      </c>
    </row>
    <row r="20" spans="1:9" hidden="1">
      <c r="A20" s="3819">
        <v>45923</v>
      </c>
      <c r="B20" s="3817" t="s">
        <v>3444</v>
      </c>
      <c r="C20" s="3817">
        <v>54</v>
      </c>
      <c r="D20" s="3817" t="s">
        <v>3454</v>
      </c>
      <c r="E20" s="3817" t="s">
        <v>3453</v>
      </c>
      <c r="F20" s="3817">
        <v>208</v>
      </c>
      <c r="G20" s="3819">
        <v>45865</v>
      </c>
      <c r="H20" s="3817">
        <v>184</v>
      </c>
      <c r="I20" s="3817">
        <v>34004</v>
      </c>
    </row>
    <row r="21" spans="1:9" hidden="1">
      <c r="A21" s="3819">
        <v>45917</v>
      </c>
      <c r="B21" s="3817" t="s">
        <v>3444</v>
      </c>
      <c r="C21" s="3817">
        <v>58</v>
      </c>
      <c r="D21" s="3817" t="s">
        <v>3454</v>
      </c>
      <c r="E21" s="3817" t="s">
        <v>3453</v>
      </c>
      <c r="F21" s="3817">
        <v>181</v>
      </c>
      <c r="G21" s="3819">
        <v>45900</v>
      </c>
      <c r="H21" s="3817">
        <v>171</v>
      </c>
      <c r="I21" s="3817">
        <v>29131</v>
      </c>
    </row>
    <row r="22" spans="1:9" hidden="1">
      <c r="A22" s="3819">
        <v>45914</v>
      </c>
      <c r="B22" s="3817" t="s">
        <v>3444</v>
      </c>
      <c r="C22" s="3817">
        <v>57</v>
      </c>
      <c r="D22" s="3817" t="s">
        <v>3456</v>
      </c>
      <c r="E22" s="3817" t="s">
        <v>3453</v>
      </c>
      <c r="F22" s="3817">
        <v>188</v>
      </c>
      <c r="G22" s="3819">
        <v>45884</v>
      </c>
      <c r="H22" s="3817">
        <v>180</v>
      </c>
      <c r="I22" s="3817">
        <v>31468</v>
      </c>
    </row>
    <row r="23" spans="1:9" hidden="1">
      <c r="A23" s="3819">
        <v>45914</v>
      </c>
      <c r="B23" s="3817" t="s">
        <v>3441</v>
      </c>
      <c r="C23" s="3817">
        <v>61</v>
      </c>
      <c r="D23" s="3820"/>
      <c r="E23" s="3817" t="s">
        <v>3429</v>
      </c>
      <c r="F23" s="3817">
        <v>0</v>
      </c>
      <c r="G23" s="3817" t="s">
        <v>3443</v>
      </c>
      <c r="H23" s="3817">
        <v>210</v>
      </c>
      <c r="I23" s="3817">
        <v>34257</v>
      </c>
    </row>
    <row r="24" spans="1:9" hidden="1">
      <c r="A24" s="3819">
        <v>45899</v>
      </c>
      <c r="B24" s="3817" t="s">
        <v>3444</v>
      </c>
      <c r="C24" s="3817">
        <v>55</v>
      </c>
      <c r="D24" s="3817" t="s">
        <v>3454</v>
      </c>
      <c r="E24" s="3817" t="s">
        <v>3453</v>
      </c>
      <c r="F24" s="3817">
        <v>212</v>
      </c>
      <c r="G24" s="3819">
        <v>45887</v>
      </c>
      <c r="H24" s="3817">
        <v>198</v>
      </c>
      <c r="I24" s="3817">
        <v>35895</v>
      </c>
    </row>
    <row r="25" spans="1:9" hidden="1">
      <c r="A25" s="3819">
        <v>45898</v>
      </c>
      <c r="B25" s="3817" t="s">
        <v>3444</v>
      </c>
      <c r="C25" s="3817">
        <v>49</v>
      </c>
      <c r="D25" s="3817" t="s">
        <v>3455</v>
      </c>
      <c r="E25" s="3817" t="s">
        <v>3458</v>
      </c>
      <c r="F25" s="3817">
        <v>175</v>
      </c>
      <c r="G25" s="3819">
        <v>45867</v>
      </c>
      <c r="H25" s="3817">
        <v>172</v>
      </c>
      <c r="I25" s="3817">
        <v>34760</v>
      </c>
    </row>
    <row r="26" spans="1:9" hidden="1">
      <c r="A26" s="3819">
        <v>45897</v>
      </c>
      <c r="B26" s="3817" t="s">
        <v>3444</v>
      </c>
      <c r="C26" s="3817">
        <v>57</v>
      </c>
      <c r="D26" s="3817" t="s">
        <v>3456</v>
      </c>
      <c r="E26" s="3817" t="s">
        <v>3453</v>
      </c>
      <c r="F26" s="3817">
        <v>200</v>
      </c>
      <c r="G26" s="3819">
        <v>45863</v>
      </c>
      <c r="H26" s="3817">
        <v>177</v>
      </c>
      <c r="I26" s="3817">
        <v>30944</v>
      </c>
    </row>
    <row r="27" spans="1:9" hidden="1">
      <c r="A27" s="3819">
        <v>45896</v>
      </c>
      <c r="B27" s="3817" t="s">
        <v>3444</v>
      </c>
      <c r="C27" s="3817">
        <v>73</v>
      </c>
      <c r="D27" s="3817" t="s">
        <v>3459</v>
      </c>
      <c r="E27" s="3817" t="s">
        <v>3460</v>
      </c>
      <c r="F27" s="3817">
        <v>305</v>
      </c>
      <c r="G27" s="3819">
        <v>45844</v>
      </c>
      <c r="H27" s="3817">
        <v>282</v>
      </c>
      <c r="I27" s="3817">
        <v>38300</v>
      </c>
    </row>
    <row r="28" spans="1:9" hidden="1">
      <c r="A28" s="3819">
        <v>45894</v>
      </c>
      <c r="B28" s="3817" t="s">
        <v>3444</v>
      </c>
      <c r="C28" s="3817">
        <v>57</v>
      </c>
      <c r="D28" s="3817" t="s">
        <v>3446</v>
      </c>
      <c r="E28" s="3817" t="s">
        <v>3453</v>
      </c>
      <c r="F28" s="3817">
        <v>208</v>
      </c>
      <c r="G28" s="3817" t="s">
        <v>3461</v>
      </c>
      <c r="H28" s="3817">
        <v>190</v>
      </c>
      <c r="I28" s="3817">
        <v>33216</v>
      </c>
    </row>
    <row r="29" spans="1:9" hidden="1">
      <c r="A29" s="3819">
        <v>45890</v>
      </c>
      <c r="B29" s="3817" t="s">
        <v>3444</v>
      </c>
      <c r="C29" s="3817">
        <v>58</v>
      </c>
      <c r="D29" s="3817" t="s">
        <v>3452</v>
      </c>
      <c r="E29" s="3817" t="s">
        <v>3457</v>
      </c>
      <c r="F29" s="3817">
        <v>189</v>
      </c>
      <c r="G29" s="3819">
        <v>45869</v>
      </c>
      <c r="H29" s="3817">
        <v>181</v>
      </c>
      <c r="I29" s="3817">
        <v>30766</v>
      </c>
    </row>
    <row r="30" spans="1:9" hidden="1">
      <c r="A30" s="3819">
        <v>45869</v>
      </c>
      <c r="B30" s="3817" t="s">
        <v>3444</v>
      </c>
      <c r="C30" s="3817">
        <v>54</v>
      </c>
      <c r="D30" s="3817" t="s">
        <v>3454</v>
      </c>
      <c r="E30" s="3817" t="s">
        <v>3453</v>
      </c>
      <c r="F30" s="3817">
        <v>229</v>
      </c>
      <c r="G30" s="3819">
        <v>45854</v>
      </c>
      <c r="H30" s="3817">
        <v>208</v>
      </c>
      <c r="I30" s="3817">
        <v>38440</v>
      </c>
    </row>
    <row r="31" spans="1:9" hidden="1">
      <c r="A31" s="3819">
        <v>45868</v>
      </c>
      <c r="B31" s="3817" t="s">
        <v>3444</v>
      </c>
      <c r="C31" s="3817">
        <v>64</v>
      </c>
      <c r="D31" s="3817" t="s">
        <v>3462</v>
      </c>
      <c r="E31" s="3817" t="s">
        <v>3429</v>
      </c>
      <c r="F31" s="3817">
        <v>296</v>
      </c>
      <c r="G31" s="3819">
        <v>45830</v>
      </c>
      <c r="H31" s="3817">
        <v>268</v>
      </c>
      <c r="I31" s="3817">
        <v>41351</v>
      </c>
    </row>
    <row r="32" spans="1:9" hidden="1">
      <c r="A32" s="3819">
        <v>45863</v>
      </c>
      <c r="B32" s="3817" t="s">
        <v>3441</v>
      </c>
      <c r="C32" s="3817">
        <v>73</v>
      </c>
      <c r="D32" s="3820"/>
      <c r="E32" s="3817" t="s">
        <v>3463</v>
      </c>
      <c r="F32" s="3817">
        <v>0</v>
      </c>
      <c r="G32" s="3817" t="s">
        <v>3443</v>
      </c>
      <c r="H32" s="3817">
        <v>243</v>
      </c>
      <c r="I32" s="3817">
        <v>33002</v>
      </c>
    </row>
    <row r="33" spans="1:9" hidden="1">
      <c r="A33" s="3819">
        <v>45855</v>
      </c>
      <c r="B33" s="3817" t="s">
        <v>3441</v>
      </c>
      <c r="C33" s="3817">
        <v>52</v>
      </c>
      <c r="D33" s="3820"/>
      <c r="E33" s="3817" t="s">
        <v>3429</v>
      </c>
      <c r="F33" s="3817">
        <v>0</v>
      </c>
      <c r="G33" s="3817" t="s">
        <v>3443</v>
      </c>
      <c r="H33" s="3817">
        <v>257</v>
      </c>
      <c r="I33" s="3817">
        <v>48952</v>
      </c>
    </row>
    <row r="34" spans="1:9" hidden="1">
      <c r="A34" s="3819">
        <v>45848</v>
      </c>
      <c r="B34" s="3817" t="s">
        <v>3444</v>
      </c>
      <c r="C34" s="3817">
        <v>62</v>
      </c>
      <c r="D34" s="3817" t="s">
        <v>3459</v>
      </c>
      <c r="E34" s="3817" t="s">
        <v>3464</v>
      </c>
      <c r="F34" s="3817">
        <v>330</v>
      </c>
      <c r="G34" s="3819">
        <v>45821</v>
      </c>
      <c r="H34" s="3817">
        <v>316</v>
      </c>
      <c r="I34" s="3817">
        <v>50918</v>
      </c>
    </row>
    <row r="35" spans="1:9" hidden="1">
      <c r="A35" s="3819">
        <v>45841</v>
      </c>
      <c r="B35" s="3817" t="s">
        <v>3449</v>
      </c>
      <c r="C35" s="3817">
        <v>72</v>
      </c>
      <c r="D35" s="3817" t="s">
        <v>3446</v>
      </c>
      <c r="E35" s="3817" t="s">
        <v>3465</v>
      </c>
      <c r="F35" s="3817">
        <v>316</v>
      </c>
      <c r="G35" s="3819">
        <v>45800</v>
      </c>
      <c r="H35" s="3817">
        <v>316</v>
      </c>
      <c r="I35" s="3817">
        <v>43490</v>
      </c>
    </row>
    <row r="36" spans="1:9" hidden="1">
      <c r="A36" s="3819">
        <v>45841</v>
      </c>
      <c r="B36" s="3817" t="s">
        <v>3444</v>
      </c>
      <c r="C36" s="3817">
        <v>57</v>
      </c>
      <c r="D36" s="3817" t="s">
        <v>3446</v>
      </c>
      <c r="E36" s="3817" t="s">
        <v>3453</v>
      </c>
      <c r="F36" s="3817">
        <v>208</v>
      </c>
      <c r="G36" s="3819">
        <v>45801</v>
      </c>
      <c r="H36" s="3817">
        <v>208</v>
      </c>
      <c r="I36" s="3817">
        <v>36363</v>
      </c>
    </row>
    <row r="37" spans="1:9" hidden="1">
      <c r="A37" s="3819">
        <v>45833</v>
      </c>
      <c r="B37" s="3817" t="s">
        <v>3441</v>
      </c>
      <c r="C37" s="3817">
        <v>69</v>
      </c>
      <c r="D37" s="3820"/>
      <c r="E37" s="3817" t="s">
        <v>3429</v>
      </c>
      <c r="F37" s="3817">
        <v>0</v>
      </c>
      <c r="G37" s="3817" t="s">
        <v>3443</v>
      </c>
      <c r="H37" s="3817">
        <v>240</v>
      </c>
      <c r="I37" s="3817">
        <v>34393</v>
      </c>
    </row>
    <row r="38" spans="1:9" hidden="1">
      <c r="A38" s="3819">
        <v>45823</v>
      </c>
      <c r="B38" s="3817" t="s">
        <v>3449</v>
      </c>
      <c r="C38" s="3817">
        <v>67</v>
      </c>
      <c r="D38" s="3817" t="s">
        <v>3446</v>
      </c>
      <c r="E38" s="3817" t="s">
        <v>3465</v>
      </c>
      <c r="F38" s="3817">
        <v>335</v>
      </c>
      <c r="G38" s="3819">
        <v>45731</v>
      </c>
      <c r="H38" s="3817">
        <v>315</v>
      </c>
      <c r="I38" s="3817">
        <v>46364</v>
      </c>
    </row>
    <row r="39" spans="1:9" hidden="1">
      <c r="A39" s="3819">
        <v>45823</v>
      </c>
      <c r="B39" s="3817" t="s">
        <v>3444</v>
      </c>
      <c r="C39" s="3817">
        <v>57</v>
      </c>
      <c r="D39" s="3817" t="s">
        <v>3455</v>
      </c>
      <c r="E39" s="3817" t="s">
        <v>3453</v>
      </c>
      <c r="F39" s="3817">
        <v>232</v>
      </c>
      <c r="G39" s="3819">
        <v>45791</v>
      </c>
      <c r="H39" s="3817">
        <v>225</v>
      </c>
      <c r="I39" s="3817">
        <v>39198</v>
      </c>
    </row>
    <row r="40" spans="1:9" hidden="1">
      <c r="A40" s="3819">
        <v>45820</v>
      </c>
      <c r="B40" s="3817" t="s">
        <v>3444</v>
      </c>
      <c r="C40" s="3817">
        <v>56</v>
      </c>
      <c r="D40" s="3817" t="s">
        <v>3446</v>
      </c>
      <c r="E40" s="3817" t="s">
        <v>3457</v>
      </c>
      <c r="F40" s="3817">
        <v>219</v>
      </c>
      <c r="G40" s="3819">
        <v>45640</v>
      </c>
      <c r="H40" s="3817">
        <v>210</v>
      </c>
      <c r="I40" s="3817">
        <v>36971</v>
      </c>
    </row>
    <row r="41" spans="1:9" hidden="1">
      <c r="A41" s="3819">
        <v>45815</v>
      </c>
      <c r="B41" s="3817" t="s">
        <v>3444</v>
      </c>
      <c r="C41" s="3817">
        <v>62</v>
      </c>
      <c r="D41" s="3817" t="s">
        <v>3445</v>
      </c>
      <c r="E41" s="3817" t="s">
        <v>3466</v>
      </c>
      <c r="F41" s="3817">
        <v>270</v>
      </c>
      <c r="G41" s="3819">
        <v>45737</v>
      </c>
      <c r="H41" s="3817">
        <v>232</v>
      </c>
      <c r="I41" s="3817">
        <v>37031</v>
      </c>
    </row>
    <row r="42" spans="1:9" hidden="1">
      <c r="A42" s="3819">
        <v>45812</v>
      </c>
      <c r="B42" s="3817" t="s">
        <v>3444</v>
      </c>
      <c r="C42" s="3817">
        <v>55</v>
      </c>
      <c r="D42" s="3817" t="s">
        <v>3455</v>
      </c>
      <c r="E42" s="3817" t="s">
        <v>3465</v>
      </c>
      <c r="F42" s="3817">
        <v>231</v>
      </c>
      <c r="G42" s="3819">
        <v>45624</v>
      </c>
      <c r="H42" s="3817">
        <v>231</v>
      </c>
      <c r="I42" s="3817">
        <v>41878</v>
      </c>
    </row>
    <row r="43" spans="1:9" hidden="1">
      <c r="A43" s="3819">
        <v>45808</v>
      </c>
      <c r="B43" s="3817" t="s">
        <v>3441</v>
      </c>
      <c r="C43" s="3817">
        <v>69</v>
      </c>
      <c r="D43" s="3820"/>
      <c r="E43" s="3817" t="s">
        <v>3463</v>
      </c>
      <c r="F43" s="3817">
        <v>0</v>
      </c>
      <c r="G43" s="3817" t="s">
        <v>3443</v>
      </c>
      <c r="H43" s="3817">
        <v>341</v>
      </c>
      <c r="I43" s="3817">
        <v>49391</v>
      </c>
    </row>
    <row r="44" spans="1:9" hidden="1">
      <c r="A44" s="3819">
        <v>45804</v>
      </c>
      <c r="B44" s="3817" t="s">
        <v>3444</v>
      </c>
      <c r="C44" s="3817">
        <v>77</v>
      </c>
      <c r="D44" s="3817" t="s">
        <v>3467</v>
      </c>
      <c r="E44" s="3817" t="s">
        <v>3442</v>
      </c>
      <c r="F44" s="3817">
        <v>258</v>
      </c>
      <c r="G44" s="3819">
        <v>45766</v>
      </c>
      <c r="H44" s="3817">
        <v>235</v>
      </c>
      <c r="I44" s="3817">
        <v>30346</v>
      </c>
    </row>
    <row r="45" spans="1:9" hidden="1">
      <c r="A45" s="3819">
        <v>45802</v>
      </c>
      <c r="B45" s="3817" t="s">
        <v>3444</v>
      </c>
      <c r="C45" s="3817">
        <v>62</v>
      </c>
      <c r="D45" s="3817" t="s">
        <v>3459</v>
      </c>
      <c r="E45" s="3817" t="s">
        <v>3468</v>
      </c>
      <c r="F45" s="3817">
        <v>298</v>
      </c>
      <c r="G45" s="3819">
        <v>45794</v>
      </c>
      <c r="H45" s="3817">
        <v>271</v>
      </c>
      <c r="I45" s="3817">
        <v>43221</v>
      </c>
    </row>
    <row r="46" spans="1:9" hidden="1">
      <c r="A46" s="3819">
        <v>45788</v>
      </c>
      <c r="B46" s="3817" t="s">
        <v>3444</v>
      </c>
      <c r="C46" s="3817">
        <v>49</v>
      </c>
      <c r="D46" s="3817" t="s">
        <v>3446</v>
      </c>
      <c r="E46" s="3817" t="s">
        <v>3442</v>
      </c>
      <c r="F46" s="3817">
        <v>208</v>
      </c>
      <c r="G46" s="3819">
        <v>45716</v>
      </c>
      <c r="H46" s="3817">
        <v>198</v>
      </c>
      <c r="I46" s="3817">
        <v>39871</v>
      </c>
    </row>
    <row r="47" spans="1:9" hidden="1">
      <c r="A47" s="3819">
        <v>45782</v>
      </c>
      <c r="B47" s="3817" t="s">
        <v>3444</v>
      </c>
      <c r="C47" s="3817">
        <v>62</v>
      </c>
      <c r="D47" s="3817" t="s">
        <v>3459</v>
      </c>
      <c r="E47" s="3817" t="s">
        <v>3468</v>
      </c>
      <c r="F47" s="3817">
        <v>255</v>
      </c>
      <c r="G47" s="3819">
        <v>45740</v>
      </c>
      <c r="H47" s="3817">
        <v>252</v>
      </c>
      <c r="I47" s="3817">
        <v>40223</v>
      </c>
    </row>
    <row r="48" spans="1:9" hidden="1">
      <c r="A48" s="3819">
        <v>45781</v>
      </c>
      <c r="B48" s="3817" t="s">
        <v>3444</v>
      </c>
      <c r="C48" s="3817">
        <v>57</v>
      </c>
      <c r="D48" s="3817" t="s">
        <v>3456</v>
      </c>
      <c r="E48" s="3817" t="s">
        <v>3453</v>
      </c>
      <c r="F48" s="3817">
        <v>219</v>
      </c>
      <c r="G48" s="3819">
        <v>45726</v>
      </c>
      <c r="H48" s="3817">
        <v>212</v>
      </c>
      <c r="I48" s="3817">
        <v>37062</v>
      </c>
    </row>
    <row r="49" spans="1:9" hidden="1">
      <c r="A49" s="3819">
        <v>45778</v>
      </c>
      <c r="B49" s="3817" t="s">
        <v>3441</v>
      </c>
      <c r="C49" s="3817">
        <v>55</v>
      </c>
      <c r="D49" s="3820"/>
      <c r="E49" s="3817" t="s">
        <v>3442</v>
      </c>
      <c r="F49" s="3817">
        <v>0</v>
      </c>
      <c r="G49" s="3817" t="s">
        <v>3443</v>
      </c>
      <c r="H49" s="3817">
        <v>220</v>
      </c>
      <c r="I49" s="3817">
        <v>39783</v>
      </c>
    </row>
    <row r="50" spans="1:9" hidden="1">
      <c r="A50" s="3819">
        <v>45772</v>
      </c>
      <c r="B50" s="3817" t="s">
        <v>3444</v>
      </c>
      <c r="C50" s="3817">
        <v>54</v>
      </c>
      <c r="D50" s="3817" t="s">
        <v>3446</v>
      </c>
      <c r="E50" s="3817" t="s">
        <v>3453</v>
      </c>
      <c r="F50" s="3817">
        <v>265</v>
      </c>
      <c r="G50" s="3819">
        <v>45713</v>
      </c>
      <c r="H50" s="3817">
        <v>257</v>
      </c>
      <c r="I50" s="3817">
        <v>47069</v>
      </c>
    </row>
    <row r="51" spans="1:9" hidden="1">
      <c r="A51" s="3819">
        <v>45768</v>
      </c>
      <c r="B51" s="3817" t="s">
        <v>3441</v>
      </c>
      <c r="C51" s="3817">
        <v>59</v>
      </c>
      <c r="D51" s="3820"/>
      <c r="E51" s="3817" t="s">
        <v>3429</v>
      </c>
      <c r="F51" s="3817">
        <v>0</v>
      </c>
      <c r="G51" s="3817" t="s">
        <v>3443</v>
      </c>
      <c r="H51" s="3817">
        <v>243</v>
      </c>
      <c r="I51" s="3817">
        <v>40771</v>
      </c>
    </row>
    <row r="52" spans="1:9" hidden="1">
      <c r="A52" s="3819">
        <v>45766</v>
      </c>
      <c r="B52" s="3817" t="s">
        <v>3444</v>
      </c>
      <c r="C52" s="3817">
        <v>58</v>
      </c>
      <c r="D52" s="3817" t="s">
        <v>3454</v>
      </c>
      <c r="E52" s="3817" t="s">
        <v>3453</v>
      </c>
      <c r="F52" s="3817">
        <v>199</v>
      </c>
      <c r="G52" s="3819">
        <v>45740</v>
      </c>
      <c r="H52" s="3817">
        <v>188</v>
      </c>
      <c r="I52" s="3817">
        <v>32027</v>
      </c>
    </row>
    <row r="53" spans="1:9" hidden="1">
      <c r="A53" s="3819">
        <v>45760</v>
      </c>
      <c r="B53" s="3817" t="s">
        <v>3444</v>
      </c>
      <c r="C53" s="3817">
        <v>54</v>
      </c>
      <c r="D53" s="3817" t="s">
        <v>3446</v>
      </c>
      <c r="E53" s="3817" t="s">
        <v>3453</v>
      </c>
      <c r="F53" s="3817">
        <v>265</v>
      </c>
      <c r="G53" s="3819">
        <v>45758</v>
      </c>
      <c r="H53" s="3817">
        <v>259</v>
      </c>
      <c r="I53" s="3817">
        <v>47865</v>
      </c>
    </row>
    <row r="54" spans="1:9" hidden="1">
      <c r="A54" s="3819">
        <v>45748</v>
      </c>
      <c r="B54" s="3817" t="s">
        <v>3441</v>
      </c>
      <c r="C54" s="3817">
        <v>52</v>
      </c>
      <c r="D54" s="3820"/>
      <c r="E54" s="3817" t="s">
        <v>3429</v>
      </c>
      <c r="F54" s="3817">
        <v>0</v>
      </c>
      <c r="G54" s="3817" t="s">
        <v>3443</v>
      </c>
      <c r="H54" s="3817">
        <v>246</v>
      </c>
      <c r="I54" s="3817">
        <v>46857</v>
      </c>
    </row>
    <row r="55" spans="1:9" hidden="1">
      <c r="A55" s="3819">
        <v>45747</v>
      </c>
      <c r="B55" s="3817" t="s">
        <v>3444</v>
      </c>
      <c r="C55" s="3817">
        <v>62</v>
      </c>
      <c r="D55" s="3817" t="s">
        <v>3462</v>
      </c>
      <c r="E55" s="3817" t="s">
        <v>3469</v>
      </c>
      <c r="F55" s="3817">
        <v>358</v>
      </c>
      <c r="G55" s="3819">
        <v>45641</v>
      </c>
      <c r="H55" s="3817">
        <v>338</v>
      </c>
      <c r="I55" s="3817">
        <v>54463</v>
      </c>
    </row>
    <row r="56" spans="1:9" hidden="1">
      <c r="A56" s="3819">
        <v>45747</v>
      </c>
      <c r="B56" s="3817" t="s">
        <v>3444</v>
      </c>
      <c r="C56" s="3817">
        <v>73</v>
      </c>
      <c r="D56" s="3817" t="s">
        <v>3459</v>
      </c>
      <c r="E56" s="3817" t="s">
        <v>3470</v>
      </c>
      <c r="F56" s="3817">
        <v>308</v>
      </c>
      <c r="G56" s="3819">
        <v>45740</v>
      </c>
      <c r="H56" s="3817">
        <v>273</v>
      </c>
      <c r="I56" s="3817">
        <v>37077</v>
      </c>
    </row>
    <row r="57" spans="1:9" hidden="1">
      <c r="A57" s="3819">
        <v>45745</v>
      </c>
      <c r="B57" s="3817" t="s">
        <v>3449</v>
      </c>
      <c r="C57" s="3817">
        <v>70</v>
      </c>
      <c r="D57" s="3817" t="s">
        <v>3446</v>
      </c>
      <c r="E57" s="3817" t="s">
        <v>3453</v>
      </c>
      <c r="F57" s="3817">
        <v>338</v>
      </c>
      <c r="G57" s="3819">
        <v>45734</v>
      </c>
      <c r="H57" s="3817">
        <v>324</v>
      </c>
      <c r="I57" s="3817">
        <v>45762</v>
      </c>
    </row>
    <row r="58" spans="1:9" hidden="1">
      <c r="A58" s="3819">
        <v>45745</v>
      </c>
      <c r="B58" s="3817" t="s">
        <v>3444</v>
      </c>
      <c r="C58" s="3817">
        <v>69</v>
      </c>
      <c r="D58" s="3817" t="s">
        <v>3445</v>
      </c>
      <c r="E58" s="3817" t="s">
        <v>3429</v>
      </c>
      <c r="F58" s="3817">
        <v>308</v>
      </c>
      <c r="G58" s="3819">
        <v>45435</v>
      </c>
      <c r="H58" s="3817">
        <v>283</v>
      </c>
      <c r="I58" s="3817">
        <v>40772</v>
      </c>
    </row>
    <row r="59" spans="1:9" hidden="1">
      <c r="A59" s="3819">
        <v>45744</v>
      </c>
      <c r="B59" s="3817" t="s">
        <v>3444</v>
      </c>
      <c r="C59" s="3817">
        <v>62</v>
      </c>
      <c r="D59" s="3817" t="s">
        <v>3459</v>
      </c>
      <c r="E59" s="3817" t="s">
        <v>3464</v>
      </c>
      <c r="F59" s="3817">
        <v>310</v>
      </c>
      <c r="G59" s="3819">
        <v>45668</v>
      </c>
      <c r="H59" s="3817">
        <v>300</v>
      </c>
      <c r="I59" s="3817">
        <v>47846</v>
      </c>
    </row>
    <row r="60" spans="1:9" hidden="1">
      <c r="A60" s="3819">
        <v>45743</v>
      </c>
      <c r="B60" s="3817" t="s">
        <v>3444</v>
      </c>
      <c r="C60" s="3817">
        <v>57</v>
      </c>
      <c r="D60" s="3817" t="s">
        <v>3446</v>
      </c>
      <c r="E60" s="3817" t="s">
        <v>3453</v>
      </c>
      <c r="F60" s="3817">
        <v>249</v>
      </c>
      <c r="G60" s="3819">
        <v>45571</v>
      </c>
      <c r="H60" s="3817">
        <v>239</v>
      </c>
      <c r="I60" s="3817">
        <v>41783</v>
      </c>
    </row>
    <row r="61" spans="1:9" hidden="1">
      <c r="A61" s="3819">
        <v>45741</v>
      </c>
      <c r="B61" s="3817" t="s">
        <v>3444</v>
      </c>
      <c r="C61" s="3817">
        <v>54</v>
      </c>
      <c r="D61" s="3817" t="s">
        <v>3446</v>
      </c>
      <c r="E61" s="3817" t="s">
        <v>3453</v>
      </c>
      <c r="F61" s="3817">
        <v>275</v>
      </c>
      <c r="G61" s="3819">
        <v>45715</v>
      </c>
      <c r="H61" s="3817">
        <v>262</v>
      </c>
      <c r="I61" s="3817">
        <v>47985</v>
      </c>
    </row>
    <row r="62" spans="1:9" hidden="1">
      <c r="A62" s="3819">
        <v>45739</v>
      </c>
      <c r="B62" s="3817" t="s">
        <v>3444</v>
      </c>
      <c r="C62" s="3817">
        <v>57</v>
      </c>
      <c r="D62" s="3817" t="s">
        <v>3456</v>
      </c>
      <c r="E62" s="3817" t="s">
        <v>3453</v>
      </c>
      <c r="F62" s="3817">
        <v>239</v>
      </c>
      <c r="G62" s="3819">
        <v>45721</v>
      </c>
      <c r="H62" s="3817">
        <v>225</v>
      </c>
      <c r="I62" s="3817">
        <v>39335</v>
      </c>
    </row>
    <row r="63" spans="1:9" hidden="1">
      <c r="A63" s="3819">
        <v>45739</v>
      </c>
      <c r="B63" s="3817" t="s">
        <v>3471</v>
      </c>
      <c r="C63" s="3817">
        <v>40</v>
      </c>
      <c r="D63" s="3817" t="s">
        <v>3456</v>
      </c>
      <c r="E63" s="3817" t="s">
        <v>3429</v>
      </c>
      <c r="F63" s="3817">
        <v>179</v>
      </c>
      <c r="G63" s="3819">
        <v>45674</v>
      </c>
      <c r="H63" s="3817">
        <v>165</v>
      </c>
      <c r="I63" s="3817">
        <v>40540</v>
      </c>
    </row>
    <row r="64" spans="1:9" hidden="1">
      <c r="A64" s="3819">
        <v>45733</v>
      </c>
      <c r="B64" s="3817" t="s">
        <v>3449</v>
      </c>
      <c r="C64" s="3817">
        <v>69</v>
      </c>
      <c r="D64" s="3817" t="s">
        <v>3455</v>
      </c>
      <c r="E64" s="3817" t="s">
        <v>3457</v>
      </c>
      <c r="F64" s="3817">
        <v>298</v>
      </c>
      <c r="G64" s="3819">
        <v>45564</v>
      </c>
      <c r="H64" s="3817">
        <v>278</v>
      </c>
      <c r="I64" s="3817">
        <v>40051</v>
      </c>
    </row>
    <row r="65" spans="1:9" hidden="1">
      <c r="A65" s="3819">
        <v>45732</v>
      </c>
      <c r="B65" s="3817" t="s">
        <v>3441</v>
      </c>
      <c r="C65" s="3817">
        <v>55</v>
      </c>
      <c r="D65" s="3820"/>
      <c r="E65" s="3817" t="s">
        <v>3463</v>
      </c>
      <c r="F65" s="3817">
        <v>0</v>
      </c>
      <c r="G65" s="3817" t="s">
        <v>3443</v>
      </c>
      <c r="H65" s="3817">
        <v>220</v>
      </c>
      <c r="I65" s="3817">
        <v>39355</v>
      </c>
    </row>
    <row r="66" spans="1:9" hidden="1">
      <c r="A66" s="3819">
        <v>45731</v>
      </c>
      <c r="B66" s="3817" t="s">
        <v>3471</v>
      </c>
      <c r="C66" s="3817">
        <v>46</v>
      </c>
      <c r="D66" s="3817" t="s">
        <v>3456</v>
      </c>
      <c r="E66" s="3817" t="s">
        <v>3442</v>
      </c>
      <c r="F66" s="3817">
        <v>169</v>
      </c>
      <c r="G66" s="3819">
        <v>45729</v>
      </c>
      <c r="H66" s="3817">
        <v>165</v>
      </c>
      <c r="I66" s="3817">
        <v>35606</v>
      </c>
    </row>
    <row r="67" spans="1:9" hidden="1">
      <c r="A67" s="3819">
        <v>45730</v>
      </c>
      <c r="B67" s="3817" t="s">
        <v>3441</v>
      </c>
      <c r="C67" s="3817">
        <v>69</v>
      </c>
      <c r="D67" s="3820"/>
      <c r="E67" s="3817" t="s">
        <v>3442</v>
      </c>
      <c r="F67" s="3817">
        <v>0</v>
      </c>
      <c r="G67" s="3817" t="s">
        <v>3443</v>
      </c>
      <c r="H67" s="3817">
        <v>250</v>
      </c>
      <c r="I67" s="3817">
        <v>36226</v>
      </c>
    </row>
    <row r="68" spans="1:9" hidden="1">
      <c r="A68" s="3819">
        <v>45724</v>
      </c>
      <c r="B68" s="3817" t="s">
        <v>3444</v>
      </c>
      <c r="C68" s="3817">
        <v>64</v>
      </c>
      <c r="D68" s="3817" t="s">
        <v>3459</v>
      </c>
      <c r="E68" s="3817" t="s">
        <v>3429</v>
      </c>
      <c r="F68" s="3817">
        <v>360</v>
      </c>
      <c r="G68" s="3819">
        <v>45695</v>
      </c>
      <c r="H68" s="3817">
        <v>343</v>
      </c>
      <c r="I68" s="3817">
        <v>52923</v>
      </c>
    </row>
    <row r="69" spans="1:9" hidden="1">
      <c r="A69" s="3819">
        <v>45723</v>
      </c>
      <c r="B69" s="3817" t="s">
        <v>3444</v>
      </c>
      <c r="C69" s="3817">
        <v>57</v>
      </c>
      <c r="D69" s="3817" t="s">
        <v>3455</v>
      </c>
      <c r="E69" s="3817" t="s">
        <v>3453</v>
      </c>
      <c r="F69" s="3817">
        <v>198</v>
      </c>
      <c r="G69" s="3819">
        <v>45695</v>
      </c>
      <c r="H69" s="3817">
        <v>198</v>
      </c>
      <c r="I69" s="3817">
        <v>34494</v>
      </c>
    </row>
    <row r="70" spans="1:9" hidden="1">
      <c r="A70" s="3819">
        <v>45719</v>
      </c>
      <c r="B70" s="3817" t="s">
        <v>3441</v>
      </c>
      <c r="C70" s="3817">
        <v>57</v>
      </c>
      <c r="D70" s="3820"/>
      <c r="E70" s="3817" t="s">
        <v>3429</v>
      </c>
      <c r="F70" s="3817">
        <v>0</v>
      </c>
      <c r="G70" s="3817" t="s">
        <v>3443</v>
      </c>
      <c r="H70" s="3817">
        <v>278</v>
      </c>
      <c r="I70" s="3817">
        <v>48516</v>
      </c>
    </row>
    <row r="71" spans="1:9" hidden="1">
      <c r="A71" s="3819">
        <v>45714</v>
      </c>
      <c r="B71" s="3817" t="s">
        <v>3471</v>
      </c>
      <c r="C71" s="3817">
        <v>45</v>
      </c>
      <c r="D71" s="3817" t="s">
        <v>3459</v>
      </c>
      <c r="E71" s="3817" t="s">
        <v>3464</v>
      </c>
      <c r="F71" s="3817">
        <v>225</v>
      </c>
      <c r="G71" s="3819">
        <v>45627</v>
      </c>
      <c r="H71" s="3817">
        <v>197</v>
      </c>
      <c r="I71" s="3817">
        <v>43173</v>
      </c>
    </row>
    <row r="72" spans="1:9" hidden="1">
      <c r="A72" s="3819">
        <v>45713</v>
      </c>
      <c r="B72" s="3817" t="s">
        <v>3441</v>
      </c>
      <c r="C72" s="3817">
        <v>73</v>
      </c>
      <c r="D72" s="3820"/>
      <c r="E72" s="3817" t="s">
        <v>3442</v>
      </c>
      <c r="F72" s="3817">
        <v>0</v>
      </c>
      <c r="G72" s="3817" t="s">
        <v>3443</v>
      </c>
      <c r="H72" s="3817">
        <v>332</v>
      </c>
      <c r="I72" s="3817">
        <v>45090</v>
      </c>
    </row>
    <row r="73" spans="1:9" hidden="1">
      <c r="A73" s="3819">
        <v>45713</v>
      </c>
      <c r="B73" s="3817" t="s">
        <v>3444</v>
      </c>
      <c r="C73" s="3817">
        <v>61</v>
      </c>
      <c r="D73" s="3817" t="s">
        <v>3445</v>
      </c>
      <c r="E73" s="3817" t="s">
        <v>3464</v>
      </c>
      <c r="F73" s="3817">
        <v>366</v>
      </c>
      <c r="G73" s="3819">
        <v>45621</v>
      </c>
      <c r="H73" s="3817">
        <v>346</v>
      </c>
      <c r="I73" s="3817">
        <v>56077</v>
      </c>
    </row>
    <row r="74" spans="1:9" hidden="1">
      <c r="A74" s="3819">
        <v>45707</v>
      </c>
      <c r="B74" s="3817" t="s">
        <v>3444</v>
      </c>
      <c r="C74" s="3817">
        <v>57</v>
      </c>
      <c r="D74" s="3817" t="s">
        <v>3446</v>
      </c>
      <c r="E74" s="3817" t="s">
        <v>3453</v>
      </c>
      <c r="F74" s="3817">
        <v>229</v>
      </c>
      <c r="G74" s="3819">
        <v>45673</v>
      </c>
      <c r="H74" s="3817">
        <v>225</v>
      </c>
      <c r="I74" s="3817">
        <v>39198</v>
      </c>
    </row>
    <row r="75" spans="1:9" hidden="1">
      <c r="A75" s="3819">
        <v>45706</v>
      </c>
      <c r="B75" s="3817" t="s">
        <v>3444</v>
      </c>
      <c r="C75" s="3817">
        <v>55</v>
      </c>
      <c r="D75" s="3817" t="s">
        <v>3446</v>
      </c>
      <c r="E75" s="3817" t="s">
        <v>3453</v>
      </c>
      <c r="F75" s="3817">
        <v>258</v>
      </c>
      <c r="G75" s="3819">
        <v>45702</v>
      </c>
      <c r="H75" s="3817">
        <v>245</v>
      </c>
      <c r="I75" s="3817">
        <v>44223</v>
      </c>
    </row>
    <row r="76" spans="1:9" hidden="1">
      <c r="A76" s="3819">
        <v>45704</v>
      </c>
      <c r="B76" s="3817" t="s">
        <v>3449</v>
      </c>
      <c r="C76" s="3817">
        <v>69</v>
      </c>
      <c r="D76" s="3817" t="s">
        <v>3446</v>
      </c>
      <c r="E76" s="3817" t="s">
        <v>3453</v>
      </c>
      <c r="F76" s="3817">
        <v>355</v>
      </c>
      <c r="G76" s="3819">
        <v>45597</v>
      </c>
      <c r="H76" s="3817">
        <v>339</v>
      </c>
      <c r="I76" s="3817">
        <v>49123</v>
      </c>
    </row>
    <row r="77" spans="1:9" hidden="1">
      <c r="A77" s="3819">
        <v>45704</v>
      </c>
      <c r="B77" s="3817" t="s">
        <v>3444</v>
      </c>
      <c r="C77" s="3817">
        <v>59</v>
      </c>
      <c r="D77" s="3817" t="s">
        <v>3446</v>
      </c>
      <c r="E77" s="3817" t="s">
        <v>3453</v>
      </c>
      <c r="F77" s="3817">
        <v>238</v>
      </c>
      <c r="G77" s="3819">
        <v>45479</v>
      </c>
      <c r="H77" s="3817">
        <v>226</v>
      </c>
      <c r="I77" s="3817">
        <v>37919</v>
      </c>
    </row>
    <row r="78" spans="1:9" hidden="1">
      <c r="A78" s="3819">
        <v>45700</v>
      </c>
      <c r="B78" s="3817" t="s">
        <v>3444</v>
      </c>
      <c r="C78" s="3817">
        <v>56</v>
      </c>
      <c r="D78" s="3817" t="s">
        <v>3455</v>
      </c>
      <c r="E78" s="3817" t="s">
        <v>3453</v>
      </c>
      <c r="F78" s="3817">
        <v>259</v>
      </c>
      <c r="G78" s="3819">
        <v>45661</v>
      </c>
      <c r="H78" s="3817">
        <v>239</v>
      </c>
      <c r="I78" s="3817">
        <v>42678</v>
      </c>
    </row>
    <row r="79" spans="1:9" hidden="1">
      <c r="A79" s="3819">
        <v>45673</v>
      </c>
      <c r="B79" s="3817" t="s">
        <v>3441</v>
      </c>
      <c r="C79" s="3817">
        <v>64</v>
      </c>
      <c r="D79" s="3820"/>
      <c r="E79" s="3817" t="s">
        <v>3429</v>
      </c>
      <c r="F79" s="3817">
        <v>0</v>
      </c>
      <c r="G79" s="3817" t="s">
        <v>3443</v>
      </c>
      <c r="H79" s="3817">
        <v>339</v>
      </c>
      <c r="I79" s="3817">
        <v>52314</v>
      </c>
    </row>
    <row r="80" spans="1:9" hidden="1">
      <c r="A80" s="3819">
        <v>45669</v>
      </c>
      <c r="B80" s="3817" t="s">
        <v>3441</v>
      </c>
      <c r="C80" s="3817">
        <v>54</v>
      </c>
      <c r="D80" s="3820"/>
      <c r="E80" s="3817" t="s">
        <v>3429</v>
      </c>
      <c r="F80" s="3817">
        <v>0</v>
      </c>
      <c r="G80" s="3817" t="s">
        <v>3443</v>
      </c>
      <c r="H80" s="3817">
        <v>253</v>
      </c>
      <c r="I80" s="3817">
        <v>46765</v>
      </c>
    </row>
    <row r="81" spans="1:9" hidden="1">
      <c r="A81" s="3819">
        <v>45668</v>
      </c>
      <c r="B81" s="3817" t="s">
        <v>3441</v>
      </c>
      <c r="C81" s="3817">
        <v>38</v>
      </c>
      <c r="D81" s="3820"/>
      <c r="E81" s="3817" t="s">
        <v>3442</v>
      </c>
      <c r="F81" s="3817">
        <v>0</v>
      </c>
      <c r="G81" s="3817" t="s">
        <v>3443</v>
      </c>
      <c r="H81" s="3817">
        <v>160</v>
      </c>
      <c r="I81" s="3817">
        <v>41131</v>
      </c>
    </row>
    <row r="82" spans="1:9" hidden="1">
      <c r="A82" s="3819">
        <v>45667</v>
      </c>
      <c r="B82" s="3817" t="s">
        <v>3444</v>
      </c>
      <c r="C82" s="3817">
        <v>69</v>
      </c>
      <c r="D82" s="3817" t="s">
        <v>3472</v>
      </c>
      <c r="E82" s="3817" t="s">
        <v>3470</v>
      </c>
      <c r="F82" s="3817">
        <v>256</v>
      </c>
      <c r="G82" s="3819">
        <v>45606</v>
      </c>
      <c r="H82" s="3817">
        <v>235</v>
      </c>
      <c r="I82" s="3817">
        <v>33696</v>
      </c>
    </row>
    <row r="83" spans="1:9" hidden="1">
      <c r="A83" s="3819">
        <v>45664</v>
      </c>
      <c r="B83" s="3817" t="s">
        <v>3444</v>
      </c>
      <c r="C83" s="3817">
        <v>62</v>
      </c>
      <c r="D83" s="3817" t="s">
        <v>3462</v>
      </c>
      <c r="E83" s="3817" t="s">
        <v>3468</v>
      </c>
      <c r="F83" s="3817">
        <v>313</v>
      </c>
      <c r="G83" s="3819">
        <v>45585</v>
      </c>
      <c r="H83" s="3817">
        <v>295</v>
      </c>
      <c r="I83" s="3817">
        <v>47086</v>
      </c>
    </row>
    <row r="84" spans="1:9" hidden="1">
      <c r="A84" s="3819">
        <v>45662</v>
      </c>
      <c r="B84" s="3817" t="s">
        <v>3473</v>
      </c>
      <c r="C84" s="3817">
        <v>84</v>
      </c>
      <c r="D84" s="3817" t="s">
        <v>3450</v>
      </c>
      <c r="E84" s="3817" t="s">
        <v>3474</v>
      </c>
      <c r="F84" s="3817">
        <v>385</v>
      </c>
      <c r="G84" s="3819">
        <v>45315</v>
      </c>
      <c r="H84" s="3817">
        <v>357</v>
      </c>
      <c r="I84" s="3817">
        <v>42009</v>
      </c>
    </row>
    <row r="85" spans="1:9" hidden="1">
      <c r="A85" s="3819">
        <v>45658</v>
      </c>
      <c r="B85" s="3817" t="s">
        <v>3475</v>
      </c>
      <c r="C85" s="3817">
        <v>77</v>
      </c>
      <c r="D85" s="3820"/>
      <c r="E85" s="3817" t="s">
        <v>3429</v>
      </c>
      <c r="F85" s="3817">
        <v>0</v>
      </c>
      <c r="G85" s="3817" t="s">
        <v>3443</v>
      </c>
      <c r="H85" s="3817">
        <v>349</v>
      </c>
      <c r="I85" s="3817">
        <v>45324</v>
      </c>
    </row>
    <row r="86" spans="1:9" hidden="1">
      <c r="A86" s="3819">
        <v>45657</v>
      </c>
      <c r="B86" s="3817" t="s">
        <v>3444</v>
      </c>
      <c r="C86" s="3817">
        <v>69</v>
      </c>
      <c r="D86" s="3817" t="s">
        <v>3476</v>
      </c>
      <c r="E86" s="3817" t="s">
        <v>3477</v>
      </c>
      <c r="F86" s="3817">
        <v>265</v>
      </c>
      <c r="G86" s="3819">
        <v>45542</v>
      </c>
      <c r="H86" s="3817">
        <v>260</v>
      </c>
      <c r="I86" s="3817">
        <v>37469</v>
      </c>
    </row>
    <row r="87" spans="1:9" hidden="1">
      <c r="A87" s="3819">
        <v>45657</v>
      </c>
      <c r="B87" s="3817" t="s">
        <v>3444</v>
      </c>
      <c r="C87" s="3817">
        <v>57</v>
      </c>
      <c r="D87" s="3817" t="s">
        <v>3446</v>
      </c>
      <c r="E87" s="3817" t="s">
        <v>3453</v>
      </c>
      <c r="F87" s="3817">
        <v>239</v>
      </c>
      <c r="G87" s="3819">
        <v>45656</v>
      </c>
      <c r="H87" s="3817">
        <v>220</v>
      </c>
      <c r="I87" s="3817">
        <v>38461</v>
      </c>
    </row>
    <row r="88" spans="1:9" hidden="1">
      <c r="A88" s="3819">
        <v>45654</v>
      </c>
      <c r="B88" s="3817" t="s">
        <v>3444</v>
      </c>
      <c r="C88" s="3817">
        <v>55</v>
      </c>
      <c r="D88" s="3817" t="s">
        <v>3446</v>
      </c>
      <c r="E88" s="3817" t="s">
        <v>3465</v>
      </c>
      <c r="F88" s="3817">
        <v>248</v>
      </c>
      <c r="G88" s="3819">
        <v>45651</v>
      </c>
      <c r="H88" s="3817">
        <v>227</v>
      </c>
      <c r="I88" s="3817">
        <v>41153</v>
      </c>
    </row>
    <row r="89" spans="1:9" hidden="1">
      <c r="A89" s="3819">
        <v>45654</v>
      </c>
      <c r="B89" s="3817" t="s">
        <v>3471</v>
      </c>
      <c r="C89" s="3817">
        <v>42</v>
      </c>
      <c r="D89" s="3817" t="s">
        <v>3454</v>
      </c>
      <c r="E89" s="3817" t="s">
        <v>3429</v>
      </c>
      <c r="F89" s="3817">
        <v>175</v>
      </c>
      <c r="G89" s="3819">
        <v>45461</v>
      </c>
      <c r="H89" s="3817">
        <v>170</v>
      </c>
      <c r="I89" s="3817">
        <v>40094</v>
      </c>
    </row>
    <row r="90" spans="1:9" hidden="1">
      <c r="A90" s="3819">
        <v>45649</v>
      </c>
      <c r="B90" s="3817" t="s">
        <v>3444</v>
      </c>
      <c r="C90" s="3817">
        <v>57</v>
      </c>
      <c r="D90" s="3817" t="s">
        <v>3456</v>
      </c>
      <c r="E90" s="3817" t="s">
        <v>3453</v>
      </c>
      <c r="F90" s="3817">
        <v>249</v>
      </c>
      <c r="G90" s="3819">
        <v>45360</v>
      </c>
      <c r="H90" s="3817">
        <v>238</v>
      </c>
      <c r="I90" s="3817">
        <v>41463</v>
      </c>
    </row>
    <row r="91" spans="1:9" hidden="1">
      <c r="A91" s="3819">
        <v>45646</v>
      </c>
      <c r="B91" s="3817" t="s">
        <v>3444</v>
      </c>
      <c r="C91" s="3817">
        <v>73</v>
      </c>
      <c r="D91" s="3817" t="s">
        <v>3445</v>
      </c>
      <c r="E91" s="3817" t="s">
        <v>3478</v>
      </c>
      <c r="F91" s="3817">
        <v>320</v>
      </c>
      <c r="G91" s="3819">
        <v>45537</v>
      </c>
      <c r="H91" s="3817">
        <v>300</v>
      </c>
      <c r="I91" s="3817">
        <v>40744</v>
      </c>
    </row>
    <row r="92" spans="1:9" hidden="1">
      <c r="A92" s="3819">
        <v>45641</v>
      </c>
      <c r="B92" s="3817" t="s">
        <v>3441</v>
      </c>
      <c r="C92" s="3817">
        <v>52</v>
      </c>
      <c r="D92" s="3820"/>
      <c r="E92" s="3817" t="s">
        <v>3429</v>
      </c>
      <c r="F92" s="3817">
        <v>0</v>
      </c>
      <c r="G92" s="3817" t="s">
        <v>3443</v>
      </c>
      <c r="H92" s="3817">
        <v>241</v>
      </c>
      <c r="I92" s="3817">
        <v>45904</v>
      </c>
    </row>
    <row r="93" spans="1:9" hidden="1">
      <c r="A93" s="3819">
        <v>45636</v>
      </c>
      <c r="B93" s="3817" t="s">
        <v>3444</v>
      </c>
      <c r="C93" s="3817">
        <v>54</v>
      </c>
      <c r="D93" s="3817" t="s">
        <v>3455</v>
      </c>
      <c r="E93" s="3817" t="s">
        <v>3457</v>
      </c>
      <c r="F93" s="3817">
        <v>245</v>
      </c>
      <c r="G93" s="3819">
        <v>45635</v>
      </c>
      <c r="H93" s="3817">
        <v>229</v>
      </c>
      <c r="I93" s="3817">
        <v>42211</v>
      </c>
    </row>
    <row r="94" spans="1:9" hidden="1">
      <c r="A94" s="3819">
        <v>45635</v>
      </c>
      <c r="B94" s="3817" t="s">
        <v>3441</v>
      </c>
      <c r="C94" s="3817">
        <v>57</v>
      </c>
      <c r="D94" s="3820"/>
      <c r="E94" s="3817" t="s">
        <v>3429</v>
      </c>
      <c r="F94" s="3817">
        <v>0</v>
      </c>
      <c r="G94" s="3817" t="s">
        <v>3443</v>
      </c>
      <c r="H94" s="3817">
        <v>272</v>
      </c>
      <c r="I94" s="3817">
        <v>47552</v>
      </c>
    </row>
    <row r="95" spans="1:9" hidden="1">
      <c r="A95" s="3819">
        <v>45634</v>
      </c>
      <c r="B95" s="3817" t="s">
        <v>3444</v>
      </c>
      <c r="C95" s="3817">
        <v>84</v>
      </c>
      <c r="D95" s="3817" t="s">
        <v>3450</v>
      </c>
      <c r="E95" s="3817" t="s">
        <v>3479</v>
      </c>
      <c r="F95" s="3817">
        <v>355</v>
      </c>
      <c r="G95" s="3819">
        <v>45578</v>
      </c>
      <c r="H95" s="3817">
        <v>336</v>
      </c>
      <c r="I95" s="3817">
        <v>39538</v>
      </c>
    </row>
    <row r="96" spans="1:9" hidden="1">
      <c r="A96" s="3819">
        <v>45634</v>
      </c>
      <c r="B96" s="3817" t="s">
        <v>3444</v>
      </c>
      <c r="C96" s="3817">
        <v>77</v>
      </c>
      <c r="D96" s="3817" t="s">
        <v>3480</v>
      </c>
      <c r="E96" s="3817" t="s">
        <v>3463</v>
      </c>
      <c r="F96" s="3817">
        <v>308</v>
      </c>
      <c r="G96" s="3819">
        <v>45476</v>
      </c>
      <c r="H96" s="3817">
        <v>288</v>
      </c>
      <c r="I96" s="3817">
        <v>37190</v>
      </c>
    </row>
    <row r="97" spans="1:9" hidden="1">
      <c r="A97" s="3819">
        <v>45634</v>
      </c>
      <c r="B97" s="3817" t="s">
        <v>3449</v>
      </c>
      <c r="C97" s="3817">
        <v>67</v>
      </c>
      <c r="D97" s="3817" t="s">
        <v>3456</v>
      </c>
      <c r="E97" s="3817" t="s">
        <v>3481</v>
      </c>
      <c r="F97" s="3817">
        <v>280</v>
      </c>
      <c r="G97" s="3819">
        <v>45607</v>
      </c>
      <c r="H97" s="3817">
        <v>265</v>
      </c>
      <c r="I97" s="3817">
        <v>39005</v>
      </c>
    </row>
    <row r="98" spans="1:9" hidden="1">
      <c r="A98" s="3819">
        <v>45627</v>
      </c>
      <c r="B98" s="3817" t="s">
        <v>3441</v>
      </c>
      <c r="C98" s="3817">
        <v>55</v>
      </c>
      <c r="D98" s="3820"/>
      <c r="E98" s="3817" t="s">
        <v>3429</v>
      </c>
      <c r="F98" s="3817">
        <v>0</v>
      </c>
      <c r="G98" s="3817" t="s">
        <v>3443</v>
      </c>
      <c r="H98" s="3817">
        <v>198</v>
      </c>
      <c r="I98" s="3817">
        <v>35934</v>
      </c>
    </row>
    <row r="99" spans="1:9" hidden="1">
      <c r="A99" s="3819">
        <v>45627</v>
      </c>
      <c r="B99" s="3817" t="s">
        <v>3449</v>
      </c>
      <c r="C99" s="3817">
        <v>69</v>
      </c>
      <c r="D99" s="3817" t="s">
        <v>3456</v>
      </c>
      <c r="E99" s="3817" t="s">
        <v>3453</v>
      </c>
      <c r="F99" s="3817">
        <v>328</v>
      </c>
      <c r="G99" s="3819">
        <v>45578</v>
      </c>
      <c r="H99" s="3817">
        <v>315</v>
      </c>
      <c r="I99" s="3817">
        <v>45586</v>
      </c>
    </row>
    <row r="100" spans="1:9" hidden="1">
      <c r="A100" s="3819">
        <v>45626</v>
      </c>
      <c r="B100" s="3817" t="s">
        <v>3444</v>
      </c>
      <c r="C100" s="3817">
        <v>59</v>
      </c>
      <c r="D100" s="3817" t="s">
        <v>3454</v>
      </c>
      <c r="E100" s="3817" t="s">
        <v>3453</v>
      </c>
      <c r="F100" s="3817">
        <v>208</v>
      </c>
      <c r="G100" s="3819">
        <v>45585</v>
      </c>
      <c r="H100" s="3817">
        <v>196</v>
      </c>
      <c r="I100" s="3817">
        <v>32885</v>
      </c>
    </row>
    <row r="101" spans="1:9" hidden="1">
      <c r="A101" s="3819">
        <v>45620</v>
      </c>
      <c r="B101" s="3817" t="s">
        <v>3441</v>
      </c>
      <c r="C101" s="3817">
        <v>59</v>
      </c>
      <c r="D101" s="3820"/>
      <c r="E101" s="3817" t="s">
        <v>3429</v>
      </c>
      <c r="F101" s="3817">
        <v>0</v>
      </c>
      <c r="G101" s="3817" t="s">
        <v>3443</v>
      </c>
      <c r="H101" s="3817">
        <v>192</v>
      </c>
      <c r="I101" s="3817">
        <v>32214</v>
      </c>
    </row>
    <row r="102" spans="1:9" hidden="1">
      <c r="A102" s="3819">
        <v>45620</v>
      </c>
      <c r="B102" s="3817" t="s">
        <v>3444</v>
      </c>
      <c r="C102" s="3817">
        <v>54</v>
      </c>
      <c r="D102" s="3817" t="s">
        <v>3456</v>
      </c>
      <c r="E102" s="3817" t="s">
        <v>3453</v>
      </c>
      <c r="F102" s="3817">
        <v>239</v>
      </c>
      <c r="G102" s="3819">
        <v>45577</v>
      </c>
      <c r="H102" s="3817">
        <v>229</v>
      </c>
      <c r="I102" s="3817">
        <v>42321</v>
      </c>
    </row>
    <row r="103" spans="1:9" hidden="1">
      <c r="A103" s="3819">
        <v>45613</v>
      </c>
      <c r="B103" s="3817" t="s">
        <v>3482</v>
      </c>
      <c r="C103" s="3817">
        <v>40</v>
      </c>
      <c r="D103" s="3817" t="s">
        <v>3455</v>
      </c>
      <c r="E103" s="3817" t="s">
        <v>3429</v>
      </c>
      <c r="F103" s="3817">
        <v>157</v>
      </c>
      <c r="G103" s="3819">
        <v>45609</v>
      </c>
      <c r="H103" s="3817">
        <v>155</v>
      </c>
      <c r="I103" s="3817">
        <v>38083</v>
      </c>
    </row>
    <row r="104" spans="1:9" hidden="1">
      <c r="A104" s="3819">
        <v>45611</v>
      </c>
      <c r="B104" s="3817" t="s">
        <v>3444</v>
      </c>
      <c r="C104" s="3817">
        <v>57</v>
      </c>
      <c r="D104" s="3817" t="s">
        <v>3446</v>
      </c>
      <c r="E104" s="3817" t="s">
        <v>3453</v>
      </c>
      <c r="F104" s="3817">
        <v>270</v>
      </c>
      <c r="G104" s="3819">
        <v>45581</v>
      </c>
      <c r="H104" s="3817">
        <v>245</v>
      </c>
      <c r="I104" s="3817">
        <v>42832</v>
      </c>
    </row>
    <row r="105" spans="1:9" hidden="1">
      <c r="A105" s="3819">
        <v>45609</v>
      </c>
      <c r="B105" s="3817" t="s">
        <v>3471</v>
      </c>
      <c r="C105" s="3817">
        <v>45</v>
      </c>
      <c r="D105" s="3817" t="s">
        <v>3459</v>
      </c>
      <c r="E105" s="3817" t="s">
        <v>3442</v>
      </c>
      <c r="F105" s="3817">
        <v>228</v>
      </c>
      <c r="G105" s="3819">
        <v>45548</v>
      </c>
      <c r="H105" s="3817">
        <v>200</v>
      </c>
      <c r="I105" s="3817">
        <v>43830</v>
      </c>
    </row>
    <row r="106" spans="1:9" hidden="1">
      <c r="A106" s="3819">
        <v>45607</v>
      </c>
      <c r="B106" s="3817" t="s">
        <v>3449</v>
      </c>
      <c r="C106" s="3817">
        <v>68</v>
      </c>
      <c r="D106" s="3817" t="s">
        <v>3455</v>
      </c>
      <c r="E106" s="3817" t="s">
        <v>3453</v>
      </c>
      <c r="F106" s="3817">
        <v>330</v>
      </c>
      <c r="G106" s="3819">
        <v>45556</v>
      </c>
      <c r="H106" s="3817">
        <v>318</v>
      </c>
      <c r="I106" s="3817">
        <v>46153</v>
      </c>
    </row>
    <row r="107" spans="1:9" hidden="1">
      <c r="A107" s="3819">
        <v>45606</v>
      </c>
      <c r="B107" s="3817" t="s">
        <v>3444</v>
      </c>
      <c r="C107" s="3817">
        <v>59</v>
      </c>
      <c r="D107" s="3817" t="s">
        <v>3456</v>
      </c>
      <c r="E107" s="3817" t="s">
        <v>3453</v>
      </c>
      <c r="F107" s="3817">
        <v>237</v>
      </c>
      <c r="G107" s="3819">
        <v>45536</v>
      </c>
      <c r="H107" s="3817">
        <v>223</v>
      </c>
      <c r="I107" s="3817">
        <v>37416</v>
      </c>
    </row>
    <row r="108" spans="1:9" hidden="1">
      <c r="A108" s="3819">
        <v>45606</v>
      </c>
      <c r="B108" s="3817" t="s">
        <v>3444</v>
      </c>
      <c r="C108" s="3817">
        <v>68</v>
      </c>
      <c r="D108" s="3817" t="s">
        <v>3446</v>
      </c>
      <c r="E108" s="3817" t="s">
        <v>3453</v>
      </c>
      <c r="F108" s="3817">
        <v>336</v>
      </c>
      <c r="G108" s="3819">
        <v>45588</v>
      </c>
      <c r="H108" s="3817">
        <v>317</v>
      </c>
      <c r="I108" s="3817">
        <v>46115</v>
      </c>
    </row>
    <row r="109" spans="1:9" hidden="1">
      <c r="A109" s="3819">
        <v>45603</v>
      </c>
      <c r="B109" s="3817" t="s">
        <v>3444</v>
      </c>
      <c r="C109" s="3817">
        <v>62</v>
      </c>
      <c r="D109" s="3817" t="s">
        <v>3459</v>
      </c>
      <c r="E109" s="3817" t="s">
        <v>3463</v>
      </c>
      <c r="F109" s="3817">
        <v>280</v>
      </c>
      <c r="G109" s="3819">
        <v>45596</v>
      </c>
      <c r="H109" s="3817">
        <v>270</v>
      </c>
      <c r="I109" s="3817">
        <v>43096</v>
      </c>
    </row>
    <row r="110" spans="1:9" hidden="1">
      <c r="A110" s="3819">
        <v>45603</v>
      </c>
      <c r="B110" s="3817" t="s">
        <v>3448</v>
      </c>
      <c r="C110" s="3817">
        <v>40</v>
      </c>
      <c r="D110" s="3820"/>
      <c r="E110" s="3817" t="s">
        <v>3429</v>
      </c>
      <c r="F110" s="3817">
        <v>0</v>
      </c>
      <c r="G110" s="3817" t="s">
        <v>3443</v>
      </c>
      <c r="H110" s="3817">
        <v>151</v>
      </c>
      <c r="I110" s="3817">
        <v>37009</v>
      </c>
    </row>
    <row r="111" spans="1:9" hidden="1">
      <c r="A111" s="3819">
        <v>45601</v>
      </c>
      <c r="B111" s="3817" t="s">
        <v>3471</v>
      </c>
      <c r="C111" s="3817">
        <v>41</v>
      </c>
      <c r="D111" s="3817" t="s">
        <v>3454</v>
      </c>
      <c r="E111" s="3817" t="s">
        <v>3429</v>
      </c>
      <c r="F111" s="3817">
        <v>166</v>
      </c>
      <c r="G111" s="3819">
        <v>45288</v>
      </c>
      <c r="H111" s="3817">
        <v>159</v>
      </c>
      <c r="I111" s="3817">
        <v>38129</v>
      </c>
    </row>
    <row r="112" spans="1:9" hidden="1">
      <c r="A112" s="3819">
        <v>45599</v>
      </c>
      <c r="B112" s="3817" t="s">
        <v>3444</v>
      </c>
      <c r="C112" s="3817">
        <v>58</v>
      </c>
      <c r="D112" s="3817" t="s">
        <v>3454</v>
      </c>
      <c r="E112" s="3817" t="s">
        <v>3453</v>
      </c>
      <c r="F112" s="3817">
        <v>200</v>
      </c>
      <c r="G112" s="3819">
        <v>45593</v>
      </c>
      <c r="H112" s="3817">
        <v>191</v>
      </c>
      <c r="I112" s="3817">
        <v>32482</v>
      </c>
    </row>
    <row r="113" spans="1:9" hidden="1">
      <c r="A113" s="3819">
        <v>45598</v>
      </c>
      <c r="B113" s="3817" t="s">
        <v>3444</v>
      </c>
      <c r="C113" s="3817">
        <v>58</v>
      </c>
      <c r="D113" s="3817" t="s">
        <v>3454</v>
      </c>
      <c r="E113" s="3817" t="s">
        <v>3453</v>
      </c>
      <c r="F113" s="3817">
        <v>215</v>
      </c>
      <c r="G113" s="3819">
        <v>45585</v>
      </c>
      <c r="H113" s="3817">
        <v>190</v>
      </c>
      <c r="I113" s="3817">
        <v>32312</v>
      </c>
    </row>
    <row r="114" spans="1:9" hidden="1">
      <c r="A114" s="3819">
        <v>45592</v>
      </c>
      <c r="B114" s="3817" t="s">
        <v>3444</v>
      </c>
      <c r="C114" s="3817">
        <v>62</v>
      </c>
      <c r="D114" s="3817" t="s">
        <v>3462</v>
      </c>
      <c r="E114" s="3817" t="s">
        <v>3469</v>
      </c>
      <c r="F114" s="3817">
        <v>370</v>
      </c>
      <c r="G114" s="3819">
        <v>45584</v>
      </c>
      <c r="H114" s="3817">
        <v>340</v>
      </c>
      <c r="I114" s="3817">
        <v>54785</v>
      </c>
    </row>
    <row r="115" spans="1:9" hidden="1">
      <c r="A115" s="3819">
        <v>45591</v>
      </c>
      <c r="B115" s="3817" t="s">
        <v>3449</v>
      </c>
      <c r="C115" s="3817">
        <v>77</v>
      </c>
      <c r="D115" s="3817" t="s">
        <v>3456</v>
      </c>
      <c r="E115" s="3817" t="s">
        <v>3458</v>
      </c>
      <c r="F115" s="3817">
        <v>339</v>
      </c>
      <c r="G115" s="3819">
        <v>45541</v>
      </c>
      <c r="H115" s="3817">
        <v>300</v>
      </c>
      <c r="I115" s="3817">
        <v>38659</v>
      </c>
    </row>
    <row r="116" spans="1:9" hidden="1">
      <c r="A116" s="3819">
        <v>45590</v>
      </c>
      <c r="B116" s="3817" t="s">
        <v>3483</v>
      </c>
      <c r="C116" s="3817">
        <v>84</v>
      </c>
      <c r="D116" s="3820"/>
      <c r="E116" s="3817" t="s">
        <v>3442</v>
      </c>
      <c r="F116" s="3817">
        <v>0</v>
      </c>
      <c r="G116" s="3817" t="s">
        <v>3443</v>
      </c>
      <c r="H116" s="3817">
        <v>358</v>
      </c>
      <c r="I116" s="3817">
        <v>42127</v>
      </c>
    </row>
    <row r="117" spans="1:9" hidden="1">
      <c r="A117" s="3819">
        <v>45586</v>
      </c>
      <c r="B117" s="3817" t="s">
        <v>3444</v>
      </c>
      <c r="C117" s="3817">
        <v>62</v>
      </c>
      <c r="D117" s="3817" t="s">
        <v>3445</v>
      </c>
      <c r="E117" s="3817" t="s">
        <v>3469</v>
      </c>
      <c r="F117" s="3817">
        <v>318</v>
      </c>
      <c r="G117" s="3819">
        <v>45446</v>
      </c>
      <c r="H117" s="3817">
        <v>281</v>
      </c>
      <c r="I117" s="3817">
        <v>44852</v>
      </c>
    </row>
    <row r="118" spans="1:9" hidden="1">
      <c r="A118" s="3819">
        <v>45586</v>
      </c>
      <c r="B118" s="3817" t="s">
        <v>3449</v>
      </c>
      <c r="C118" s="3817">
        <v>68</v>
      </c>
      <c r="D118" s="3817" t="s">
        <v>3455</v>
      </c>
      <c r="E118" s="3817" t="s">
        <v>3453</v>
      </c>
      <c r="F118" s="3817">
        <v>358</v>
      </c>
      <c r="G118" s="3819">
        <v>45410</v>
      </c>
      <c r="H118" s="3817">
        <v>337</v>
      </c>
      <c r="I118" s="3817">
        <v>49211</v>
      </c>
    </row>
    <row r="119" spans="1:9" hidden="1">
      <c r="A119" s="3819">
        <v>45585</v>
      </c>
      <c r="B119" s="3817" t="s">
        <v>3444</v>
      </c>
      <c r="C119" s="3817">
        <v>84</v>
      </c>
      <c r="D119" s="3817" t="s">
        <v>3467</v>
      </c>
      <c r="E119" s="3817" t="s">
        <v>3470</v>
      </c>
      <c r="F119" s="3817">
        <v>360</v>
      </c>
      <c r="G119" s="3819">
        <v>45523</v>
      </c>
      <c r="H119" s="3817">
        <v>325</v>
      </c>
      <c r="I119" s="3817">
        <v>38244</v>
      </c>
    </row>
    <row r="120" spans="1:9" hidden="1">
      <c r="A120" s="3819">
        <v>45585</v>
      </c>
      <c r="B120" s="3817" t="s">
        <v>3444</v>
      </c>
      <c r="C120" s="3817">
        <v>57</v>
      </c>
      <c r="D120" s="3817" t="s">
        <v>3446</v>
      </c>
      <c r="E120" s="3817" t="s">
        <v>3453</v>
      </c>
      <c r="F120" s="3817">
        <v>241</v>
      </c>
      <c r="G120" s="3819">
        <v>45413</v>
      </c>
      <c r="H120" s="3817">
        <v>225</v>
      </c>
      <c r="I120" s="3817">
        <v>39198</v>
      </c>
    </row>
    <row r="121" spans="1:9" hidden="1">
      <c r="A121" s="3819">
        <v>45582</v>
      </c>
      <c r="B121" s="3817" t="s">
        <v>3475</v>
      </c>
      <c r="C121" s="3817">
        <v>68</v>
      </c>
      <c r="D121" s="3820"/>
      <c r="E121" s="3817" t="s">
        <v>3429</v>
      </c>
      <c r="F121" s="3817">
        <v>0</v>
      </c>
      <c r="G121" s="3817" t="s">
        <v>3443</v>
      </c>
      <c r="H121" s="3817">
        <v>351</v>
      </c>
      <c r="I121" s="3817">
        <v>51564</v>
      </c>
    </row>
    <row r="122" spans="1:9" hidden="1">
      <c r="A122" s="3819">
        <v>45582</v>
      </c>
      <c r="B122" s="3817" t="s">
        <v>3441</v>
      </c>
      <c r="C122" s="3817">
        <v>51</v>
      </c>
      <c r="D122" s="3820"/>
      <c r="E122" s="3817" t="s">
        <v>3442</v>
      </c>
      <c r="F122" s="3817">
        <v>0</v>
      </c>
      <c r="G122" s="3817" t="s">
        <v>3443</v>
      </c>
      <c r="H122" s="3817">
        <v>180</v>
      </c>
      <c r="I122" s="3817">
        <v>34655</v>
      </c>
    </row>
    <row r="123" spans="1:9" hidden="1">
      <c r="A123" s="3819">
        <v>45581</v>
      </c>
      <c r="B123" s="3817" t="s">
        <v>3441</v>
      </c>
      <c r="C123" s="3817">
        <v>54</v>
      </c>
      <c r="D123" s="3820"/>
      <c r="E123" s="3817" t="s">
        <v>3429</v>
      </c>
      <c r="F123" s="3817">
        <v>0</v>
      </c>
      <c r="G123" s="3817" t="s">
        <v>3443</v>
      </c>
      <c r="H123" s="3817">
        <v>190</v>
      </c>
      <c r="I123" s="3817">
        <v>34753</v>
      </c>
    </row>
    <row r="124" spans="1:9" hidden="1">
      <c r="A124" s="3819">
        <v>45580</v>
      </c>
      <c r="B124" s="3817" t="s">
        <v>3449</v>
      </c>
      <c r="C124" s="3817">
        <v>69</v>
      </c>
      <c r="D124" s="3817" t="s">
        <v>3446</v>
      </c>
      <c r="E124" s="3817" t="s">
        <v>3453</v>
      </c>
      <c r="F124" s="3817">
        <v>349</v>
      </c>
      <c r="G124" s="3819">
        <v>45404</v>
      </c>
      <c r="H124" s="3817">
        <v>335</v>
      </c>
      <c r="I124" s="3817">
        <v>47953</v>
      </c>
    </row>
    <row r="125" spans="1:9" hidden="1">
      <c r="A125" s="3819">
        <v>45580</v>
      </c>
      <c r="B125" s="3817" t="s">
        <v>3444</v>
      </c>
      <c r="C125" s="3817">
        <v>69</v>
      </c>
      <c r="D125" s="3817" t="s">
        <v>3454</v>
      </c>
      <c r="E125" s="3817" t="s">
        <v>3468</v>
      </c>
      <c r="F125" s="3817">
        <v>259</v>
      </c>
      <c r="G125" s="3819">
        <v>45490</v>
      </c>
      <c r="H125" s="3817">
        <v>245</v>
      </c>
      <c r="I125" s="3817">
        <v>35130</v>
      </c>
    </row>
    <row r="126" spans="1:9" hidden="1">
      <c r="A126" s="3819">
        <v>45578</v>
      </c>
      <c r="B126" s="3817" t="s">
        <v>3444</v>
      </c>
      <c r="C126" s="3817">
        <v>52</v>
      </c>
      <c r="D126" s="3817" t="s">
        <v>3452</v>
      </c>
      <c r="E126" s="3817" t="s">
        <v>3453</v>
      </c>
      <c r="F126" s="3817">
        <v>290</v>
      </c>
      <c r="G126" s="3819">
        <v>45528</v>
      </c>
      <c r="H126" s="3817">
        <v>255</v>
      </c>
      <c r="I126" s="3817">
        <v>48571</v>
      </c>
    </row>
    <row r="127" spans="1:9" hidden="1">
      <c r="A127" s="3819">
        <v>45577</v>
      </c>
      <c r="B127" s="3817" t="s">
        <v>3475</v>
      </c>
      <c r="C127" s="3817">
        <v>65</v>
      </c>
      <c r="D127" s="3820"/>
      <c r="E127" s="3817" t="s">
        <v>3429</v>
      </c>
      <c r="F127" s="3817">
        <v>0</v>
      </c>
      <c r="G127" s="3817" t="s">
        <v>3443</v>
      </c>
      <c r="H127" s="3817">
        <v>353</v>
      </c>
      <c r="I127" s="3817">
        <v>54033</v>
      </c>
    </row>
    <row r="128" spans="1:9" hidden="1">
      <c r="A128" s="3819">
        <v>45576</v>
      </c>
      <c r="B128" s="3817" t="s">
        <v>3449</v>
      </c>
      <c r="C128" s="3817">
        <v>55</v>
      </c>
      <c r="D128" s="3817" t="s">
        <v>3456</v>
      </c>
      <c r="E128" s="3817" t="s">
        <v>3484</v>
      </c>
      <c r="F128" s="3817">
        <v>239</v>
      </c>
      <c r="G128" s="3819">
        <v>45506</v>
      </c>
      <c r="H128" s="3817">
        <v>225</v>
      </c>
      <c r="I128" s="3817">
        <v>40790</v>
      </c>
    </row>
    <row r="129" spans="1:9" hidden="1">
      <c r="A129" s="3819">
        <v>45576</v>
      </c>
      <c r="B129" s="3817" t="s">
        <v>3471</v>
      </c>
      <c r="C129" s="3817">
        <v>57</v>
      </c>
      <c r="D129" s="3817" t="s">
        <v>3467</v>
      </c>
      <c r="E129" s="3817" t="s">
        <v>3463</v>
      </c>
      <c r="F129" s="3817">
        <v>255</v>
      </c>
      <c r="G129" s="3819">
        <v>45429</v>
      </c>
      <c r="H129" s="3817">
        <v>242</v>
      </c>
      <c r="I129" s="3817">
        <v>41992</v>
      </c>
    </row>
    <row r="130" spans="1:9" hidden="1">
      <c r="A130" s="3819">
        <v>45575</v>
      </c>
      <c r="B130" s="3817" t="s">
        <v>3444</v>
      </c>
      <c r="C130" s="3817">
        <v>45</v>
      </c>
      <c r="D130" s="3817" t="s">
        <v>3445</v>
      </c>
      <c r="E130" s="3817" t="s">
        <v>3468</v>
      </c>
      <c r="F130" s="3817">
        <v>218</v>
      </c>
      <c r="G130" s="3819">
        <v>45435</v>
      </c>
      <c r="H130" s="3817">
        <v>198</v>
      </c>
      <c r="I130" s="3817">
        <v>43269</v>
      </c>
    </row>
    <row r="131" spans="1:9" hidden="1">
      <c r="A131" s="3819">
        <v>45575</v>
      </c>
      <c r="B131" s="3817" t="s">
        <v>3441</v>
      </c>
      <c r="C131" s="3817">
        <v>54</v>
      </c>
      <c r="D131" s="3820"/>
      <c r="E131" s="3817" t="s">
        <v>3429</v>
      </c>
      <c r="F131" s="3817">
        <v>0</v>
      </c>
      <c r="G131" s="3817" t="s">
        <v>3443</v>
      </c>
      <c r="H131" s="3817">
        <v>257</v>
      </c>
      <c r="I131" s="3817">
        <v>47495</v>
      </c>
    </row>
    <row r="132" spans="1:9" hidden="1">
      <c r="A132" s="3819">
        <v>45575</v>
      </c>
      <c r="B132" s="3817" t="s">
        <v>3441</v>
      </c>
      <c r="C132" s="3817">
        <v>57</v>
      </c>
      <c r="D132" s="3820"/>
      <c r="E132" s="3817" t="s">
        <v>3429</v>
      </c>
      <c r="F132" s="3817">
        <v>0</v>
      </c>
      <c r="G132" s="3817" t="s">
        <v>3443</v>
      </c>
      <c r="H132" s="3817">
        <v>194</v>
      </c>
      <c r="I132" s="3817">
        <v>33916</v>
      </c>
    </row>
    <row r="133" spans="1:9" hidden="1">
      <c r="A133" s="3819">
        <v>45574</v>
      </c>
      <c r="B133" s="3817" t="s">
        <v>3444</v>
      </c>
      <c r="C133" s="3817">
        <v>55</v>
      </c>
      <c r="D133" s="3817" t="s">
        <v>3456</v>
      </c>
      <c r="E133" s="3817" t="s">
        <v>3468</v>
      </c>
      <c r="F133" s="3817">
        <v>210</v>
      </c>
      <c r="G133" s="3819">
        <v>45546</v>
      </c>
      <c r="H133" s="3817">
        <v>201</v>
      </c>
      <c r="I133" s="3817">
        <v>35957</v>
      </c>
    </row>
    <row r="134" spans="1:9" hidden="1">
      <c r="A134" s="3819">
        <v>45573</v>
      </c>
      <c r="B134" s="3817" t="s">
        <v>3444</v>
      </c>
      <c r="C134" s="3817">
        <v>62</v>
      </c>
      <c r="D134" s="3817" t="s">
        <v>3445</v>
      </c>
      <c r="E134" s="3817" t="s">
        <v>3464</v>
      </c>
      <c r="F134" s="3817">
        <v>375</v>
      </c>
      <c r="G134" s="3819">
        <v>45546</v>
      </c>
      <c r="H134" s="3817">
        <v>353</v>
      </c>
      <c r="I134" s="3817">
        <v>56880</v>
      </c>
    </row>
    <row r="135" spans="1:9" hidden="1">
      <c r="A135" s="3819">
        <v>45573</v>
      </c>
      <c r="B135" s="3817" t="s">
        <v>3444</v>
      </c>
      <c r="C135" s="3817">
        <v>54</v>
      </c>
      <c r="D135" s="3817" t="s">
        <v>3446</v>
      </c>
      <c r="E135" s="3817" t="s">
        <v>3453</v>
      </c>
      <c r="F135" s="3817">
        <v>253</v>
      </c>
      <c r="G135" s="3819">
        <v>45541</v>
      </c>
      <c r="H135" s="3817">
        <v>240</v>
      </c>
      <c r="I135" s="3817">
        <v>44354</v>
      </c>
    </row>
    <row r="136" spans="1:9" hidden="1">
      <c r="A136" s="3819">
        <v>45573</v>
      </c>
      <c r="B136" s="3817" t="s">
        <v>3449</v>
      </c>
      <c r="C136" s="3817">
        <v>69</v>
      </c>
      <c r="D136" s="3817" t="s">
        <v>3446</v>
      </c>
      <c r="E136" s="3817" t="s">
        <v>3453</v>
      </c>
      <c r="F136" s="3817">
        <v>342</v>
      </c>
      <c r="G136" s="3819">
        <v>45544</v>
      </c>
      <c r="H136" s="3817">
        <v>336</v>
      </c>
      <c r="I136" s="3817">
        <v>48625</v>
      </c>
    </row>
    <row r="137" spans="1:9" hidden="1">
      <c r="A137" s="3819">
        <v>45572</v>
      </c>
      <c r="B137" s="3817" t="s">
        <v>3449</v>
      </c>
      <c r="C137" s="3817">
        <v>65</v>
      </c>
      <c r="D137" s="3817" t="s">
        <v>3452</v>
      </c>
      <c r="E137" s="3817" t="s">
        <v>3453</v>
      </c>
      <c r="F137" s="3817">
        <v>350</v>
      </c>
      <c r="G137" s="3819">
        <v>45563</v>
      </c>
      <c r="H137" s="3817">
        <v>330</v>
      </c>
      <c r="I137" s="3817">
        <v>50512</v>
      </c>
    </row>
    <row r="138" spans="1:9" hidden="1">
      <c r="A138" s="3819">
        <v>45566</v>
      </c>
      <c r="B138" s="3817" t="s">
        <v>3444</v>
      </c>
      <c r="C138" s="3817">
        <v>57</v>
      </c>
      <c r="D138" s="3817" t="s">
        <v>3446</v>
      </c>
      <c r="E138" s="3817" t="s">
        <v>3453</v>
      </c>
      <c r="F138" s="3817">
        <v>236</v>
      </c>
      <c r="G138" s="3819">
        <v>45517</v>
      </c>
      <c r="H138" s="3817">
        <v>213</v>
      </c>
      <c r="I138" s="3817">
        <v>37237</v>
      </c>
    </row>
    <row r="139" spans="1:9" hidden="1">
      <c r="A139" s="3819">
        <v>45559</v>
      </c>
      <c r="B139" s="3817" t="s">
        <v>3444</v>
      </c>
      <c r="C139" s="3817">
        <v>54</v>
      </c>
      <c r="D139" s="3817" t="s">
        <v>3456</v>
      </c>
      <c r="E139" s="3817" t="s">
        <v>3457</v>
      </c>
      <c r="F139" s="3817">
        <v>191</v>
      </c>
      <c r="G139" s="3819">
        <v>45531</v>
      </c>
      <c r="H139" s="3817">
        <v>175</v>
      </c>
      <c r="I139" s="3817">
        <v>31934</v>
      </c>
    </row>
    <row r="140" spans="1:9" hidden="1">
      <c r="A140" s="3819">
        <v>45558</v>
      </c>
      <c r="B140" s="3817" t="s">
        <v>3444</v>
      </c>
      <c r="C140" s="3817">
        <v>54</v>
      </c>
      <c r="D140" s="3817" t="s">
        <v>3456</v>
      </c>
      <c r="E140" s="3817" t="s">
        <v>3453</v>
      </c>
      <c r="F140" s="3817">
        <v>220</v>
      </c>
      <c r="G140" s="3819">
        <v>45400</v>
      </c>
      <c r="H140" s="3817">
        <v>200</v>
      </c>
      <c r="I140" s="3817">
        <v>36563</v>
      </c>
    </row>
    <row r="141" spans="1:9" hidden="1">
      <c r="A141" s="3819">
        <v>45553</v>
      </c>
      <c r="B141" s="3817" t="s">
        <v>3444</v>
      </c>
      <c r="C141" s="3817">
        <v>54</v>
      </c>
      <c r="D141" s="3817" t="s">
        <v>3454</v>
      </c>
      <c r="E141" s="3817" t="s">
        <v>3453</v>
      </c>
      <c r="F141" s="3817">
        <v>208</v>
      </c>
      <c r="G141" s="3819">
        <v>45543</v>
      </c>
      <c r="H141" s="3817">
        <v>190</v>
      </c>
      <c r="I141" s="3817">
        <v>34633</v>
      </c>
    </row>
    <row r="142" spans="1:9" hidden="1">
      <c r="A142" s="3819">
        <v>45542</v>
      </c>
      <c r="B142" s="3817" t="s">
        <v>3441</v>
      </c>
      <c r="C142" s="3817">
        <v>77</v>
      </c>
      <c r="D142" s="3820"/>
      <c r="E142" s="3817" t="s">
        <v>3442</v>
      </c>
      <c r="F142" s="3817">
        <v>0</v>
      </c>
      <c r="G142" s="3817" t="s">
        <v>3443</v>
      </c>
      <c r="H142" s="3817">
        <v>280</v>
      </c>
      <c r="I142" s="3817">
        <v>36157</v>
      </c>
    </row>
    <row r="143" spans="1:9" hidden="1">
      <c r="A143" s="3819">
        <v>45536</v>
      </c>
      <c r="B143" s="3817" t="s">
        <v>3449</v>
      </c>
      <c r="C143" s="3817">
        <v>65</v>
      </c>
      <c r="D143" s="3817" t="s">
        <v>3452</v>
      </c>
      <c r="E143" s="3817" t="s">
        <v>3453</v>
      </c>
      <c r="F143" s="3817">
        <v>306</v>
      </c>
      <c r="G143" s="3819">
        <v>45506</v>
      </c>
      <c r="H143" s="3817">
        <v>305</v>
      </c>
      <c r="I143" s="3817">
        <v>46887</v>
      </c>
    </row>
    <row r="144" spans="1:9" hidden="1">
      <c r="A144" s="3819">
        <v>45536</v>
      </c>
      <c r="B144" s="3817" t="s">
        <v>3444</v>
      </c>
      <c r="C144" s="3817">
        <v>57</v>
      </c>
      <c r="D144" s="3817" t="s">
        <v>3455</v>
      </c>
      <c r="E144" s="3817" t="s">
        <v>3453</v>
      </c>
      <c r="F144" s="3817">
        <v>235</v>
      </c>
      <c r="G144" s="3819">
        <v>45381</v>
      </c>
      <c r="H144" s="3817">
        <v>230</v>
      </c>
      <c r="I144" s="3817">
        <v>40069</v>
      </c>
    </row>
    <row r="145" spans="1:9" hidden="1">
      <c r="A145" s="3819">
        <v>45529</v>
      </c>
      <c r="B145" s="3817" t="s">
        <v>3444</v>
      </c>
      <c r="C145" s="3817">
        <v>59</v>
      </c>
      <c r="D145" s="3817" t="s">
        <v>3454</v>
      </c>
      <c r="E145" s="3817" t="s">
        <v>3453</v>
      </c>
      <c r="F145" s="3817">
        <v>213</v>
      </c>
      <c r="G145" s="3819">
        <v>45500</v>
      </c>
      <c r="H145" s="3817">
        <v>213</v>
      </c>
      <c r="I145" s="3817">
        <v>35738</v>
      </c>
    </row>
    <row r="146" spans="1:9" hidden="1">
      <c r="A146" s="3819">
        <v>45528</v>
      </c>
      <c r="B146" s="3817" t="s">
        <v>3444</v>
      </c>
      <c r="C146" s="3817">
        <v>51</v>
      </c>
      <c r="D146" s="3817" t="s">
        <v>3456</v>
      </c>
      <c r="E146" s="3817" t="s">
        <v>3464</v>
      </c>
      <c r="F146" s="3817">
        <v>222</v>
      </c>
      <c r="G146" s="3819">
        <v>45351</v>
      </c>
      <c r="H146" s="3817">
        <v>222</v>
      </c>
      <c r="I146" s="3817">
        <v>43495</v>
      </c>
    </row>
    <row r="147" spans="1:9" hidden="1">
      <c r="A147" s="3819">
        <v>45528</v>
      </c>
      <c r="B147" s="3817" t="s">
        <v>3444</v>
      </c>
      <c r="C147" s="3817">
        <v>73</v>
      </c>
      <c r="D147" s="3817" t="s">
        <v>3445</v>
      </c>
      <c r="E147" s="3817" t="s">
        <v>3485</v>
      </c>
      <c r="F147" s="3817">
        <v>310</v>
      </c>
      <c r="G147" s="3819">
        <v>45501</v>
      </c>
      <c r="H147" s="3817">
        <v>280</v>
      </c>
      <c r="I147" s="3817">
        <v>38027</v>
      </c>
    </row>
    <row r="148" spans="1:9" hidden="1">
      <c r="A148" s="3819">
        <v>45528</v>
      </c>
      <c r="B148" s="3817" t="s">
        <v>3441</v>
      </c>
      <c r="C148" s="3817">
        <v>57</v>
      </c>
      <c r="D148" s="3820"/>
      <c r="E148" s="3817" t="s">
        <v>3429</v>
      </c>
      <c r="F148" s="3817">
        <v>0</v>
      </c>
      <c r="G148" s="3817" t="s">
        <v>3443</v>
      </c>
      <c r="H148" s="3817">
        <v>235</v>
      </c>
      <c r="I148" s="3817">
        <v>41083</v>
      </c>
    </row>
    <row r="149" spans="1:9" hidden="1">
      <c r="A149" s="3819">
        <v>45521</v>
      </c>
      <c r="B149" s="3817" t="s">
        <v>3441</v>
      </c>
      <c r="C149" s="3817">
        <v>77</v>
      </c>
      <c r="D149" s="3820"/>
      <c r="E149" s="3817" t="s">
        <v>3463</v>
      </c>
      <c r="F149" s="3817">
        <v>0</v>
      </c>
      <c r="G149" s="3817" t="s">
        <v>3443</v>
      </c>
      <c r="H149" s="3817">
        <v>297</v>
      </c>
      <c r="I149" s="3817">
        <v>38352</v>
      </c>
    </row>
    <row r="150" spans="1:9" hidden="1">
      <c r="A150" s="3819">
        <v>45521</v>
      </c>
      <c r="B150" s="3817" t="s">
        <v>3441</v>
      </c>
      <c r="C150" s="3817">
        <v>57</v>
      </c>
      <c r="D150" s="3820"/>
      <c r="E150" s="3817" t="s">
        <v>3429</v>
      </c>
      <c r="F150" s="3817">
        <v>0</v>
      </c>
      <c r="G150" s="3817" t="s">
        <v>3443</v>
      </c>
      <c r="H150" s="3817">
        <v>255</v>
      </c>
      <c r="I150" s="3817">
        <v>44580</v>
      </c>
    </row>
    <row r="151" spans="1:9" hidden="1">
      <c r="A151" s="3819">
        <v>45519</v>
      </c>
      <c r="B151" s="3817" t="s">
        <v>3471</v>
      </c>
      <c r="C151" s="3817">
        <v>57</v>
      </c>
      <c r="D151" s="3817" t="s">
        <v>3450</v>
      </c>
      <c r="E151" s="3817" t="s">
        <v>3463</v>
      </c>
      <c r="F151" s="3817">
        <v>223</v>
      </c>
      <c r="G151" s="3819">
        <v>45469</v>
      </c>
      <c r="H151" s="3817">
        <v>223</v>
      </c>
      <c r="I151" s="3817">
        <v>38695</v>
      </c>
    </row>
    <row r="152" spans="1:9" hidden="1">
      <c r="A152" s="3819">
        <v>45516</v>
      </c>
      <c r="B152" s="3817" t="s">
        <v>3471</v>
      </c>
      <c r="C152" s="3817">
        <v>57</v>
      </c>
      <c r="D152" s="3817" t="s">
        <v>3467</v>
      </c>
      <c r="E152" s="3817" t="s">
        <v>3463</v>
      </c>
      <c r="F152" s="3817">
        <v>238</v>
      </c>
      <c r="G152" s="3819">
        <v>45311</v>
      </c>
      <c r="H152" s="3817">
        <v>219</v>
      </c>
      <c r="I152" s="3817">
        <v>38001</v>
      </c>
    </row>
    <row r="153" spans="1:9" hidden="1">
      <c r="A153" s="3819">
        <v>45515</v>
      </c>
      <c r="B153" s="3817" t="s">
        <v>3444</v>
      </c>
      <c r="C153" s="3817">
        <v>58</v>
      </c>
      <c r="D153" s="3817" t="s">
        <v>3454</v>
      </c>
      <c r="E153" s="3817" t="s">
        <v>3453</v>
      </c>
      <c r="F153" s="3817">
        <v>245</v>
      </c>
      <c r="G153" s="3819">
        <v>45503</v>
      </c>
      <c r="H153" s="3817">
        <v>215</v>
      </c>
      <c r="I153" s="3817">
        <v>36626</v>
      </c>
    </row>
    <row r="154" spans="1:9" hidden="1">
      <c r="A154" s="3819">
        <v>45500</v>
      </c>
      <c r="B154" s="3817" t="s">
        <v>3444</v>
      </c>
      <c r="C154" s="3817">
        <v>59</v>
      </c>
      <c r="D154" s="3817" t="s">
        <v>3454</v>
      </c>
      <c r="E154" s="3817" t="s">
        <v>3453</v>
      </c>
      <c r="F154" s="3817">
        <v>215</v>
      </c>
      <c r="G154" s="3819">
        <v>45496</v>
      </c>
      <c r="H154" s="3817">
        <v>210</v>
      </c>
      <c r="I154" s="3817">
        <v>35117</v>
      </c>
    </row>
    <row r="155" spans="1:9" hidden="1">
      <c r="A155" s="3819">
        <v>45497</v>
      </c>
      <c r="B155" s="3817" t="s">
        <v>3441</v>
      </c>
      <c r="C155" s="3817">
        <v>57</v>
      </c>
      <c r="D155" s="3820"/>
      <c r="E155" s="3817" t="s">
        <v>3429</v>
      </c>
      <c r="F155" s="3817">
        <v>0</v>
      </c>
      <c r="G155" s="3817" t="s">
        <v>3443</v>
      </c>
      <c r="H155" s="3817">
        <v>208</v>
      </c>
      <c r="I155" s="3817">
        <v>36363</v>
      </c>
    </row>
    <row r="156" spans="1:9" hidden="1">
      <c r="A156" s="3819">
        <v>45487</v>
      </c>
      <c r="B156" s="3817" t="s">
        <v>3471</v>
      </c>
      <c r="C156" s="3817">
        <v>43</v>
      </c>
      <c r="D156" s="3817" t="s">
        <v>3454</v>
      </c>
      <c r="E156" s="3817" t="s">
        <v>3442</v>
      </c>
      <c r="F156" s="3817">
        <v>157</v>
      </c>
      <c r="G156" s="3819">
        <v>45471</v>
      </c>
      <c r="H156" s="3817">
        <v>157</v>
      </c>
      <c r="I156" s="3817">
        <v>36342</v>
      </c>
    </row>
    <row r="157" spans="1:9" hidden="1">
      <c r="A157" s="3819">
        <v>45487</v>
      </c>
      <c r="B157" s="3817" t="s">
        <v>3444</v>
      </c>
      <c r="C157" s="3817">
        <v>62</v>
      </c>
      <c r="D157" s="3817" t="s">
        <v>3445</v>
      </c>
      <c r="E157" s="3817" t="s">
        <v>3469</v>
      </c>
      <c r="F157" s="3817">
        <v>324</v>
      </c>
      <c r="G157" s="3819">
        <v>45383</v>
      </c>
      <c r="H157" s="3817">
        <v>276</v>
      </c>
      <c r="I157" s="3817">
        <v>44054</v>
      </c>
    </row>
    <row r="158" spans="1:9" hidden="1">
      <c r="A158" s="3819">
        <v>45487</v>
      </c>
      <c r="B158" s="3817" t="s">
        <v>3444</v>
      </c>
      <c r="C158" s="3817">
        <v>57</v>
      </c>
      <c r="D158" s="3817" t="s">
        <v>3455</v>
      </c>
      <c r="E158" s="3817" t="s">
        <v>3453</v>
      </c>
      <c r="F158" s="3817">
        <v>220</v>
      </c>
      <c r="G158" s="3819">
        <v>45434</v>
      </c>
      <c r="H158" s="3817">
        <v>219</v>
      </c>
      <c r="I158" s="3817">
        <v>38153</v>
      </c>
    </row>
    <row r="159" spans="1:9" hidden="1">
      <c r="A159" s="3819">
        <v>45483</v>
      </c>
      <c r="B159" s="3817" t="s">
        <v>3441</v>
      </c>
      <c r="C159" s="3817">
        <v>57</v>
      </c>
      <c r="D159" s="3820"/>
      <c r="E159" s="3817" t="s">
        <v>3429</v>
      </c>
      <c r="F159" s="3817">
        <v>0</v>
      </c>
      <c r="G159" s="3817" t="s">
        <v>3443</v>
      </c>
      <c r="H159" s="3817">
        <v>215</v>
      </c>
      <c r="I159" s="3817">
        <v>37587</v>
      </c>
    </row>
    <row r="160" spans="1:9" hidden="1">
      <c r="A160" s="3819">
        <v>45480</v>
      </c>
      <c r="B160" s="3817" t="s">
        <v>3444</v>
      </c>
      <c r="C160" s="3817">
        <v>57</v>
      </c>
      <c r="D160" s="3817" t="s">
        <v>3456</v>
      </c>
      <c r="E160" s="3817" t="s">
        <v>3453</v>
      </c>
      <c r="F160" s="3817">
        <v>243</v>
      </c>
      <c r="G160" s="3819">
        <v>45353</v>
      </c>
      <c r="H160" s="3817">
        <v>225</v>
      </c>
      <c r="I160" s="3817">
        <v>39335</v>
      </c>
    </row>
    <row r="161" spans="1:9" hidden="1">
      <c r="A161" s="3819">
        <v>45480</v>
      </c>
      <c r="B161" s="3817" t="s">
        <v>3444</v>
      </c>
      <c r="C161" s="3817">
        <v>54</v>
      </c>
      <c r="D161" s="3817" t="s">
        <v>3446</v>
      </c>
      <c r="E161" s="3817" t="s">
        <v>3453</v>
      </c>
      <c r="F161" s="3817">
        <v>287</v>
      </c>
      <c r="G161" s="3819">
        <v>45425</v>
      </c>
      <c r="H161" s="3817">
        <v>270</v>
      </c>
      <c r="I161" s="3817">
        <v>49387</v>
      </c>
    </row>
    <row r="162" spans="1:9" hidden="1">
      <c r="A162" s="3819">
        <v>45474</v>
      </c>
      <c r="B162" s="3817" t="s">
        <v>3448</v>
      </c>
      <c r="C162" s="3817">
        <v>50</v>
      </c>
      <c r="D162" s="3820"/>
      <c r="E162" s="3817" t="s">
        <v>3429</v>
      </c>
      <c r="F162" s="3817">
        <v>0</v>
      </c>
      <c r="G162" s="3817" t="s">
        <v>3443</v>
      </c>
      <c r="H162" s="3817">
        <v>178</v>
      </c>
      <c r="I162" s="3817">
        <v>34970</v>
      </c>
    </row>
    <row r="163" spans="1:9" hidden="1">
      <c r="A163" s="3819">
        <v>45473</v>
      </c>
      <c r="B163" s="3817" t="s">
        <v>3444</v>
      </c>
      <c r="C163" s="3817">
        <v>54</v>
      </c>
      <c r="D163" s="3817" t="s">
        <v>3455</v>
      </c>
      <c r="E163" s="3817" t="s">
        <v>3453</v>
      </c>
      <c r="F163" s="3817">
        <v>260</v>
      </c>
      <c r="G163" s="3819">
        <v>45472</v>
      </c>
      <c r="H163" s="3817">
        <v>220</v>
      </c>
      <c r="I163" s="3817">
        <v>40665</v>
      </c>
    </row>
    <row r="164" spans="1:9" hidden="1">
      <c r="A164" s="3819">
        <v>45472</v>
      </c>
      <c r="B164" s="3817" t="s">
        <v>3444</v>
      </c>
      <c r="C164" s="3817">
        <v>57</v>
      </c>
      <c r="D164" s="3817" t="s">
        <v>3454</v>
      </c>
      <c r="E164" s="3817" t="s">
        <v>3453</v>
      </c>
      <c r="F164" s="3817">
        <v>236</v>
      </c>
      <c r="G164" s="3819">
        <v>45465</v>
      </c>
      <c r="H164" s="3817">
        <v>196</v>
      </c>
      <c r="I164" s="3817">
        <v>34265</v>
      </c>
    </row>
    <row r="165" spans="1:9" hidden="1">
      <c r="A165" s="3819">
        <v>45471</v>
      </c>
      <c r="B165" s="3817" t="s">
        <v>3444</v>
      </c>
      <c r="C165" s="3817">
        <v>55</v>
      </c>
      <c r="D165" s="3817" t="s">
        <v>3455</v>
      </c>
      <c r="E165" s="3817" t="s">
        <v>3468</v>
      </c>
      <c r="F165" s="3817">
        <v>249</v>
      </c>
      <c r="G165" s="3819">
        <v>45465</v>
      </c>
      <c r="H165" s="3817">
        <v>222</v>
      </c>
      <c r="I165" s="3817">
        <v>40144</v>
      </c>
    </row>
    <row r="166" spans="1:9" hidden="1">
      <c r="A166" s="3819">
        <v>45470</v>
      </c>
      <c r="B166" s="3817" t="s">
        <v>3471</v>
      </c>
      <c r="C166" s="3817">
        <v>46</v>
      </c>
      <c r="D166" s="3817" t="s">
        <v>3446</v>
      </c>
      <c r="E166" s="3817" t="s">
        <v>3457</v>
      </c>
      <c r="F166" s="3817">
        <v>166</v>
      </c>
      <c r="G166" s="3819">
        <v>45301</v>
      </c>
      <c r="H166" s="3817">
        <v>165</v>
      </c>
      <c r="I166" s="3817">
        <v>35606</v>
      </c>
    </row>
    <row r="167" spans="1:9" hidden="1">
      <c r="A167" s="3819">
        <v>45467</v>
      </c>
      <c r="B167" s="3817" t="s">
        <v>3441</v>
      </c>
      <c r="C167" s="3817">
        <v>57</v>
      </c>
      <c r="D167" s="3820"/>
      <c r="E167" s="3817" t="s">
        <v>3429</v>
      </c>
      <c r="F167" s="3817">
        <v>0</v>
      </c>
      <c r="G167" s="3817" t="s">
        <v>3443</v>
      </c>
      <c r="H167" s="3817">
        <v>232</v>
      </c>
      <c r="I167" s="3817">
        <v>40559</v>
      </c>
    </row>
    <row r="168" spans="1:9" hidden="1">
      <c r="A168" s="3819">
        <v>45466</v>
      </c>
      <c r="B168" s="3817" t="s">
        <v>3441</v>
      </c>
      <c r="C168" s="3817">
        <v>57</v>
      </c>
      <c r="D168" s="3820"/>
      <c r="E168" s="3817" t="s">
        <v>3429</v>
      </c>
      <c r="F168" s="3817">
        <v>0</v>
      </c>
      <c r="G168" s="3817" t="s">
        <v>3443</v>
      </c>
      <c r="H168" s="3817">
        <v>218</v>
      </c>
      <c r="I168" s="3817">
        <v>38111</v>
      </c>
    </row>
    <row r="169" spans="1:9" hidden="1">
      <c r="A169" s="3819">
        <v>45465</v>
      </c>
      <c r="B169" s="3817" t="s">
        <v>3444</v>
      </c>
      <c r="C169" s="3817">
        <v>49</v>
      </c>
      <c r="D169" s="3817" t="s">
        <v>3455</v>
      </c>
      <c r="E169" s="3817" t="s">
        <v>3460</v>
      </c>
      <c r="F169" s="3817">
        <v>219</v>
      </c>
      <c r="G169" s="3819">
        <v>45346</v>
      </c>
      <c r="H169" s="3817">
        <v>205</v>
      </c>
      <c r="I169" s="3817">
        <v>41280</v>
      </c>
    </row>
    <row r="170" spans="1:9" hidden="1">
      <c r="A170" s="3819">
        <v>45461</v>
      </c>
      <c r="B170" s="3817" t="s">
        <v>3441</v>
      </c>
      <c r="C170" s="3817">
        <v>77</v>
      </c>
      <c r="D170" s="3820"/>
      <c r="E170" s="3817" t="s">
        <v>3463</v>
      </c>
      <c r="F170" s="3817">
        <v>0</v>
      </c>
      <c r="G170" s="3817" t="s">
        <v>3443</v>
      </c>
      <c r="H170" s="3817">
        <v>283</v>
      </c>
      <c r="I170" s="3817">
        <v>36544</v>
      </c>
    </row>
    <row r="171" spans="1:9" hidden="1">
      <c r="A171" s="3819">
        <v>45460</v>
      </c>
      <c r="B171" s="3817" t="s">
        <v>3441</v>
      </c>
      <c r="C171" s="3817">
        <v>77</v>
      </c>
      <c r="D171" s="3820"/>
      <c r="E171" s="3817" t="s">
        <v>3463</v>
      </c>
      <c r="F171" s="3817">
        <v>0</v>
      </c>
      <c r="G171" s="3817" t="s">
        <v>3443</v>
      </c>
      <c r="H171" s="3817">
        <v>275</v>
      </c>
      <c r="I171" s="3817">
        <v>35598</v>
      </c>
    </row>
    <row r="172" spans="1:9" hidden="1">
      <c r="A172" s="3819">
        <v>45459</v>
      </c>
      <c r="B172" s="3817" t="s">
        <v>3444</v>
      </c>
      <c r="C172" s="3817">
        <v>73</v>
      </c>
      <c r="D172" s="3817" t="s">
        <v>3486</v>
      </c>
      <c r="E172" s="3817" t="s">
        <v>3477</v>
      </c>
      <c r="F172" s="3817">
        <v>298</v>
      </c>
      <c r="G172" s="3819">
        <v>45187</v>
      </c>
      <c r="H172" s="3817">
        <v>277</v>
      </c>
      <c r="I172" s="3817">
        <v>37620</v>
      </c>
    </row>
    <row r="173" spans="1:9" hidden="1">
      <c r="A173" s="3819">
        <v>45453</v>
      </c>
      <c r="B173" s="3817" t="s">
        <v>3448</v>
      </c>
      <c r="C173" s="3817">
        <v>57</v>
      </c>
      <c r="D173" s="3820"/>
      <c r="E173" s="3817" t="s">
        <v>3442</v>
      </c>
      <c r="F173" s="3817">
        <v>0</v>
      </c>
      <c r="G173" s="3817" t="s">
        <v>3443</v>
      </c>
      <c r="H173" s="3817">
        <v>215</v>
      </c>
      <c r="I173" s="3817">
        <v>37306</v>
      </c>
    </row>
    <row r="174" spans="1:9" hidden="1">
      <c r="A174" s="3819">
        <v>45453</v>
      </c>
      <c r="B174" s="3817" t="s">
        <v>3444</v>
      </c>
      <c r="C174" s="3817">
        <v>52</v>
      </c>
      <c r="D174" s="3817" t="s">
        <v>3452</v>
      </c>
      <c r="E174" s="3817" t="s">
        <v>3453</v>
      </c>
      <c r="F174" s="3817">
        <v>265</v>
      </c>
      <c r="G174" s="3819">
        <v>45345</v>
      </c>
      <c r="H174" s="3817">
        <v>239</v>
      </c>
      <c r="I174" s="3817">
        <v>45523</v>
      </c>
    </row>
    <row r="175" spans="1:9" hidden="1">
      <c r="A175" s="3819">
        <v>45445</v>
      </c>
      <c r="B175" s="3817" t="s">
        <v>3444</v>
      </c>
      <c r="C175" s="3817">
        <v>62</v>
      </c>
      <c r="D175" s="3817" t="s">
        <v>3459</v>
      </c>
      <c r="E175" s="3817" t="s">
        <v>3466</v>
      </c>
      <c r="F175" s="3817">
        <v>385</v>
      </c>
      <c r="G175" s="3819">
        <v>45376</v>
      </c>
      <c r="H175" s="3817">
        <v>354</v>
      </c>
      <c r="I175" s="3817">
        <v>57041</v>
      </c>
    </row>
    <row r="176" spans="1:9" hidden="1">
      <c r="A176" s="3819">
        <v>45444</v>
      </c>
      <c r="B176" s="3817" t="s">
        <v>3444</v>
      </c>
      <c r="C176" s="3817">
        <v>62</v>
      </c>
      <c r="D176" s="3817" t="s">
        <v>3445</v>
      </c>
      <c r="E176" s="3817" t="s">
        <v>3464</v>
      </c>
      <c r="F176" s="3817">
        <v>365</v>
      </c>
      <c r="G176" s="3819">
        <v>45379</v>
      </c>
      <c r="H176" s="3817">
        <v>349</v>
      </c>
      <c r="I176" s="3817">
        <v>56235</v>
      </c>
    </row>
    <row r="177" spans="1:9" hidden="1">
      <c r="A177" s="3819">
        <v>45443</v>
      </c>
      <c r="B177" s="3817" t="s">
        <v>3441</v>
      </c>
      <c r="C177" s="3817">
        <v>62</v>
      </c>
      <c r="D177" s="3820"/>
      <c r="E177" s="3817" t="s">
        <v>3463</v>
      </c>
      <c r="F177" s="3817">
        <v>0</v>
      </c>
      <c r="G177" s="3817" t="s">
        <v>3443</v>
      </c>
      <c r="H177" s="3817">
        <v>335</v>
      </c>
      <c r="I177" s="3817">
        <v>53980</v>
      </c>
    </row>
    <row r="178" spans="1:9" hidden="1">
      <c r="A178" s="3819">
        <v>45438</v>
      </c>
      <c r="B178" s="3817" t="s">
        <v>3444</v>
      </c>
      <c r="C178" s="3817">
        <v>64</v>
      </c>
      <c r="D178" s="3817" t="s">
        <v>3459</v>
      </c>
      <c r="E178" s="3817" t="s">
        <v>3429</v>
      </c>
      <c r="F178" s="3817">
        <v>348</v>
      </c>
      <c r="G178" s="3819">
        <v>45436</v>
      </c>
      <c r="H178" s="3817">
        <v>317</v>
      </c>
      <c r="I178" s="3817">
        <v>48912</v>
      </c>
    </row>
    <row r="179" spans="1:9" hidden="1">
      <c r="A179" s="3819">
        <v>45437</v>
      </c>
      <c r="B179" s="3817" t="s">
        <v>3444</v>
      </c>
      <c r="C179" s="3817">
        <v>61</v>
      </c>
      <c r="D179" s="3817" t="s">
        <v>3446</v>
      </c>
      <c r="E179" s="3817" t="s">
        <v>3429</v>
      </c>
      <c r="F179" s="3817">
        <v>280</v>
      </c>
      <c r="G179" s="3819">
        <v>45298</v>
      </c>
      <c r="H179" s="3817">
        <v>253</v>
      </c>
      <c r="I179" s="3817">
        <v>41272</v>
      </c>
    </row>
    <row r="180" spans="1:9" hidden="1">
      <c r="A180" s="3819">
        <v>45437</v>
      </c>
      <c r="B180" s="3817" t="s">
        <v>3444</v>
      </c>
      <c r="C180" s="3817">
        <v>55</v>
      </c>
      <c r="D180" s="3817" t="s">
        <v>3446</v>
      </c>
      <c r="E180" s="3817" t="s">
        <v>3487</v>
      </c>
      <c r="F180" s="3817">
        <v>279</v>
      </c>
      <c r="G180" s="3819">
        <v>45357</v>
      </c>
      <c r="H180" s="3817">
        <v>279</v>
      </c>
      <c r="I180" s="3817">
        <v>50580</v>
      </c>
    </row>
    <row r="181" spans="1:9" hidden="1">
      <c r="A181" s="3819">
        <v>45435</v>
      </c>
      <c r="B181" s="3817" t="s">
        <v>3444</v>
      </c>
      <c r="C181" s="3817">
        <v>81</v>
      </c>
      <c r="D181" s="3817" t="s">
        <v>3462</v>
      </c>
      <c r="E181" s="3817" t="s">
        <v>3478</v>
      </c>
      <c r="F181" s="3817">
        <v>337</v>
      </c>
      <c r="G181" s="3819">
        <v>45382</v>
      </c>
      <c r="H181" s="3817">
        <v>325</v>
      </c>
      <c r="I181" s="3817">
        <v>39882</v>
      </c>
    </row>
    <row r="182" spans="1:9" hidden="1">
      <c r="A182" s="3819">
        <v>45428</v>
      </c>
      <c r="B182" s="3817" t="s">
        <v>3449</v>
      </c>
      <c r="C182" s="3817">
        <v>91</v>
      </c>
      <c r="D182" s="3817" t="s">
        <v>3450</v>
      </c>
      <c r="E182" s="3817" t="s">
        <v>3488</v>
      </c>
      <c r="F182" s="3817">
        <v>404</v>
      </c>
      <c r="G182" s="3819">
        <v>45401</v>
      </c>
      <c r="H182" s="3817">
        <v>404</v>
      </c>
      <c r="I182" s="3817">
        <v>44240</v>
      </c>
    </row>
    <row r="183" spans="1:9" hidden="1">
      <c r="A183" s="3819">
        <v>45422</v>
      </c>
      <c r="B183" s="3817" t="s">
        <v>3441</v>
      </c>
      <c r="C183" s="3817">
        <v>73</v>
      </c>
      <c r="D183" s="3820"/>
      <c r="E183" s="3817" t="s">
        <v>3463</v>
      </c>
      <c r="F183" s="3817">
        <v>0</v>
      </c>
      <c r="G183" s="3817" t="s">
        <v>3443</v>
      </c>
      <c r="H183" s="3817">
        <v>285</v>
      </c>
      <c r="I183" s="3817">
        <v>38707</v>
      </c>
    </row>
    <row r="184" spans="1:9" hidden="1">
      <c r="A184" s="3819">
        <v>45422</v>
      </c>
      <c r="B184" s="3817" t="s">
        <v>3448</v>
      </c>
      <c r="C184" s="3817">
        <v>57</v>
      </c>
      <c r="D184" s="3820"/>
      <c r="E184" s="3817" t="s">
        <v>3463</v>
      </c>
      <c r="F184" s="3817">
        <v>0</v>
      </c>
      <c r="G184" s="3817" t="s">
        <v>3443</v>
      </c>
      <c r="H184" s="3817">
        <v>240</v>
      </c>
      <c r="I184" s="3817">
        <v>41644</v>
      </c>
    </row>
    <row r="185" spans="1:9" hidden="1">
      <c r="A185" s="3819">
        <v>45418</v>
      </c>
      <c r="B185" s="3817" t="s">
        <v>3444</v>
      </c>
      <c r="C185" s="3817">
        <v>62</v>
      </c>
      <c r="D185" s="3817" t="s">
        <v>3459</v>
      </c>
      <c r="E185" s="3817" t="s">
        <v>3468</v>
      </c>
      <c r="F185" s="3817">
        <v>386</v>
      </c>
      <c r="G185" s="3819">
        <v>45364</v>
      </c>
      <c r="H185" s="3817">
        <v>355</v>
      </c>
      <c r="I185" s="3817">
        <v>57202</v>
      </c>
    </row>
    <row r="186" spans="1:9" hidden="1">
      <c r="A186" s="3819">
        <v>45415</v>
      </c>
      <c r="B186" s="3817" t="s">
        <v>3489</v>
      </c>
      <c r="C186" s="3817">
        <v>73</v>
      </c>
      <c r="D186" s="3817" t="s">
        <v>3445</v>
      </c>
      <c r="E186" s="3817" t="s">
        <v>3458</v>
      </c>
      <c r="F186" s="3817">
        <v>350</v>
      </c>
      <c r="G186" s="3819">
        <v>45411</v>
      </c>
      <c r="H186" s="3817">
        <v>330</v>
      </c>
      <c r="I186" s="3817">
        <v>44818</v>
      </c>
    </row>
    <row r="187" spans="1:9" hidden="1">
      <c r="A187" s="3819">
        <v>45406</v>
      </c>
      <c r="B187" s="3817" t="s">
        <v>3444</v>
      </c>
      <c r="C187" s="3817">
        <v>59</v>
      </c>
      <c r="D187" s="3817" t="s">
        <v>3454</v>
      </c>
      <c r="E187" s="3817" t="s">
        <v>3453</v>
      </c>
      <c r="F187" s="3817">
        <v>233</v>
      </c>
      <c r="G187" s="3819">
        <v>45382</v>
      </c>
      <c r="H187" s="3817">
        <v>204</v>
      </c>
      <c r="I187" s="3817">
        <v>34228</v>
      </c>
    </row>
    <row r="188" spans="1:9" hidden="1">
      <c r="A188" s="3819">
        <v>45403</v>
      </c>
      <c r="B188" s="3817" t="s">
        <v>3441</v>
      </c>
      <c r="C188" s="3817">
        <v>54</v>
      </c>
      <c r="D188" s="3820"/>
      <c r="E188" s="3817" t="s">
        <v>3442</v>
      </c>
      <c r="F188" s="3817">
        <v>0</v>
      </c>
      <c r="G188" s="3817" t="s">
        <v>3443</v>
      </c>
      <c r="H188" s="3817">
        <v>189</v>
      </c>
      <c r="I188" s="3817">
        <v>34903</v>
      </c>
    </row>
    <row r="189" spans="1:9" hidden="1">
      <c r="A189" s="3819">
        <v>45402</v>
      </c>
      <c r="B189" s="3817" t="s">
        <v>3444</v>
      </c>
      <c r="C189" s="3817">
        <v>54</v>
      </c>
      <c r="D189" s="3817" t="s">
        <v>3456</v>
      </c>
      <c r="E189" s="3817" t="s">
        <v>3453</v>
      </c>
      <c r="F189" s="3817">
        <v>247</v>
      </c>
      <c r="G189" s="3819">
        <v>45373</v>
      </c>
      <c r="H189" s="3817">
        <v>247</v>
      </c>
      <c r="I189" s="3817">
        <v>45180</v>
      </c>
    </row>
    <row r="190" spans="1:9" hidden="1">
      <c r="A190" s="3819">
        <v>45399</v>
      </c>
      <c r="B190" s="3817" t="s">
        <v>3444</v>
      </c>
      <c r="C190" s="3817">
        <v>57</v>
      </c>
      <c r="D190" s="3817" t="s">
        <v>3454</v>
      </c>
      <c r="E190" s="3817" t="s">
        <v>3453</v>
      </c>
      <c r="F190" s="3817">
        <v>220</v>
      </c>
      <c r="G190" s="3819">
        <v>44967</v>
      </c>
      <c r="H190" s="3817">
        <v>200</v>
      </c>
      <c r="I190" s="3817">
        <v>34965</v>
      </c>
    </row>
    <row r="191" spans="1:9" hidden="1">
      <c r="A191" s="3819">
        <v>45394</v>
      </c>
      <c r="B191" s="3817" t="s">
        <v>3444</v>
      </c>
      <c r="C191" s="3817">
        <v>70</v>
      </c>
      <c r="D191" s="3817" t="s">
        <v>3456</v>
      </c>
      <c r="E191" s="3817" t="s">
        <v>3457</v>
      </c>
      <c r="F191" s="3817">
        <v>340</v>
      </c>
      <c r="G191" s="3819">
        <v>45392</v>
      </c>
      <c r="H191" s="3817">
        <v>332</v>
      </c>
      <c r="I191" s="3817">
        <v>47415</v>
      </c>
    </row>
    <row r="192" spans="1:9" hidden="1">
      <c r="A192" s="3819">
        <v>45390</v>
      </c>
      <c r="B192" s="3817" t="s">
        <v>3444</v>
      </c>
      <c r="C192" s="3817">
        <v>55</v>
      </c>
      <c r="D192" s="3817" t="s">
        <v>3446</v>
      </c>
      <c r="E192" s="3817" t="s">
        <v>3453</v>
      </c>
      <c r="F192" s="3817">
        <v>320</v>
      </c>
      <c r="G192" s="3819">
        <v>45312</v>
      </c>
      <c r="H192" s="3817">
        <v>300</v>
      </c>
      <c r="I192" s="3817">
        <v>54387</v>
      </c>
    </row>
    <row r="193" spans="1:9" hidden="1">
      <c r="A193" s="3819">
        <v>45386</v>
      </c>
      <c r="B193" s="3817" t="s">
        <v>3444</v>
      </c>
      <c r="C193" s="3817">
        <v>65</v>
      </c>
      <c r="D193" s="3817" t="s">
        <v>3454</v>
      </c>
      <c r="E193" s="3817" t="s">
        <v>3453</v>
      </c>
      <c r="F193" s="3817">
        <v>265</v>
      </c>
      <c r="G193" s="3819">
        <v>45372</v>
      </c>
      <c r="H193" s="3817">
        <v>248</v>
      </c>
      <c r="I193" s="3817">
        <v>37672</v>
      </c>
    </row>
    <row r="194" spans="1:9" hidden="1">
      <c r="A194" s="3819">
        <v>45382</v>
      </c>
      <c r="B194" s="3817" t="s">
        <v>3441</v>
      </c>
      <c r="C194" s="3817">
        <v>57</v>
      </c>
      <c r="D194" s="3820"/>
      <c r="E194" s="3817" t="s">
        <v>3442</v>
      </c>
      <c r="F194" s="3817">
        <v>0</v>
      </c>
      <c r="G194" s="3817" t="s">
        <v>3443</v>
      </c>
      <c r="H194" s="3817">
        <v>240</v>
      </c>
      <c r="I194" s="3817">
        <v>42105</v>
      </c>
    </row>
    <row r="195" spans="1:9" hidden="1">
      <c r="A195" s="3819">
        <v>45381</v>
      </c>
      <c r="B195" s="3817" t="s">
        <v>3444</v>
      </c>
      <c r="C195" s="3817">
        <v>56</v>
      </c>
      <c r="D195" s="3817" t="s">
        <v>3454</v>
      </c>
      <c r="E195" s="3817" t="s">
        <v>3453</v>
      </c>
      <c r="F195" s="3817">
        <v>240</v>
      </c>
      <c r="G195" s="3819">
        <v>45192</v>
      </c>
      <c r="H195" s="3817">
        <v>228</v>
      </c>
      <c r="I195" s="3817">
        <v>40091</v>
      </c>
    </row>
    <row r="196" spans="1:9" hidden="1">
      <c r="A196" s="3819">
        <v>45381</v>
      </c>
      <c r="B196" s="3817" t="s">
        <v>3441</v>
      </c>
      <c r="C196" s="3817">
        <v>64</v>
      </c>
      <c r="D196" s="3820"/>
      <c r="E196" s="3817" t="s">
        <v>3442</v>
      </c>
      <c r="F196" s="3817">
        <v>0</v>
      </c>
      <c r="G196" s="3817" t="s">
        <v>3443</v>
      </c>
      <c r="H196" s="3817">
        <v>110</v>
      </c>
      <c r="I196" s="3817">
        <v>16972</v>
      </c>
    </row>
    <row r="197" spans="1:9" hidden="1">
      <c r="A197" s="3819">
        <v>45376</v>
      </c>
      <c r="B197" s="3817" t="s">
        <v>3444</v>
      </c>
      <c r="C197" s="3817">
        <v>61</v>
      </c>
      <c r="D197" s="3817" t="s">
        <v>3446</v>
      </c>
      <c r="E197" s="3817" t="s">
        <v>3457</v>
      </c>
      <c r="F197" s="3817">
        <v>251</v>
      </c>
      <c r="G197" s="3819">
        <v>45175</v>
      </c>
      <c r="H197" s="3817">
        <v>219</v>
      </c>
      <c r="I197" s="3817">
        <v>35436</v>
      </c>
    </row>
    <row r="198" spans="1:9" hidden="1">
      <c r="A198" s="3819">
        <v>45374</v>
      </c>
      <c r="B198" s="3817" t="s">
        <v>3444</v>
      </c>
      <c r="C198" s="3817">
        <v>54</v>
      </c>
      <c r="D198" s="3817" t="s">
        <v>3454</v>
      </c>
      <c r="E198" s="3817" t="s">
        <v>3457</v>
      </c>
      <c r="F198" s="3817">
        <v>228</v>
      </c>
      <c r="G198" s="3819">
        <v>45227</v>
      </c>
      <c r="H198" s="3817">
        <v>192</v>
      </c>
      <c r="I198" s="3817">
        <v>35036</v>
      </c>
    </row>
    <row r="199" spans="1:9" hidden="1">
      <c r="A199" s="3819">
        <v>45373</v>
      </c>
      <c r="B199" s="3817" t="s">
        <v>3444</v>
      </c>
      <c r="C199" s="3817">
        <v>55</v>
      </c>
      <c r="D199" s="3817" t="s">
        <v>3456</v>
      </c>
      <c r="E199" s="3817" t="s">
        <v>3453</v>
      </c>
      <c r="F199" s="3817">
        <v>260</v>
      </c>
      <c r="G199" s="3819">
        <v>45202</v>
      </c>
      <c r="H199" s="3817">
        <v>256</v>
      </c>
      <c r="I199" s="3817">
        <v>46410</v>
      </c>
    </row>
    <row r="200" spans="1:9" hidden="1">
      <c r="A200" s="3819">
        <v>45370</v>
      </c>
      <c r="B200" s="3817" t="s">
        <v>3444</v>
      </c>
      <c r="C200" s="3817">
        <v>54</v>
      </c>
      <c r="D200" s="3817" t="s">
        <v>3446</v>
      </c>
      <c r="E200" s="3817" t="s">
        <v>3453</v>
      </c>
      <c r="F200" s="3817">
        <v>313</v>
      </c>
      <c r="G200" s="3819">
        <v>45361</v>
      </c>
      <c r="H200" s="3817">
        <v>289</v>
      </c>
      <c r="I200" s="3817">
        <v>53409</v>
      </c>
    </row>
    <row r="201" spans="1:9" hidden="1">
      <c r="A201" s="3819">
        <v>45369</v>
      </c>
      <c r="B201" s="3817" t="s">
        <v>3441</v>
      </c>
      <c r="C201" s="3817">
        <v>54</v>
      </c>
      <c r="D201" s="3817" t="s">
        <v>3490</v>
      </c>
      <c r="E201" s="3820"/>
      <c r="F201" s="3817">
        <v>0</v>
      </c>
      <c r="G201" s="3817" t="s">
        <v>3443</v>
      </c>
      <c r="H201" s="3817">
        <v>238</v>
      </c>
      <c r="I201" s="3817">
        <v>43669</v>
      </c>
    </row>
    <row r="202" spans="1:9" hidden="1">
      <c r="A202" s="3819">
        <v>45368</v>
      </c>
      <c r="B202" s="3817" t="s">
        <v>3444</v>
      </c>
      <c r="C202" s="3817">
        <v>49</v>
      </c>
      <c r="D202" s="3817" t="s">
        <v>3452</v>
      </c>
      <c r="E202" s="3817" t="s">
        <v>3453</v>
      </c>
      <c r="F202" s="3817">
        <v>278</v>
      </c>
      <c r="G202" s="3819">
        <v>45365</v>
      </c>
      <c r="H202" s="3817">
        <v>265</v>
      </c>
      <c r="I202" s="3817">
        <v>53416</v>
      </c>
    </row>
    <row r="203" spans="1:9" hidden="1">
      <c r="A203" s="3819">
        <v>45362</v>
      </c>
      <c r="B203" s="3817" t="s">
        <v>3444</v>
      </c>
      <c r="C203" s="3817">
        <v>49</v>
      </c>
      <c r="D203" s="3817" t="s">
        <v>3452</v>
      </c>
      <c r="E203" s="3817" t="s">
        <v>3453</v>
      </c>
      <c r="F203" s="3817">
        <v>298</v>
      </c>
      <c r="G203" s="3819">
        <v>45347</v>
      </c>
      <c r="H203" s="3817">
        <v>273</v>
      </c>
      <c r="I203" s="3817">
        <v>55029</v>
      </c>
    </row>
    <row r="204" spans="1:9" hidden="1">
      <c r="A204" s="3819">
        <v>45349</v>
      </c>
      <c r="B204" s="3817" t="s">
        <v>3471</v>
      </c>
      <c r="C204" s="3817">
        <v>45</v>
      </c>
      <c r="D204" s="3817" t="s">
        <v>3455</v>
      </c>
      <c r="E204" s="3817" t="s">
        <v>3468</v>
      </c>
      <c r="F204" s="3817">
        <v>228</v>
      </c>
      <c r="G204" s="3819">
        <v>45072</v>
      </c>
      <c r="H204" s="3817">
        <v>228</v>
      </c>
      <c r="I204" s="3817">
        <v>49629</v>
      </c>
    </row>
    <row r="205" spans="1:9" hidden="1">
      <c r="A205" s="3819">
        <v>45326</v>
      </c>
      <c r="B205" s="3817" t="s">
        <v>3441</v>
      </c>
      <c r="C205" s="3817">
        <v>54</v>
      </c>
      <c r="D205" s="3817" t="s">
        <v>3491</v>
      </c>
      <c r="E205" s="3820"/>
      <c r="F205" s="3817">
        <v>0</v>
      </c>
      <c r="G205" s="3817" t="s">
        <v>3443</v>
      </c>
      <c r="H205" s="3817">
        <v>241</v>
      </c>
      <c r="I205" s="3817">
        <v>44058</v>
      </c>
    </row>
    <row r="206" spans="1:9" hidden="1">
      <c r="A206" s="3819">
        <v>45320</v>
      </c>
      <c r="B206" s="3817" t="s">
        <v>3444</v>
      </c>
      <c r="C206" s="3817">
        <v>68</v>
      </c>
      <c r="D206" s="3817" t="s">
        <v>3459</v>
      </c>
      <c r="E206" s="3817" t="s">
        <v>3460</v>
      </c>
      <c r="F206" s="3817">
        <v>358</v>
      </c>
      <c r="G206" s="3819">
        <v>45105</v>
      </c>
      <c r="H206" s="3817">
        <v>342</v>
      </c>
      <c r="I206" s="3817">
        <v>49586</v>
      </c>
    </row>
    <row r="207" spans="1:9" hidden="1">
      <c r="A207" s="3819">
        <v>45319</v>
      </c>
      <c r="B207" s="3817" t="s">
        <v>3444</v>
      </c>
      <c r="C207" s="3817">
        <v>57</v>
      </c>
      <c r="D207" s="3817" t="s">
        <v>3456</v>
      </c>
      <c r="E207" s="3817" t="s">
        <v>3453</v>
      </c>
      <c r="F207" s="3817">
        <v>257</v>
      </c>
      <c r="G207" s="3819">
        <v>45133</v>
      </c>
      <c r="H207" s="3817">
        <v>243</v>
      </c>
      <c r="I207" s="3817">
        <v>42482</v>
      </c>
    </row>
    <row r="208" spans="1:9" hidden="1">
      <c r="A208" s="3819">
        <v>45318</v>
      </c>
      <c r="B208" s="3817" t="s">
        <v>3444</v>
      </c>
      <c r="C208" s="3817">
        <v>54</v>
      </c>
      <c r="D208" s="3817" t="s">
        <v>3456</v>
      </c>
      <c r="E208" s="3817" t="s">
        <v>3492</v>
      </c>
      <c r="F208" s="3817">
        <v>263</v>
      </c>
      <c r="G208" s="3819">
        <v>45187</v>
      </c>
      <c r="H208" s="3817">
        <v>253</v>
      </c>
      <c r="I208" s="3817">
        <v>46167</v>
      </c>
    </row>
    <row r="209" spans="1:9" hidden="1">
      <c r="A209" s="3819">
        <v>45315</v>
      </c>
      <c r="B209" s="3817" t="s">
        <v>3448</v>
      </c>
      <c r="C209" s="3817">
        <v>40</v>
      </c>
      <c r="D209" s="3817" t="s">
        <v>3490</v>
      </c>
      <c r="E209" s="3817" t="s">
        <v>3429</v>
      </c>
      <c r="F209" s="3817">
        <v>0</v>
      </c>
      <c r="G209" s="3817" t="s">
        <v>3443</v>
      </c>
      <c r="H209" s="3817">
        <v>188</v>
      </c>
      <c r="I209" s="3817">
        <v>46191</v>
      </c>
    </row>
    <row r="210" spans="1:9" hidden="1">
      <c r="A210" s="3819">
        <v>45313</v>
      </c>
      <c r="B210" s="3817" t="s">
        <v>3444</v>
      </c>
      <c r="C210" s="3817">
        <v>84</v>
      </c>
      <c r="D210" s="3817" t="s">
        <v>3493</v>
      </c>
      <c r="E210" s="3817" t="s">
        <v>3428</v>
      </c>
      <c r="F210" s="3817">
        <v>353</v>
      </c>
      <c r="G210" s="3819">
        <v>45265</v>
      </c>
      <c r="H210" s="3817">
        <v>330</v>
      </c>
      <c r="I210" s="3817">
        <v>38832</v>
      </c>
    </row>
    <row r="211" spans="1:9" hidden="1">
      <c r="A211" s="3819">
        <v>45313</v>
      </c>
      <c r="B211" s="3817" t="s">
        <v>3441</v>
      </c>
      <c r="C211" s="3817">
        <v>77</v>
      </c>
      <c r="D211" s="3817" t="s">
        <v>3494</v>
      </c>
      <c r="E211" s="3817" t="s">
        <v>3463</v>
      </c>
      <c r="F211" s="3817">
        <v>0</v>
      </c>
      <c r="G211" s="3817" t="s">
        <v>3443</v>
      </c>
      <c r="H211" s="3817">
        <v>273</v>
      </c>
      <c r="I211" s="3817">
        <v>35253</v>
      </c>
    </row>
    <row r="212" spans="1:9" hidden="1">
      <c r="A212" s="3819">
        <v>45309</v>
      </c>
      <c r="B212" s="3817" t="s">
        <v>3441</v>
      </c>
      <c r="C212" s="3817">
        <v>56</v>
      </c>
      <c r="D212" s="3817" t="s">
        <v>3495</v>
      </c>
      <c r="E212" s="3820"/>
      <c r="F212" s="3817">
        <v>0</v>
      </c>
      <c r="G212" s="3817" t="s">
        <v>3443</v>
      </c>
      <c r="H212" s="3817">
        <v>255</v>
      </c>
      <c r="I212" s="3817">
        <v>45013</v>
      </c>
    </row>
    <row r="213" spans="1:9" hidden="1">
      <c r="A213" s="3819">
        <v>45304</v>
      </c>
      <c r="B213" s="3817" t="s">
        <v>3444</v>
      </c>
      <c r="C213" s="3817">
        <v>57</v>
      </c>
      <c r="D213" s="3817" t="s">
        <v>3455</v>
      </c>
      <c r="E213" s="3817" t="s">
        <v>3453</v>
      </c>
      <c r="F213" s="3817">
        <v>275</v>
      </c>
      <c r="G213" s="3819">
        <v>45100</v>
      </c>
      <c r="H213" s="3817">
        <v>266</v>
      </c>
      <c r="I213" s="3817">
        <v>46503</v>
      </c>
    </row>
    <row r="214" spans="1:9" hidden="1">
      <c r="A214" s="3819">
        <v>45298</v>
      </c>
      <c r="B214" s="3817" t="s">
        <v>3444</v>
      </c>
      <c r="C214" s="3817">
        <v>73</v>
      </c>
      <c r="D214" s="3817" t="s">
        <v>3462</v>
      </c>
      <c r="E214" s="3817" t="s">
        <v>3458</v>
      </c>
      <c r="F214" s="3817">
        <v>346</v>
      </c>
      <c r="G214" s="3819">
        <v>45275</v>
      </c>
      <c r="H214" s="3817">
        <v>336</v>
      </c>
      <c r="I214" s="3817">
        <v>45633</v>
      </c>
    </row>
    <row r="215" spans="1:9" hidden="1">
      <c r="A215" s="3819">
        <v>45286</v>
      </c>
      <c r="B215" s="3817" t="s">
        <v>3441</v>
      </c>
      <c r="C215" s="3817">
        <v>73</v>
      </c>
      <c r="D215" s="3817" t="s">
        <v>3496</v>
      </c>
      <c r="E215" s="3820"/>
      <c r="F215" s="3817">
        <v>0</v>
      </c>
      <c r="G215" s="3817" t="s">
        <v>3443</v>
      </c>
      <c r="H215" s="3817">
        <v>328</v>
      </c>
      <c r="I215" s="3817">
        <v>44547</v>
      </c>
    </row>
    <row r="216" spans="1:9" hidden="1">
      <c r="A216" s="3819">
        <v>45286</v>
      </c>
      <c r="B216" s="3817" t="s">
        <v>3444</v>
      </c>
      <c r="C216" s="3817">
        <v>55</v>
      </c>
      <c r="D216" s="3817" t="s">
        <v>3455</v>
      </c>
      <c r="E216" s="3817" t="s">
        <v>3453</v>
      </c>
      <c r="F216" s="3817">
        <v>232</v>
      </c>
      <c r="G216" s="3819">
        <v>45243</v>
      </c>
      <c r="H216" s="3817">
        <v>231</v>
      </c>
      <c r="I216" s="3817">
        <v>41696</v>
      </c>
    </row>
    <row r="217" spans="1:9" hidden="1">
      <c r="A217" s="3819">
        <v>45285</v>
      </c>
      <c r="B217" s="3817" t="s">
        <v>3444</v>
      </c>
      <c r="C217" s="3817">
        <v>57</v>
      </c>
      <c r="D217" s="3817" t="s">
        <v>3456</v>
      </c>
      <c r="E217" s="3817" t="s">
        <v>3453</v>
      </c>
      <c r="F217" s="3817">
        <v>265</v>
      </c>
      <c r="G217" s="3819">
        <v>45270</v>
      </c>
      <c r="H217" s="3817">
        <v>260</v>
      </c>
      <c r="I217" s="3817">
        <v>45138</v>
      </c>
    </row>
    <row r="218" spans="1:9" hidden="1">
      <c r="A218" s="3819">
        <v>45284</v>
      </c>
      <c r="B218" s="3817" t="s">
        <v>3444</v>
      </c>
      <c r="C218" s="3817">
        <v>54</v>
      </c>
      <c r="D218" s="3817" t="s">
        <v>3454</v>
      </c>
      <c r="E218" s="3817" t="s">
        <v>3453</v>
      </c>
      <c r="F218" s="3817">
        <v>230</v>
      </c>
      <c r="G218" s="3819">
        <v>45032</v>
      </c>
      <c r="H218" s="3817">
        <v>228</v>
      </c>
      <c r="I218" s="3817">
        <v>41788</v>
      </c>
    </row>
    <row r="219" spans="1:9" hidden="1">
      <c r="A219" s="3819">
        <v>45276</v>
      </c>
      <c r="B219" s="3817" t="s">
        <v>3444</v>
      </c>
      <c r="C219" s="3817">
        <v>57</v>
      </c>
      <c r="D219" s="3817" t="s">
        <v>3446</v>
      </c>
      <c r="E219" s="3817" t="s">
        <v>3453</v>
      </c>
      <c r="F219" s="3817">
        <v>279</v>
      </c>
      <c r="G219" s="3819">
        <v>45103</v>
      </c>
      <c r="H219" s="3817">
        <v>266</v>
      </c>
      <c r="I219" s="3817">
        <v>46503</v>
      </c>
    </row>
    <row r="220" spans="1:9" hidden="1">
      <c r="A220" s="3819">
        <v>45270</v>
      </c>
      <c r="B220" s="3817" t="s">
        <v>3444</v>
      </c>
      <c r="C220" s="3817">
        <v>67</v>
      </c>
      <c r="D220" s="3817" t="s">
        <v>3462</v>
      </c>
      <c r="E220" s="3817" t="s">
        <v>3429</v>
      </c>
      <c r="F220" s="3817">
        <v>366</v>
      </c>
      <c r="G220" s="3819">
        <v>45264</v>
      </c>
      <c r="H220" s="3817">
        <v>355</v>
      </c>
      <c r="I220" s="3817">
        <v>52468</v>
      </c>
    </row>
    <row r="221" spans="1:9" hidden="1">
      <c r="A221" s="3819">
        <v>45270</v>
      </c>
      <c r="B221" s="3817" t="s">
        <v>3444</v>
      </c>
      <c r="C221" s="3817">
        <v>54</v>
      </c>
      <c r="D221" s="3817" t="s">
        <v>3454</v>
      </c>
      <c r="E221" s="3817" t="s">
        <v>3457</v>
      </c>
      <c r="F221" s="3817">
        <v>220</v>
      </c>
      <c r="G221" s="3819">
        <v>45158</v>
      </c>
      <c r="H221" s="3817">
        <v>220</v>
      </c>
      <c r="I221" s="3817">
        <v>40145</v>
      </c>
    </row>
    <row r="222" spans="1:9" hidden="1">
      <c r="A222" s="3819">
        <v>45263</v>
      </c>
      <c r="B222" s="3817" t="s">
        <v>3444</v>
      </c>
      <c r="C222" s="3817">
        <v>77</v>
      </c>
      <c r="D222" s="3817" t="s">
        <v>3467</v>
      </c>
      <c r="E222" s="3817" t="s">
        <v>3442</v>
      </c>
      <c r="F222" s="3817">
        <v>330</v>
      </c>
      <c r="G222" s="3819">
        <v>45193</v>
      </c>
      <c r="H222" s="3817">
        <v>323</v>
      </c>
      <c r="I222" s="3817">
        <v>41709</v>
      </c>
    </row>
    <row r="223" spans="1:9" hidden="1">
      <c r="A223" s="3819">
        <v>45259</v>
      </c>
      <c r="B223" s="3817" t="s">
        <v>3441</v>
      </c>
      <c r="C223" s="3817">
        <v>54</v>
      </c>
      <c r="D223" s="3817" t="s">
        <v>3497</v>
      </c>
      <c r="E223" s="3820"/>
      <c r="F223" s="3817">
        <v>0</v>
      </c>
      <c r="G223" s="3817" t="s">
        <v>3443</v>
      </c>
      <c r="H223" s="3817">
        <v>300</v>
      </c>
      <c r="I223" s="3817">
        <v>55453</v>
      </c>
    </row>
    <row r="224" spans="1:9" hidden="1">
      <c r="A224" s="3819">
        <v>45259</v>
      </c>
      <c r="B224" s="3817" t="s">
        <v>3441</v>
      </c>
      <c r="C224" s="3817">
        <v>52</v>
      </c>
      <c r="D224" s="3817" t="s">
        <v>3497</v>
      </c>
      <c r="E224" s="3820"/>
      <c r="F224" s="3817">
        <v>0</v>
      </c>
      <c r="G224" s="3817" t="s">
        <v>3443</v>
      </c>
      <c r="H224" s="3817">
        <v>275</v>
      </c>
      <c r="I224" s="3817">
        <v>52381</v>
      </c>
    </row>
    <row r="225" spans="1:9" hidden="1">
      <c r="A225" s="3819">
        <v>45258</v>
      </c>
      <c r="B225" s="3817" t="s">
        <v>3444</v>
      </c>
      <c r="C225" s="3817">
        <v>52</v>
      </c>
      <c r="D225" s="3817" t="s">
        <v>3452</v>
      </c>
      <c r="E225" s="3817" t="s">
        <v>3453</v>
      </c>
      <c r="F225" s="3817">
        <v>308</v>
      </c>
      <c r="G225" s="3819">
        <v>45187</v>
      </c>
      <c r="H225" s="3817">
        <v>295</v>
      </c>
      <c r="I225" s="3817">
        <v>56190</v>
      </c>
    </row>
    <row r="226" spans="1:9" hidden="1">
      <c r="A226" s="3819">
        <v>45258</v>
      </c>
      <c r="B226" s="3817" t="s">
        <v>3475</v>
      </c>
      <c r="C226" s="3817">
        <v>69</v>
      </c>
      <c r="D226" s="3817" t="s">
        <v>3491</v>
      </c>
      <c r="E226" s="3820"/>
      <c r="F226" s="3817">
        <v>0</v>
      </c>
      <c r="G226" s="3817" t="s">
        <v>3443</v>
      </c>
      <c r="H226" s="3817">
        <v>352</v>
      </c>
      <c r="I226" s="3817">
        <v>51007</v>
      </c>
    </row>
    <row r="227" spans="1:9" hidden="1">
      <c r="A227" s="3819">
        <v>45255</v>
      </c>
      <c r="B227" s="3817" t="s">
        <v>3444</v>
      </c>
      <c r="C227" s="3817">
        <v>77</v>
      </c>
      <c r="D227" s="3817" t="s">
        <v>3467</v>
      </c>
      <c r="E227" s="3817" t="s">
        <v>3463</v>
      </c>
      <c r="F227" s="3817">
        <v>310</v>
      </c>
      <c r="G227" s="3819">
        <v>45239</v>
      </c>
      <c r="H227" s="3817">
        <v>299</v>
      </c>
      <c r="I227" s="3817">
        <v>38610</v>
      </c>
    </row>
    <row r="228" spans="1:9" hidden="1">
      <c r="A228" s="3819">
        <v>45255</v>
      </c>
      <c r="B228" s="3817" t="s">
        <v>3444</v>
      </c>
      <c r="C228" s="3817">
        <v>57</v>
      </c>
      <c r="D228" s="3817" t="s">
        <v>3455</v>
      </c>
      <c r="E228" s="3817" t="s">
        <v>3453</v>
      </c>
      <c r="F228" s="3817">
        <v>299</v>
      </c>
      <c r="G228" s="3819">
        <v>45228</v>
      </c>
      <c r="H228" s="3817">
        <v>281</v>
      </c>
      <c r="I228" s="3817">
        <v>49125</v>
      </c>
    </row>
    <row r="229" spans="1:9" hidden="1">
      <c r="A229" s="3819">
        <v>45251</v>
      </c>
      <c r="B229" s="3817" t="s">
        <v>3449</v>
      </c>
      <c r="C229" s="3817">
        <v>72</v>
      </c>
      <c r="D229" s="3817" t="s">
        <v>3446</v>
      </c>
      <c r="E229" s="3817" t="s">
        <v>3453</v>
      </c>
      <c r="F229" s="3817">
        <v>361</v>
      </c>
      <c r="G229" s="3819">
        <v>45131</v>
      </c>
      <c r="H229" s="3817">
        <v>360</v>
      </c>
      <c r="I229" s="3817">
        <v>49593</v>
      </c>
    </row>
    <row r="230" spans="1:9" hidden="1">
      <c r="A230" s="3819">
        <v>45249</v>
      </c>
      <c r="B230" s="3817" t="s">
        <v>3444</v>
      </c>
      <c r="C230" s="3817">
        <v>55</v>
      </c>
      <c r="D230" s="3817" t="s">
        <v>3446</v>
      </c>
      <c r="E230" s="3817" t="s">
        <v>3453</v>
      </c>
      <c r="F230" s="3817">
        <v>291</v>
      </c>
      <c r="G230" s="3819">
        <v>45238</v>
      </c>
      <c r="H230" s="3817">
        <v>290</v>
      </c>
      <c r="I230" s="3817">
        <v>52574</v>
      </c>
    </row>
    <row r="231" spans="1:9" hidden="1">
      <c r="A231" s="3819">
        <v>45248</v>
      </c>
      <c r="B231" s="3817" t="s">
        <v>3444</v>
      </c>
      <c r="C231" s="3817">
        <v>62</v>
      </c>
      <c r="D231" s="3817" t="s">
        <v>3462</v>
      </c>
      <c r="E231" s="3817" t="s">
        <v>3464</v>
      </c>
      <c r="F231" s="3817">
        <v>398</v>
      </c>
      <c r="G231" s="3819">
        <v>45175</v>
      </c>
      <c r="H231" s="3817">
        <v>384</v>
      </c>
      <c r="I231" s="3817">
        <v>61875</v>
      </c>
    </row>
    <row r="232" spans="1:9" hidden="1">
      <c r="A232" s="3819">
        <v>45248</v>
      </c>
      <c r="B232" s="3817" t="s">
        <v>3449</v>
      </c>
      <c r="C232" s="3817">
        <v>67</v>
      </c>
      <c r="D232" s="3817" t="s">
        <v>3446</v>
      </c>
      <c r="E232" s="3817" t="s">
        <v>3465</v>
      </c>
      <c r="F232" s="3817">
        <v>345</v>
      </c>
      <c r="G232" s="3819">
        <v>45245</v>
      </c>
      <c r="H232" s="3817">
        <v>345</v>
      </c>
      <c r="I232" s="3817">
        <v>50780</v>
      </c>
    </row>
    <row r="233" spans="1:9" hidden="1">
      <c r="A233" s="3819">
        <v>45248</v>
      </c>
      <c r="B233" s="3817" t="s">
        <v>3444</v>
      </c>
      <c r="C233" s="3817">
        <v>58</v>
      </c>
      <c r="D233" s="3817" t="s">
        <v>3456</v>
      </c>
      <c r="E233" s="3817" t="s">
        <v>3457</v>
      </c>
      <c r="F233" s="3817">
        <v>247</v>
      </c>
      <c r="G233" s="3819">
        <v>45003</v>
      </c>
      <c r="H233" s="3817">
        <v>225</v>
      </c>
      <c r="I233" s="3817">
        <v>38659</v>
      </c>
    </row>
    <row r="234" spans="1:9" hidden="1">
      <c r="A234" s="3819">
        <v>45242</v>
      </c>
      <c r="B234" s="3817" t="s">
        <v>3444</v>
      </c>
      <c r="C234" s="3817">
        <v>54</v>
      </c>
      <c r="D234" s="3817" t="s">
        <v>3456</v>
      </c>
      <c r="E234" s="3817" t="s">
        <v>3429</v>
      </c>
      <c r="F234" s="3817">
        <v>270</v>
      </c>
      <c r="G234" s="3819">
        <v>45101</v>
      </c>
      <c r="H234" s="3817">
        <v>255</v>
      </c>
      <c r="I234" s="3817">
        <v>47091</v>
      </c>
    </row>
    <row r="235" spans="1:9" hidden="1">
      <c r="A235" s="3819">
        <v>45235</v>
      </c>
      <c r="B235" s="3817" t="s">
        <v>3441</v>
      </c>
      <c r="C235" s="3817">
        <v>57</v>
      </c>
      <c r="D235" s="3817" t="s">
        <v>3490</v>
      </c>
      <c r="E235" s="3820"/>
      <c r="F235" s="3817">
        <v>0</v>
      </c>
      <c r="G235" s="3817" t="s">
        <v>3443</v>
      </c>
      <c r="H235" s="3817">
        <v>250</v>
      </c>
      <c r="I235" s="3817">
        <v>43554</v>
      </c>
    </row>
    <row r="236" spans="1:9" hidden="1">
      <c r="A236" s="3819">
        <v>45235</v>
      </c>
      <c r="B236" s="3817" t="s">
        <v>3444</v>
      </c>
      <c r="C236" s="3817">
        <v>62</v>
      </c>
      <c r="D236" s="3817" t="s">
        <v>3476</v>
      </c>
      <c r="E236" s="3817" t="s">
        <v>3464</v>
      </c>
      <c r="F236" s="3817">
        <v>340</v>
      </c>
      <c r="G236" s="3819">
        <v>45092</v>
      </c>
      <c r="H236" s="3817">
        <v>310</v>
      </c>
      <c r="I236" s="3817">
        <v>49951</v>
      </c>
    </row>
    <row r="237" spans="1:9" hidden="1">
      <c r="A237" s="3819">
        <v>45234</v>
      </c>
      <c r="B237" s="3817" t="s">
        <v>3449</v>
      </c>
      <c r="C237" s="3817">
        <v>69</v>
      </c>
      <c r="D237" s="3817" t="s">
        <v>3455</v>
      </c>
      <c r="E237" s="3817" t="s">
        <v>3453</v>
      </c>
      <c r="F237" s="3817">
        <v>355</v>
      </c>
      <c r="G237" s="3819">
        <v>45045</v>
      </c>
      <c r="H237" s="3817">
        <v>355</v>
      </c>
      <c r="I237" s="3817">
        <v>51449</v>
      </c>
    </row>
    <row r="238" spans="1:9" hidden="1">
      <c r="A238" s="3819">
        <v>45231</v>
      </c>
      <c r="B238" s="3817" t="s">
        <v>3471</v>
      </c>
      <c r="C238" s="3817">
        <v>40</v>
      </c>
      <c r="D238" s="3817" t="s">
        <v>3446</v>
      </c>
      <c r="E238" s="3817" t="s">
        <v>3429</v>
      </c>
      <c r="F238" s="3817">
        <v>200</v>
      </c>
      <c r="G238" s="3819">
        <v>45121</v>
      </c>
      <c r="H238" s="3817">
        <v>200</v>
      </c>
      <c r="I238" s="3817">
        <v>49019</v>
      </c>
    </row>
    <row r="239" spans="1:9" hidden="1">
      <c r="A239" s="3819">
        <v>45226</v>
      </c>
      <c r="B239" s="3817" t="s">
        <v>3441</v>
      </c>
      <c r="C239" s="3817">
        <v>62</v>
      </c>
      <c r="D239" s="3817" t="s">
        <v>3496</v>
      </c>
      <c r="E239" s="3820"/>
      <c r="F239" s="3817">
        <v>0</v>
      </c>
      <c r="G239" s="3817" t="s">
        <v>3443</v>
      </c>
      <c r="H239" s="3817">
        <v>423</v>
      </c>
      <c r="I239" s="3817">
        <v>68160</v>
      </c>
    </row>
    <row r="240" spans="1:9" hidden="1">
      <c r="A240" s="3819">
        <v>45225</v>
      </c>
      <c r="B240" s="3817" t="s">
        <v>3444</v>
      </c>
      <c r="C240" s="3817">
        <v>57</v>
      </c>
      <c r="D240" s="3817" t="s">
        <v>3454</v>
      </c>
      <c r="E240" s="3817" t="s">
        <v>3453</v>
      </c>
      <c r="F240" s="3817">
        <v>266</v>
      </c>
      <c r="G240" s="3819">
        <v>45059</v>
      </c>
      <c r="H240" s="3817">
        <v>255</v>
      </c>
      <c r="I240" s="3817">
        <v>44580</v>
      </c>
    </row>
    <row r="241" spans="1:9" hidden="1">
      <c r="A241" s="3819">
        <v>45224</v>
      </c>
      <c r="B241" s="3817" t="s">
        <v>3444</v>
      </c>
      <c r="C241" s="3817">
        <v>54</v>
      </c>
      <c r="D241" s="3817" t="s">
        <v>3454</v>
      </c>
      <c r="E241" s="3817" t="s">
        <v>3498</v>
      </c>
      <c r="F241" s="3817">
        <v>249</v>
      </c>
      <c r="G241" s="3819">
        <v>45174</v>
      </c>
      <c r="H241" s="3817">
        <v>237</v>
      </c>
      <c r="I241" s="3817">
        <v>43799</v>
      </c>
    </row>
    <row r="242" spans="1:9" hidden="1">
      <c r="A242" s="3819">
        <v>45222</v>
      </c>
      <c r="B242" s="3817" t="s">
        <v>3444</v>
      </c>
      <c r="C242" s="3817">
        <v>57</v>
      </c>
      <c r="D242" s="3817" t="s">
        <v>3456</v>
      </c>
      <c r="E242" s="3817" t="s">
        <v>3453</v>
      </c>
      <c r="F242" s="3817">
        <v>285</v>
      </c>
      <c r="G242" s="3819">
        <v>45170</v>
      </c>
      <c r="H242" s="3817">
        <v>275</v>
      </c>
      <c r="I242" s="3817">
        <v>48076</v>
      </c>
    </row>
    <row r="243" spans="1:9" hidden="1">
      <c r="A243" s="3819">
        <v>45221</v>
      </c>
      <c r="B243" s="3817" t="s">
        <v>3444</v>
      </c>
      <c r="C243" s="3817">
        <v>57</v>
      </c>
      <c r="D243" s="3817" t="s">
        <v>3456</v>
      </c>
      <c r="E243" s="3817" t="s">
        <v>3453</v>
      </c>
      <c r="F243" s="3817">
        <v>270</v>
      </c>
      <c r="G243" s="3819">
        <v>45197</v>
      </c>
      <c r="H243" s="3817">
        <v>256</v>
      </c>
      <c r="I243" s="3817">
        <v>44755</v>
      </c>
    </row>
    <row r="244" spans="1:9" hidden="1">
      <c r="A244" s="3819">
        <v>45221</v>
      </c>
      <c r="B244" s="3817" t="s">
        <v>3444</v>
      </c>
      <c r="C244" s="3817">
        <v>57</v>
      </c>
      <c r="D244" s="3817" t="s">
        <v>3456</v>
      </c>
      <c r="E244" s="3817" t="s">
        <v>3453</v>
      </c>
      <c r="F244" s="3817">
        <v>280</v>
      </c>
      <c r="G244" s="3819">
        <v>45180</v>
      </c>
      <c r="H244" s="3817">
        <v>260</v>
      </c>
      <c r="I244" s="3817">
        <v>45138</v>
      </c>
    </row>
    <row r="245" spans="1:9" hidden="1">
      <c r="A245" s="3819">
        <v>45217</v>
      </c>
      <c r="B245" s="3817" t="s">
        <v>3441</v>
      </c>
      <c r="C245" s="3817">
        <v>57</v>
      </c>
      <c r="D245" s="3817" t="s">
        <v>3491</v>
      </c>
      <c r="E245" s="3820"/>
      <c r="F245" s="3817">
        <v>0</v>
      </c>
      <c r="G245" s="3817" t="s">
        <v>3443</v>
      </c>
      <c r="H245" s="3817">
        <v>300</v>
      </c>
      <c r="I245" s="3817">
        <v>52265</v>
      </c>
    </row>
    <row r="246" spans="1:9" hidden="1">
      <c r="A246" s="3819">
        <v>45212</v>
      </c>
      <c r="B246" s="3817" t="s">
        <v>3444</v>
      </c>
      <c r="C246" s="3817">
        <v>59</v>
      </c>
      <c r="D246" s="3817" t="s">
        <v>3456</v>
      </c>
      <c r="E246" s="3817" t="s">
        <v>3453</v>
      </c>
      <c r="F246" s="3817">
        <v>270</v>
      </c>
      <c r="G246" s="3819">
        <v>45184</v>
      </c>
      <c r="H246" s="3817">
        <v>267</v>
      </c>
      <c r="I246" s="3817">
        <v>44798</v>
      </c>
    </row>
    <row r="247" spans="1:9" hidden="1">
      <c r="A247" s="3819">
        <v>45207</v>
      </c>
      <c r="B247" s="3817" t="s">
        <v>3444</v>
      </c>
      <c r="C247" s="3817">
        <v>57</v>
      </c>
      <c r="D247" s="3817" t="s">
        <v>3446</v>
      </c>
      <c r="E247" s="3817" t="s">
        <v>3453</v>
      </c>
      <c r="F247" s="3817">
        <v>278</v>
      </c>
      <c r="G247" s="3819">
        <v>45163</v>
      </c>
      <c r="H247" s="3817">
        <v>275</v>
      </c>
      <c r="I247" s="3817">
        <v>47909</v>
      </c>
    </row>
    <row r="248" spans="1:9" hidden="1">
      <c r="A248" s="3819">
        <v>45207</v>
      </c>
      <c r="B248" s="3817" t="s">
        <v>3441</v>
      </c>
      <c r="C248" s="3817">
        <v>57</v>
      </c>
      <c r="D248" s="3817" t="s">
        <v>3497</v>
      </c>
      <c r="E248" s="3820"/>
      <c r="F248" s="3817">
        <v>0</v>
      </c>
      <c r="G248" s="3817" t="s">
        <v>3443</v>
      </c>
      <c r="H248" s="3817">
        <v>265</v>
      </c>
      <c r="I248" s="3817">
        <v>46329</v>
      </c>
    </row>
    <row r="249" spans="1:9" hidden="1">
      <c r="A249" s="3819">
        <v>45196</v>
      </c>
      <c r="B249" s="3817" t="s">
        <v>3441</v>
      </c>
      <c r="C249" s="3817">
        <v>57</v>
      </c>
      <c r="D249" s="3817" t="s">
        <v>3491</v>
      </c>
      <c r="E249" s="3820"/>
      <c r="F249" s="3817">
        <v>0</v>
      </c>
      <c r="G249" s="3817" t="s">
        <v>3443</v>
      </c>
      <c r="H249" s="3817">
        <v>288</v>
      </c>
      <c r="I249" s="3817">
        <v>50350</v>
      </c>
    </row>
    <row r="250" spans="1:9" hidden="1">
      <c r="A250" s="3819">
        <v>45195</v>
      </c>
      <c r="B250" s="3817" t="s">
        <v>3441</v>
      </c>
      <c r="C250" s="3817">
        <v>71</v>
      </c>
      <c r="D250" s="3817" t="s">
        <v>3499</v>
      </c>
      <c r="E250" s="3817" t="s">
        <v>3429</v>
      </c>
      <c r="F250" s="3817">
        <v>0</v>
      </c>
      <c r="G250" s="3817" t="s">
        <v>3443</v>
      </c>
      <c r="H250" s="3817">
        <v>365</v>
      </c>
      <c r="I250" s="3817">
        <v>51070</v>
      </c>
    </row>
    <row r="251" spans="1:9" hidden="1">
      <c r="A251" s="3819">
        <v>45195</v>
      </c>
      <c r="B251" s="3817" t="s">
        <v>3444</v>
      </c>
      <c r="C251" s="3817">
        <v>61</v>
      </c>
      <c r="D251" s="3817" t="s">
        <v>3445</v>
      </c>
      <c r="E251" s="3817" t="s">
        <v>3468</v>
      </c>
      <c r="F251" s="3817">
        <v>406</v>
      </c>
      <c r="G251" s="3819">
        <v>45092</v>
      </c>
      <c r="H251" s="3817">
        <v>406</v>
      </c>
      <c r="I251" s="3817">
        <v>65802</v>
      </c>
    </row>
    <row r="252" spans="1:9" hidden="1">
      <c r="A252" s="3819">
        <v>45194</v>
      </c>
      <c r="B252" s="3817" t="s">
        <v>3441</v>
      </c>
      <c r="C252" s="3817">
        <v>49</v>
      </c>
      <c r="D252" s="3817" t="s">
        <v>3491</v>
      </c>
      <c r="E252" s="3817" t="s">
        <v>3500</v>
      </c>
      <c r="F252" s="3817">
        <v>0</v>
      </c>
      <c r="G252" s="3817" t="s">
        <v>3443</v>
      </c>
      <c r="H252" s="3817">
        <v>253</v>
      </c>
      <c r="I252" s="3817">
        <v>50844</v>
      </c>
    </row>
    <row r="253" spans="1:9" hidden="1">
      <c r="A253" s="3819">
        <v>45193</v>
      </c>
      <c r="B253" s="3817" t="s">
        <v>3441</v>
      </c>
      <c r="C253" s="3817">
        <v>62</v>
      </c>
      <c r="D253" s="3817" t="s">
        <v>3490</v>
      </c>
      <c r="E253" s="3820"/>
      <c r="F253" s="3817">
        <v>0</v>
      </c>
      <c r="G253" s="3817" t="s">
        <v>3443</v>
      </c>
      <c r="H253" s="3817">
        <v>291</v>
      </c>
      <c r="I253" s="3817">
        <v>46338</v>
      </c>
    </row>
    <row r="254" spans="1:9" hidden="1">
      <c r="A254" s="3819">
        <v>45188</v>
      </c>
      <c r="B254" s="3817" t="s">
        <v>3441</v>
      </c>
      <c r="C254" s="3817">
        <v>57</v>
      </c>
      <c r="D254" s="3817" t="s">
        <v>3491</v>
      </c>
      <c r="E254" s="3820"/>
      <c r="F254" s="3817">
        <v>0</v>
      </c>
      <c r="G254" s="3817" t="s">
        <v>3443</v>
      </c>
      <c r="H254" s="3817">
        <v>285</v>
      </c>
      <c r="I254" s="3817">
        <v>49566</v>
      </c>
    </row>
    <row r="255" spans="1:9" hidden="1">
      <c r="A255" s="3819">
        <v>45187</v>
      </c>
      <c r="B255" s="3817" t="s">
        <v>3441</v>
      </c>
      <c r="C255" s="3817">
        <v>55</v>
      </c>
      <c r="D255" s="3820"/>
      <c r="E255" s="3820"/>
      <c r="F255" s="3817">
        <v>0</v>
      </c>
      <c r="G255" s="3817" t="s">
        <v>3443</v>
      </c>
      <c r="H255" s="3817">
        <v>290</v>
      </c>
      <c r="I255" s="3817">
        <v>52574</v>
      </c>
    </row>
    <row r="256" spans="1:9" hidden="1">
      <c r="A256" s="3819">
        <v>45184</v>
      </c>
      <c r="B256" s="3817" t="s">
        <v>3449</v>
      </c>
      <c r="C256" s="3817">
        <v>77</v>
      </c>
      <c r="D256" s="3817" t="s">
        <v>3446</v>
      </c>
      <c r="E256" s="3817" t="s">
        <v>3453</v>
      </c>
      <c r="F256" s="3817">
        <v>390</v>
      </c>
      <c r="G256" s="3817" t="s">
        <v>3461</v>
      </c>
      <c r="H256" s="3817">
        <v>389</v>
      </c>
      <c r="I256" s="3817">
        <v>50455</v>
      </c>
    </row>
    <row r="257" spans="1:9" hidden="1">
      <c r="A257" s="3819">
        <v>45183</v>
      </c>
      <c r="B257" s="3817" t="s">
        <v>3444</v>
      </c>
      <c r="C257" s="3817">
        <v>58</v>
      </c>
      <c r="D257" s="3817" t="s">
        <v>3454</v>
      </c>
      <c r="E257" s="3817" t="s">
        <v>3453</v>
      </c>
      <c r="F257" s="3817">
        <v>269</v>
      </c>
      <c r="G257" s="3819">
        <v>44961</v>
      </c>
      <c r="H257" s="3817">
        <v>262</v>
      </c>
      <c r="I257" s="3817">
        <v>44634</v>
      </c>
    </row>
    <row r="258" spans="1:9" hidden="1">
      <c r="A258" s="3819">
        <v>45179</v>
      </c>
      <c r="B258" s="3817" t="s">
        <v>3444</v>
      </c>
      <c r="C258" s="3817">
        <v>54</v>
      </c>
      <c r="D258" s="3817" t="s">
        <v>3454</v>
      </c>
      <c r="E258" s="3817" t="s">
        <v>3453</v>
      </c>
      <c r="F258" s="3817">
        <v>295</v>
      </c>
      <c r="G258" s="3819">
        <v>45049</v>
      </c>
      <c r="H258" s="3817">
        <v>267</v>
      </c>
      <c r="I258" s="3817">
        <v>48812</v>
      </c>
    </row>
    <row r="259" spans="1:9" hidden="1">
      <c r="A259" s="3819">
        <v>45178</v>
      </c>
      <c r="B259" s="3817" t="s">
        <v>3444</v>
      </c>
      <c r="C259" s="3817">
        <v>57</v>
      </c>
      <c r="D259" s="3817" t="s">
        <v>3455</v>
      </c>
      <c r="E259" s="3817" t="s">
        <v>3453</v>
      </c>
      <c r="F259" s="3817">
        <v>310</v>
      </c>
      <c r="G259" s="3819">
        <v>45018</v>
      </c>
      <c r="H259" s="3817">
        <v>281</v>
      </c>
      <c r="I259" s="3817">
        <v>49126</v>
      </c>
    </row>
    <row r="260" spans="1:9" hidden="1">
      <c r="A260" s="3819">
        <v>45173</v>
      </c>
      <c r="B260" s="3817" t="s">
        <v>3444</v>
      </c>
      <c r="C260" s="3817">
        <v>49</v>
      </c>
      <c r="D260" s="3817" t="s">
        <v>3446</v>
      </c>
      <c r="E260" s="3817" t="s">
        <v>3460</v>
      </c>
      <c r="F260" s="3817">
        <v>253</v>
      </c>
      <c r="G260" s="3819">
        <v>45026</v>
      </c>
      <c r="H260" s="3817">
        <v>248</v>
      </c>
      <c r="I260" s="3817">
        <v>49960</v>
      </c>
    </row>
    <row r="261" spans="1:9" hidden="1">
      <c r="A261" s="3819">
        <v>45172</v>
      </c>
      <c r="B261" s="3817" t="s">
        <v>3444</v>
      </c>
      <c r="C261" s="3817">
        <v>62</v>
      </c>
      <c r="D261" s="3817" t="s">
        <v>3456</v>
      </c>
      <c r="E261" s="3817" t="s">
        <v>3457</v>
      </c>
      <c r="F261" s="3817">
        <v>295</v>
      </c>
      <c r="G261" s="3819">
        <v>45120</v>
      </c>
      <c r="H261" s="3817">
        <v>291</v>
      </c>
      <c r="I261" s="3817">
        <v>46384</v>
      </c>
    </row>
    <row r="262" spans="1:9" hidden="1">
      <c r="A262" s="3819">
        <v>45161</v>
      </c>
      <c r="B262" s="3817" t="s">
        <v>3444</v>
      </c>
      <c r="C262" s="3817">
        <v>54</v>
      </c>
      <c r="D262" s="3817" t="s">
        <v>3446</v>
      </c>
      <c r="E262" s="3817" t="s">
        <v>3453</v>
      </c>
      <c r="F262" s="3817">
        <v>315</v>
      </c>
      <c r="G262" s="3819">
        <v>45156</v>
      </c>
      <c r="H262" s="3817">
        <v>299</v>
      </c>
      <c r="I262" s="3817">
        <v>54862</v>
      </c>
    </row>
    <row r="263" spans="1:9" hidden="1">
      <c r="A263" s="3819">
        <v>45157</v>
      </c>
      <c r="B263" s="3817" t="s">
        <v>3471</v>
      </c>
      <c r="C263" s="3817">
        <v>43</v>
      </c>
      <c r="D263" s="3817" t="s">
        <v>3446</v>
      </c>
      <c r="E263" s="3817" t="s">
        <v>3442</v>
      </c>
      <c r="F263" s="3817">
        <v>219</v>
      </c>
      <c r="G263" s="3819">
        <v>45074</v>
      </c>
      <c r="H263" s="3817">
        <v>208</v>
      </c>
      <c r="I263" s="3817">
        <v>48148</v>
      </c>
    </row>
    <row r="264" spans="1:9" hidden="1">
      <c r="A264" s="3819">
        <v>45154</v>
      </c>
      <c r="B264" s="3817" t="s">
        <v>3475</v>
      </c>
      <c r="C264" s="3817">
        <v>77</v>
      </c>
      <c r="D264" s="3817" t="s">
        <v>3490</v>
      </c>
      <c r="E264" s="3820"/>
      <c r="F264" s="3817">
        <v>0</v>
      </c>
      <c r="G264" s="3817" t="s">
        <v>3443</v>
      </c>
      <c r="H264" s="3817">
        <v>328</v>
      </c>
      <c r="I264" s="3817">
        <v>42597</v>
      </c>
    </row>
    <row r="265" spans="1:9" hidden="1">
      <c r="A265" s="3819">
        <v>45148</v>
      </c>
      <c r="B265" s="3817" t="s">
        <v>3444</v>
      </c>
      <c r="C265" s="3817">
        <v>57</v>
      </c>
      <c r="D265" s="3817" t="s">
        <v>3455</v>
      </c>
      <c r="E265" s="3817" t="s">
        <v>3453</v>
      </c>
      <c r="F265" s="3817">
        <v>305</v>
      </c>
      <c r="G265" s="3819">
        <v>45087</v>
      </c>
      <c r="H265" s="3817">
        <v>297</v>
      </c>
      <c r="I265" s="3817">
        <v>51655</v>
      </c>
    </row>
    <row r="266" spans="1:9" hidden="1">
      <c r="A266" s="3819">
        <v>45147</v>
      </c>
      <c r="B266" s="3817" t="s">
        <v>3444</v>
      </c>
      <c r="C266" s="3817">
        <v>61</v>
      </c>
      <c r="D266" s="3817" t="s">
        <v>3455</v>
      </c>
      <c r="E266" s="3817" t="s">
        <v>3429</v>
      </c>
      <c r="F266" s="3817">
        <v>320</v>
      </c>
      <c r="G266" s="3819">
        <v>45055</v>
      </c>
      <c r="H266" s="3817">
        <v>315</v>
      </c>
      <c r="I266" s="3817">
        <v>51387</v>
      </c>
    </row>
    <row r="267" spans="1:9" hidden="1">
      <c r="A267" s="3819">
        <v>45144</v>
      </c>
      <c r="B267" s="3817" t="s">
        <v>3441</v>
      </c>
      <c r="C267" s="3817">
        <v>39</v>
      </c>
      <c r="D267" s="3817" t="s">
        <v>3497</v>
      </c>
      <c r="E267" s="3820"/>
      <c r="F267" s="3817">
        <v>0</v>
      </c>
      <c r="G267" s="3817" t="s">
        <v>3443</v>
      </c>
      <c r="H267" s="3817">
        <v>69</v>
      </c>
      <c r="I267" s="3817">
        <v>17620</v>
      </c>
    </row>
    <row r="268" spans="1:9" hidden="1">
      <c r="A268" s="3819">
        <v>45140</v>
      </c>
      <c r="B268" s="3817" t="s">
        <v>3444</v>
      </c>
      <c r="C268" s="3817">
        <v>64</v>
      </c>
      <c r="D268" s="3817" t="s">
        <v>3462</v>
      </c>
      <c r="E268" s="3817" t="s">
        <v>3429</v>
      </c>
      <c r="F268" s="3817">
        <v>392</v>
      </c>
      <c r="G268" s="3819">
        <v>45126</v>
      </c>
      <c r="H268" s="3817">
        <v>378</v>
      </c>
      <c r="I268" s="3817">
        <v>59035</v>
      </c>
    </row>
    <row r="269" spans="1:9" hidden="1">
      <c r="A269" s="3819">
        <v>45131</v>
      </c>
      <c r="B269" s="3817" t="s">
        <v>3444</v>
      </c>
      <c r="C269" s="3817">
        <v>73</v>
      </c>
      <c r="D269" s="3817" t="s">
        <v>3459</v>
      </c>
      <c r="E269" s="3817" t="s">
        <v>3460</v>
      </c>
      <c r="F269" s="3817">
        <v>380</v>
      </c>
      <c r="G269" s="3819">
        <v>45029</v>
      </c>
      <c r="H269" s="3817">
        <v>373</v>
      </c>
      <c r="I269" s="3817">
        <v>50659</v>
      </c>
    </row>
    <row r="270" spans="1:9" hidden="1">
      <c r="A270" s="3819">
        <v>45129</v>
      </c>
      <c r="B270" s="3817" t="s">
        <v>3444</v>
      </c>
      <c r="C270" s="3817">
        <v>64</v>
      </c>
      <c r="D270" s="3817" t="s">
        <v>3462</v>
      </c>
      <c r="E270" s="3817" t="s">
        <v>3429</v>
      </c>
      <c r="F270" s="3817">
        <v>405</v>
      </c>
      <c r="G270" s="3819">
        <v>45108</v>
      </c>
      <c r="H270" s="3817">
        <v>371</v>
      </c>
      <c r="I270" s="3817">
        <v>57244</v>
      </c>
    </row>
    <row r="271" spans="1:9" hidden="1">
      <c r="A271" s="3819">
        <v>45120</v>
      </c>
      <c r="B271" s="3817" t="s">
        <v>3441</v>
      </c>
      <c r="C271" s="3817">
        <v>54</v>
      </c>
      <c r="D271" s="3817" t="s">
        <v>3497</v>
      </c>
      <c r="E271" s="3817" t="s">
        <v>3501</v>
      </c>
      <c r="F271" s="3817">
        <v>0</v>
      </c>
      <c r="G271" s="3817" t="s">
        <v>3443</v>
      </c>
      <c r="H271" s="3817">
        <v>302</v>
      </c>
      <c r="I271" s="3817">
        <v>55771</v>
      </c>
    </row>
    <row r="272" spans="1:9" hidden="1">
      <c r="A272" s="3819">
        <v>45120</v>
      </c>
      <c r="B272" s="3817" t="s">
        <v>3441</v>
      </c>
      <c r="C272" s="3817">
        <v>57</v>
      </c>
      <c r="D272" s="3817" t="s">
        <v>3491</v>
      </c>
      <c r="E272" s="3820"/>
      <c r="F272" s="3817">
        <v>0</v>
      </c>
      <c r="G272" s="3817" t="s">
        <v>3443</v>
      </c>
      <c r="H272" s="3817">
        <v>292</v>
      </c>
      <c r="I272" s="3817">
        <v>50694</v>
      </c>
    </row>
    <row r="273" spans="1:9" hidden="1">
      <c r="A273" s="3819">
        <v>45106</v>
      </c>
      <c r="B273" s="3817" t="s">
        <v>3444</v>
      </c>
      <c r="C273" s="3817">
        <v>54</v>
      </c>
      <c r="D273" s="3817" t="s">
        <v>3455</v>
      </c>
      <c r="E273" s="3817" t="s">
        <v>3453</v>
      </c>
      <c r="F273" s="3817">
        <v>333</v>
      </c>
      <c r="G273" s="3817" t="s">
        <v>3461</v>
      </c>
      <c r="H273" s="3817">
        <v>320</v>
      </c>
      <c r="I273" s="3817">
        <v>58954</v>
      </c>
    </row>
    <row r="274" spans="1:9" hidden="1">
      <c r="A274" s="3819">
        <v>45106</v>
      </c>
      <c r="B274" s="3817" t="s">
        <v>3449</v>
      </c>
      <c r="C274" s="3817">
        <v>68</v>
      </c>
      <c r="D274" s="3817" t="s">
        <v>3452</v>
      </c>
      <c r="E274" s="3817" t="s">
        <v>3457</v>
      </c>
      <c r="F274" s="3817">
        <v>339</v>
      </c>
      <c r="G274" s="3819">
        <v>45102</v>
      </c>
      <c r="H274" s="3817">
        <v>330</v>
      </c>
      <c r="I274" s="3817">
        <v>48189</v>
      </c>
    </row>
    <row r="275" spans="1:9" hidden="1">
      <c r="A275" s="3819">
        <v>45101</v>
      </c>
      <c r="B275" s="3817" t="s">
        <v>3444</v>
      </c>
      <c r="C275" s="3817">
        <v>62</v>
      </c>
      <c r="D275" s="3817" t="s">
        <v>3459</v>
      </c>
      <c r="E275" s="3817" t="s">
        <v>3468</v>
      </c>
      <c r="F275" s="3817">
        <v>417</v>
      </c>
      <c r="G275" s="3819">
        <v>45096</v>
      </c>
      <c r="H275" s="3817">
        <v>407</v>
      </c>
      <c r="I275" s="3817">
        <v>65582</v>
      </c>
    </row>
    <row r="276" spans="1:9" hidden="1">
      <c r="A276" s="3819">
        <v>45101</v>
      </c>
      <c r="B276" s="3817" t="s">
        <v>3449</v>
      </c>
      <c r="C276" s="3817">
        <v>91</v>
      </c>
      <c r="D276" s="3817" t="s">
        <v>3450</v>
      </c>
      <c r="E276" s="3817" t="s">
        <v>3464</v>
      </c>
      <c r="F276" s="3817">
        <v>450</v>
      </c>
      <c r="G276" s="3819">
        <v>45055</v>
      </c>
      <c r="H276" s="3817">
        <v>408</v>
      </c>
      <c r="I276" s="3817">
        <v>44678</v>
      </c>
    </row>
    <row r="277" spans="1:9" hidden="1">
      <c r="A277" s="3819">
        <v>45100</v>
      </c>
      <c r="B277" s="3817" t="s">
        <v>3441</v>
      </c>
      <c r="C277" s="3817">
        <v>57</v>
      </c>
      <c r="D277" s="3817" t="s">
        <v>3490</v>
      </c>
      <c r="E277" s="3820"/>
      <c r="F277" s="3817">
        <v>0</v>
      </c>
      <c r="G277" s="3817" t="s">
        <v>3443</v>
      </c>
      <c r="H277" s="3817">
        <v>278</v>
      </c>
      <c r="I277" s="3817">
        <v>48601</v>
      </c>
    </row>
    <row r="278" spans="1:9" hidden="1">
      <c r="A278" s="3819">
        <v>45094</v>
      </c>
      <c r="B278" s="3817" t="s">
        <v>3444</v>
      </c>
      <c r="C278" s="3817">
        <v>77</v>
      </c>
      <c r="D278" s="3817" t="s">
        <v>3450</v>
      </c>
      <c r="E278" s="3817" t="s">
        <v>3442</v>
      </c>
      <c r="F278" s="3817">
        <v>380</v>
      </c>
      <c r="G278" s="3819">
        <v>45073</v>
      </c>
      <c r="H278" s="3817">
        <v>380</v>
      </c>
      <c r="I278" s="3817">
        <v>49096</v>
      </c>
    </row>
    <row r="279" spans="1:9" hidden="1">
      <c r="A279" s="3819">
        <v>45093</v>
      </c>
      <c r="B279" s="3817" t="s">
        <v>3444</v>
      </c>
      <c r="C279" s="3817">
        <v>67</v>
      </c>
      <c r="D279" s="3817" t="s">
        <v>3502</v>
      </c>
      <c r="E279" s="3817" t="s">
        <v>3463</v>
      </c>
      <c r="F279" s="3817">
        <v>309</v>
      </c>
      <c r="G279" s="3819">
        <v>45087</v>
      </c>
      <c r="H279" s="3817">
        <v>291</v>
      </c>
      <c r="I279" s="3817">
        <v>43098</v>
      </c>
    </row>
    <row r="280" spans="1:9" hidden="1">
      <c r="A280" s="3819">
        <v>45089</v>
      </c>
      <c r="B280" s="3817" t="s">
        <v>3475</v>
      </c>
      <c r="C280" s="3817">
        <v>91</v>
      </c>
      <c r="D280" s="3817" t="s">
        <v>3494</v>
      </c>
      <c r="E280" s="3820"/>
      <c r="F280" s="3817">
        <v>0</v>
      </c>
      <c r="G280" s="3817" t="s">
        <v>3443</v>
      </c>
      <c r="H280" s="3817">
        <v>508</v>
      </c>
      <c r="I280" s="3817">
        <v>55635</v>
      </c>
    </row>
    <row r="281" spans="1:9" hidden="1">
      <c r="A281" s="3819">
        <v>45088</v>
      </c>
      <c r="B281" s="3817" t="s">
        <v>3444</v>
      </c>
      <c r="C281" s="3817">
        <v>54</v>
      </c>
      <c r="D281" s="3817" t="s">
        <v>3456</v>
      </c>
      <c r="E281" s="3817" t="s">
        <v>3453</v>
      </c>
      <c r="F281" s="3817">
        <v>309</v>
      </c>
      <c r="G281" s="3819">
        <v>45080</v>
      </c>
      <c r="H281" s="3817">
        <v>285</v>
      </c>
      <c r="I281" s="3817">
        <v>52198</v>
      </c>
    </row>
    <row r="282" spans="1:9" hidden="1">
      <c r="A282" s="3819">
        <v>45082</v>
      </c>
      <c r="B282" s="3817" t="s">
        <v>3444</v>
      </c>
      <c r="C282" s="3817">
        <v>59</v>
      </c>
      <c r="D282" s="3817" t="s">
        <v>3456</v>
      </c>
      <c r="E282" s="3817" t="s">
        <v>3453</v>
      </c>
      <c r="F282" s="3817">
        <v>293</v>
      </c>
      <c r="G282" s="3819">
        <v>44996</v>
      </c>
      <c r="H282" s="3817">
        <v>281</v>
      </c>
      <c r="I282" s="3817">
        <v>47148</v>
      </c>
    </row>
    <row r="283" spans="1:9" hidden="1">
      <c r="A283" s="3819">
        <v>45082</v>
      </c>
      <c r="B283" s="3817" t="s">
        <v>3444</v>
      </c>
      <c r="C283" s="3817">
        <v>55</v>
      </c>
      <c r="D283" s="3817" t="s">
        <v>3446</v>
      </c>
      <c r="E283" s="3817" t="s">
        <v>3465</v>
      </c>
      <c r="F283" s="3817">
        <v>314</v>
      </c>
      <c r="G283" s="3819">
        <v>44972</v>
      </c>
      <c r="H283" s="3817">
        <v>302</v>
      </c>
      <c r="I283" s="3817">
        <v>54750</v>
      </c>
    </row>
    <row r="284" spans="1:9" hidden="1">
      <c r="A284" s="3819">
        <v>45074</v>
      </c>
      <c r="B284" s="3817" t="s">
        <v>3475</v>
      </c>
      <c r="C284" s="3817">
        <v>76</v>
      </c>
      <c r="D284" s="3817" t="s">
        <v>3490</v>
      </c>
      <c r="E284" s="3820"/>
      <c r="F284" s="3817">
        <v>0</v>
      </c>
      <c r="G284" s="3817" t="s">
        <v>3443</v>
      </c>
      <c r="H284" s="3817">
        <v>360</v>
      </c>
      <c r="I284" s="3817">
        <v>46814</v>
      </c>
    </row>
    <row r="285" spans="1:9" hidden="1">
      <c r="A285" s="3819">
        <v>45070</v>
      </c>
      <c r="B285" s="3817" t="s">
        <v>3444</v>
      </c>
      <c r="C285" s="3817">
        <v>77</v>
      </c>
      <c r="D285" s="3817" t="s">
        <v>3503</v>
      </c>
      <c r="E285" s="3817" t="s">
        <v>3463</v>
      </c>
      <c r="F285" s="3817">
        <v>360</v>
      </c>
      <c r="G285" s="3819">
        <v>45040</v>
      </c>
      <c r="H285" s="3817">
        <v>355</v>
      </c>
      <c r="I285" s="3817">
        <v>45842</v>
      </c>
    </row>
    <row r="286" spans="1:9" hidden="1">
      <c r="A286" s="3819">
        <v>45061</v>
      </c>
      <c r="B286" s="3817" t="s">
        <v>3471</v>
      </c>
      <c r="C286" s="3817">
        <v>43</v>
      </c>
      <c r="D286" s="3817" t="s">
        <v>3446</v>
      </c>
      <c r="E286" s="3817" t="s">
        <v>3429</v>
      </c>
      <c r="F286" s="3817">
        <v>280</v>
      </c>
      <c r="G286" s="3819">
        <v>45022</v>
      </c>
      <c r="H286" s="3817">
        <v>283</v>
      </c>
      <c r="I286" s="3817">
        <v>65610</v>
      </c>
    </row>
    <row r="287" spans="1:9" hidden="1">
      <c r="A287" s="3819">
        <v>45056</v>
      </c>
      <c r="B287" s="3817" t="s">
        <v>3444</v>
      </c>
      <c r="C287" s="3817">
        <v>56</v>
      </c>
      <c r="D287" s="3817" t="s">
        <v>3446</v>
      </c>
      <c r="E287" s="3817" t="s">
        <v>3453</v>
      </c>
      <c r="F287" s="3817">
        <v>321</v>
      </c>
      <c r="G287" s="3819">
        <v>44990</v>
      </c>
      <c r="H287" s="3817">
        <v>318</v>
      </c>
      <c r="I287" s="3817">
        <v>56095</v>
      </c>
    </row>
    <row r="288" spans="1:9" hidden="1">
      <c r="A288" s="3819">
        <v>45056</v>
      </c>
      <c r="B288" s="3817" t="s">
        <v>3444</v>
      </c>
      <c r="C288" s="3817">
        <v>57</v>
      </c>
      <c r="D288" s="3817" t="s">
        <v>3446</v>
      </c>
      <c r="E288" s="3817" t="s">
        <v>3453</v>
      </c>
      <c r="F288" s="3817">
        <v>310</v>
      </c>
      <c r="G288" s="3819">
        <v>44991</v>
      </c>
      <c r="H288" s="3817">
        <v>295</v>
      </c>
      <c r="I288" s="3817">
        <v>51573</v>
      </c>
    </row>
    <row r="289" spans="1:9" hidden="1">
      <c r="A289" s="3819">
        <v>45045</v>
      </c>
      <c r="B289" s="3817" t="s">
        <v>3444</v>
      </c>
      <c r="C289" s="3817">
        <v>58</v>
      </c>
      <c r="D289" s="3817" t="s">
        <v>3454</v>
      </c>
      <c r="E289" s="3817" t="s">
        <v>3453</v>
      </c>
      <c r="F289" s="3817">
        <v>276</v>
      </c>
      <c r="G289" s="3819">
        <v>45039</v>
      </c>
      <c r="H289" s="3817">
        <v>277</v>
      </c>
      <c r="I289" s="3817">
        <v>47058</v>
      </c>
    </row>
    <row r="290" spans="1:9" hidden="1">
      <c r="A290" s="3819">
        <v>45045</v>
      </c>
      <c r="B290" s="3817" t="s">
        <v>3444</v>
      </c>
      <c r="C290" s="3817">
        <v>54</v>
      </c>
      <c r="D290" s="3817" t="s">
        <v>3446</v>
      </c>
      <c r="E290" s="3817" t="s">
        <v>3453</v>
      </c>
      <c r="F290" s="3817">
        <v>345</v>
      </c>
      <c r="G290" s="3819">
        <v>44994</v>
      </c>
      <c r="H290" s="3817">
        <v>335</v>
      </c>
      <c r="I290" s="3817">
        <v>61355</v>
      </c>
    </row>
    <row r="291" spans="1:9" hidden="1">
      <c r="A291" s="3819">
        <v>45042</v>
      </c>
      <c r="B291" s="3817" t="s">
        <v>3471</v>
      </c>
      <c r="C291" s="3817">
        <v>40</v>
      </c>
      <c r="D291" s="3817" t="s">
        <v>3454</v>
      </c>
      <c r="E291" s="3817" t="s">
        <v>3429</v>
      </c>
      <c r="F291" s="3817">
        <v>235</v>
      </c>
      <c r="G291" s="3819">
        <v>44806</v>
      </c>
      <c r="H291" s="3817">
        <v>222</v>
      </c>
      <c r="I291" s="3817">
        <v>54545</v>
      </c>
    </row>
    <row r="292" spans="1:9" hidden="1">
      <c r="A292" s="3819">
        <v>45039</v>
      </c>
      <c r="B292" s="3817" t="s">
        <v>3471</v>
      </c>
      <c r="C292" s="3817">
        <v>41</v>
      </c>
      <c r="D292" s="3817" t="s">
        <v>3446</v>
      </c>
      <c r="E292" s="3817" t="s">
        <v>3429</v>
      </c>
      <c r="F292" s="3817">
        <v>240</v>
      </c>
      <c r="G292" s="3819">
        <v>44993</v>
      </c>
      <c r="H292" s="3817">
        <v>235</v>
      </c>
      <c r="I292" s="3817">
        <v>56355</v>
      </c>
    </row>
    <row r="293" spans="1:9" hidden="1">
      <c r="A293" s="3819">
        <v>45035</v>
      </c>
      <c r="B293" s="3817" t="s">
        <v>3441</v>
      </c>
      <c r="C293" s="3817">
        <v>64</v>
      </c>
      <c r="D293" s="3817" t="s">
        <v>3496</v>
      </c>
      <c r="E293" s="3817" t="s">
        <v>3429</v>
      </c>
      <c r="F293" s="3817">
        <v>0</v>
      </c>
      <c r="G293" s="3817" t="s">
        <v>3443</v>
      </c>
      <c r="H293" s="3817">
        <v>415</v>
      </c>
      <c r="I293" s="3817">
        <v>64080</v>
      </c>
    </row>
    <row r="294" spans="1:9" hidden="1">
      <c r="A294" s="3819">
        <v>45024</v>
      </c>
      <c r="B294" s="3817" t="s">
        <v>3444</v>
      </c>
      <c r="C294" s="3817">
        <v>57</v>
      </c>
      <c r="D294" s="3817" t="s">
        <v>3455</v>
      </c>
      <c r="E294" s="3817" t="s">
        <v>3453</v>
      </c>
      <c r="F294" s="3817">
        <v>319</v>
      </c>
      <c r="G294" s="3819">
        <v>44976</v>
      </c>
      <c r="H294" s="3817">
        <v>310</v>
      </c>
      <c r="I294" s="3817">
        <v>54196</v>
      </c>
    </row>
    <row r="295" spans="1:9" hidden="1">
      <c r="A295" s="3819">
        <v>45024</v>
      </c>
      <c r="B295" s="3817" t="s">
        <v>3444</v>
      </c>
      <c r="C295" s="3817">
        <v>49</v>
      </c>
      <c r="D295" s="3817" t="s">
        <v>3454</v>
      </c>
      <c r="E295" s="3817" t="s">
        <v>3460</v>
      </c>
      <c r="F295" s="3817">
        <v>249</v>
      </c>
      <c r="G295" s="3819">
        <v>44966</v>
      </c>
      <c r="H295" s="3817">
        <v>243</v>
      </c>
      <c r="I295" s="3817">
        <v>48834</v>
      </c>
    </row>
    <row r="296" spans="1:9" hidden="1">
      <c r="A296" s="3819">
        <v>45022</v>
      </c>
      <c r="B296" s="3817" t="s">
        <v>3441</v>
      </c>
      <c r="C296" s="3817">
        <v>57</v>
      </c>
      <c r="D296" s="3817" t="s">
        <v>3494</v>
      </c>
      <c r="E296" s="3817" t="s">
        <v>3463</v>
      </c>
      <c r="F296" s="3817">
        <v>0</v>
      </c>
      <c r="G296" s="3817" t="s">
        <v>3443</v>
      </c>
      <c r="H296" s="3817">
        <v>304</v>
      </c>
      <c r="I296" s="3817">
        <v>52750</v>
      </c>
    </row>
    <row r="297" spans="1:9" hidden="1">
      <c r="A297" s="3819">
        <v>45016</v>
      </c>
      <c r="B297" s="3817" t="s">
        <v>3444</v>
      </c>
      <c r="C297" s="3817">
        <v>71</v>
      </c>
      <c r="D297" s="3817" t="s">
        <v>3467</v>
      </c>
      <c r="E297" s="3817" t="s">
        <v>3429</v>
      </c>
      <c r="F297" s="3817">
        <v>388</v>
      </c>
      <c r="G297" s="3819">
        <v>44968</v>
      </c>
      <c r="H297" s="3817">
        <v>382</v>
      </c>
      <c r="I297" s="3817">
        <v>53379</v>
      </c>
    </row>
    <row r="298" spans="1:9" hidden="1">
      <c r="A298" s="3819">
        <v>45012</v>
      </c>
      <c r="B298" s="3817" t="s">
        <v>3444</v>
      </c>
      <c r="C298" s="3817">
        <v>64</v>
      </c>
      <c r="D298" s="3817" t="s">
        <v>3445</v>
      </c>
      <c r="E298" s="3817" t="s">
        <v>3429</v>
      </c>
      <c r="F298" s="3817">
        <v>430</v>
      </c>
      <c r="G298" s="3819">
        <v>44998</v>
      </c>
      <c r="H298" s="3817">
        <v>415</v>
      </c>
      <c r="I298" s="3817">
        <v>64033</v>
      </c>
    </row>
    <row r="299" spans="1:9" hidden="1">
      <c r="A299" s="3819">
        <v>45011</v>
      </c>
      <c r="B299" s="3817" t="s">
        <v>3444</v>
      </c>
      <c r="C299" s="3817">
        <v>54</v>
      </c>
      <c r="D299" s="3817" t="s">
        <v>3446</v>
      </c>
      <c r="E299" s="3817" t="s">
        <v>3457</v>
      </c>
      <c r="F299" s="3817">
        <v>298</v>
      </c>
      <c r="G299" s="3819">
        <v>44993</v>
      </c>
      <c r="H299" s="3817">
        <v>293</v>
      </c>
      <c r="I299" s="3817">
        <v>53376</v>
      </c>
    </row>
    <row r="300" spans="1:9" hidden="1">
      <c r="A300" s="3819">
        <v>45011</v>
      </c>
      <c r="B300" s="3817" t="s">
        <v>3471</v>
      </c>
      <c r="C300" s="3817">
        <v>41</v>
      </c>
      <c r="D300" s="3817" t="s">
        <v>3454</v>
      </c>
      <c r="E300" s="3817" t="s">
        <v>3429</v>
      </c>
      <c r="F300" s="3817">
        <v>223</v>
      </c>
      <c r="G300" s="3819">
        <v>44927</v>
      </c>
      <c r="H300" s="3817">
        <v>215</v>
      </c>
      <c r="I300" s="3817">
        <v>51559</v>
      </c>
    </row>
    <row r="301" spans="1:9" hidden="1">
      <c r="A301" s="3819">
        <v>45002</v>
      </c>
      <c r="B301" s="3817" t="s">
        <v>3444</v>
      </c>
      <c r="C301" s="3817">
        <v>49</v>
      </c>
      <c r="D301" s="3817" t="s">
        <v>3454</v>
      </c>
      <c r="E301" s="3817" t="s">
        <v>3470</v>
      </c>
      <c r="F301" s="3817">
        <v>246</v>
      </c>
      <c r="G301" s="3819">
        <v>44978</v>
      </c>
      <c r="H301" s="3817">
        <v>242</v>
      </c>
      <c r="I301" s="3817">
        <v>48731</v>
      </c>
    </row>
    <row r="302" spans="1:9" hidden="1">
      <c r="A302" s="3819">
        <v>45000</v>
      </c>
      <c r="B302" s="3817" t="s">
        <v>3444</v>
      </c>
      <c r="C302" s="3817">
        <v>73</v>
      </c>
      <c r="D302" s="3817" t="s">
        <v>3459</v>
      </c>
      <c r="E302" s="3817" t="s">
        <v>3477</v>
      </c>
      <c r="F302" s="3817">
        <v>410</v>
      </c>
      <c r="G302" s="3819">
        <v>44989</v>
      </c>
      <c r="H302" s="3817">
        <v>395</v>
      </c>
      <c r="I302" s="3817">
        <v>53647</v>
      </c>
    </row>
    <row r="303" spans="1:9" hidden="1">
      <c r="A303" s="3819">
        <v>44989</v>
      </c>
      <c r="B303" s="3817" t="s">
        <v>3444</v>
      </c>
      <c r="C303" s="3817">
        <v>57</v>
      </c>
      <c r="D303" s="3817" t="s">
        <v>3446</v>
      </c>
      <c r="E303" s="3817" t="s">
        <v>3453</v>
      </c>
      <c r="F303" s="3817">
        <v>309</v>
      </c>
      <c r="G303" s="3819">
        <v>44863</v>
      </c>
      <c r="H303" s="3817">
        <v>300</v>
      </c>
      <c r="I303" s="3817">
        <v>52448</v>
      </c>
    </row>
    <row r="304" spans="1:9" hidden="1">
      <c r="A304" s="3819">
        <v>44986</v>
      </c>
      <c r="B304" s="3817" t="s">
        <v>3441</v>
      </c>
      <c r="C304" s="3817">
        <v>71</v>
      </c>
      <c r="D304" s="3817" t="s">
        <v>3490</v>
      </c>
      <c r="E304" s="3820"/>
      <c r="F304" s="3817">
        <v>0</v>
      </c>
      <c r="G304" s="3817" t="s">
        <v>3443</v>
      </c>
      <c r="H304" s="3817">
        <v>390</v>
      </c>
      <c r="I304" s="3817">
        <v>54545</v>
      </c>
    </row>
    <row r="305" spans="1:9" hidden="1">
      <c r="A305" s="3819">
        <v>44985</v>
      </c>
      <c r="B305" s="3817" t="s">
        <v>3444</v>
      </c>
      <c r="C305" s="3817">
        <v>58</v>
      </c>
      <c r="D305" s="3817" t="s">
        <v>3454</v>
      </c>
      <c r="E305" s="3817" t="s">
        <v>3453</v>
      </c>
      <c r="F305" s="3817">
        <v>279</v>
      </c>
      <c r="G305" s="3819">
        <v>44955</v>
      </c>
      <c r="H305" s="3817">
        <v>275</v>
      </c>
      <c r="I305" s="3817">
        <v>46684</v>
      </c>
    </row>
    <row r="306" spans="1:9" hidden="1">
      <c r="A306" s="3819">
        <v>44982</v>
      </c>
      <c r="B306" s="3817" t="s">
        <v>3444</v>
      </c>
      <c r="C306" s="3817">
        <v>52</v>
      </c>
      <c r="D306" s="3817" t="s">
        <v>3452</v>
      </c>
      <c r="E306" s="3817" t="s">
        <v>3453</v>
      </c>
      <c r="F306" s="3817">
        <v>320</v>
      </c>
      <c r="G306" s="3819">
        <v>44975</v>
      </c>
      <c r="H306" s="3817">
        <v>318</v>
      </c>
      <c r="I306" s="3817">
        <v>60571</v>
      </c>
    </row>
    <row r="307" spans="1:9" hidden="1">
      <c r="A307" s="3819">
        <v>44980</v>
      </c>
      <c r="B307" s="3817" t="s">
        <v>3444</v>
      </c>
      <c r="C307" s="3817">
        <v>62</v>
      </c>
      <c r="D307" s="3817" t="s">
        <v>3445</v>
      </c>
      <c r="E307" s="3817" t="s">
        <v>3469</v>
      </c>
      <c r="F307" s="3817">
        <v>375</v>
      </c>
      <c r="G307" s="3819">
        <v>44783</v>
      </c>
      <c r="H307" s="3817">
        <v>370</v>
      </c>
      <c r="I307" s="3817">
        <v>59058</v>
      </c>
    </row>
    <row r="308" spans="1:9" hidden="1">
      <c r="A308" s="3819">
        <v>44973</v>
      </c>
      <c r="B308" s="3817" t="s">
        <v>3444</v>
      </c>
      <c r="C308" s="3817">
        <v>57</v>
      </c>
      <c r="D308" s="3817" t="s">
        <v>3455</v>
      </c>
      <c r="E308" s="3817" t="s">
        <v>3453</v>
      </c>
      <c r="F308" s="3817">
        <v>315</v>
      </c>
      <c r="G308" s="3817" t="s">
        <v>3461</v>
      </c>
      <c r="H308" s="3817">
        <v>309</v>
      </c>
      <c r="I308" s="3817">
        <v>54021</v>
      </c>
    </row>
    <row r="309" spans="1:9" hidden="1">
      <c r="A309" s="3819">
        <v>44973</v>
      </c>
      <c r="B309" s="3817" t="s">
        <v>3449</v>
      </c>
      <c r="C309" s="3817">
        <v>77</v>
      </c>
      <c r="D309" s="3817" t="s">
        <v>3455</v>
      </c>
      <c r="E309" s="3817" t="s">
        <v>3453</v>
      </c>
      <c r="F309" s="3817">
        <v>410</v>
      </c>
      <c r="G309" s="3817" t="s">
        <v>3461</v>
      </c>
      <c r="H309" s="3817">
        <v>400</v>
      </c>
      <c r="I309" s="3817">
        <v>51948</v>
      </c>
    </row>
    <row r="310" spans="1:9" hidden="1">
      <c r="A310" s="3819">
        <v>44970</v>
      </c>
      <c r="B310" s="3817" t="s">
        <v>3449</v>
      </c>
      <c r="C310" s="3817">
        <v>69</v>
      </c>
      <c r="D310" s="3817" t="s">
        <v>3454</v>
      </c>
      <c r="E310" s="3817" t="s">
        <v>3457</v>
      </c>
      <c r="F310" s="3817">
        <v>330</v>
      </c>
      <c r="G310" s="3819">
        <v>44862</v>
      </c>
      <c r="H310" s="3817">
        <v>325</v>
      </c>
      <c r="I310" s="3817">
        <v>47095</v>
      </c>
    </row>
    <row r="311" spans="1:9" hidden="1">
      <c r="A311" s="3819">
        <v>44969</v>
      </c>
      <c r="B311" s="3817" t="s">
        <v>3444</v>
      </c>
      <c r="C311" s="3817">
        <v>73</v>
      </c>
      <c r="D311" s="3817" t="s">
        <v>3445</v>
      </c>
      <c r="E311" s="3817" t="s">
        <v>3477</v>
      </c>
      <c r="F311" s="3817">
        <v>390</v>
      </c>
      <c r="G311" s="3819">
        <v>44934</v>
      </c>
      <c r="H311" s="3817">
        <v>375</v>
      </c>
      <c r="I311" s="3817">
        <v>50930</v>
      </c>
    </row>
    <row r="312" spans="1:9" hidden="1">
      <c r="A312" s="3819">
        <v>44966</v>
      </c>
      <c r="B312" s="3817" t="s">
        <v>3471</v>
      </c>
      <c r="C312" s="3817">
        <v>44</v>
      </c>
      <c r="D312" s="3817" t="s">
        <v>3455</v>
      </c>
      <c r="E312" s="3817" t="s">
        <v>3465</v>
      </c>
      <c r="F312" s="3817">
        <v>227</v>
      </c>
      <c r="G312" s="3819">
        <v>44960</v>
      </c>
      <c r="H312" s="3817">
        <v>228</v>
      </c>
      <c r="I312" s="3817">
        <v>51250</v>
      </c>
    </row>
    <row r="313" spans="1:9" hidden="1">
      <c r="A313" s="3819">
        <v>44965</v>
      </c>
      <c r="B313" s="3817" t="s">
        <v>3444</v>
      </c>
      <c r="C313" s="3817">
        <v>54</v>
      </c>
      <c r="D313" s="3817" t="s">
        <v>3446</v>
      </c>
      <c r="E313" s="3817" t="s">
        <v>3457</v>
      </c>
      <c r="F313" s="3817">
        <v>285</v>
      </c>
      <c r="G313" s="3819">
        <v>44868</v>
      </c>
      <c r="H313" s="3817">
        <v>280</v>
      </c>
      <c r="I313" s="3817">
        <v>51095</v>
      </c>
    </row>
    <row r="314" spans="1:9" hidden="1">
      <c r="A314" s="3819">
        <v>44964</v>
      </c>
      <c r="B314" s="3817" t="s">
        <v>3444</v>
      </c>
      <c r="C314" s="3817">
        <v>73</v>
      </c>
      <c r="D314" s="3817" t="s">
        <v>3462</v>
      </c>
      <c r="E314" s="3817" t="s">
        <v>3478</v>
      </c>
      <c r="F314" s="3817">
        <v>385</v>
      </c>
      <c r="G314" s="3819">
        <v>44939</v>
      </c>
      <c r="H314" s="3817">
        <v>380</v>
      </c>
      <c r="I314" s="3817">
        <v>51609</v>
      </c>
    </row>
    <row r="315" spans="1:9" hidden="1">
      <c r="A315" s="3819">
        <v>44962</v>
      </c>
      <c r="B315" s="3817" t="s">
        <v>3471</v>
      </c>
      <c r="C315" s="3817">
        <v>40</v>
      </c>
      <c r="D315" s="3817" t="s">
        <v>3454</v>
      </c>
      <c r="E315" s="3817" t="s">
        <v>3429</v>
      </c>
      <c r="F315" s="3817">
        <v>205</v>
      </c>
      <c r="G315" s="3819">
        <v>44934</v>
      </c>
      <c r="H315" s="3817">
        <v>200</v>
      </c>
      <c r="I315" s="3817">
        <v>49140</v>
      </c>
    </row>
    <row r="316" spans="1:9" hidden="1">
      <c r="A316" s="3819">
        <v>44962</v>
      </c>
      <c r="B316" s="3817" t="s">
        <v>3444</v>
      </c>
      <c r="C316" s="3817">
        <v>62</v>
      </c>
      <c r="D316" s="3817" t="s">
        <v>3459</v>
      </c>
      <c r="E316" s="3817" t="s">
        <v>3468</v>
      </c>
      <c r="F316" s="3817">
        <v>438</v>
      </c>
      <c r="G316" s="3819">
        <v>44956</v>
      </c>
      <c r="H316" s="3817">
        <v>430</v>
      </c>
      <c r="I316" s="3817">
        <v>69288</v>
      </c>
    </row>
    <row r="317" spans="1:9" hidden="1">
      <c r="A317" s="3819">
        <v>44959</v>
      </c>
      <c r="B317" s="3817" t="s">
        <v>3475</v>
      </c>
      <c r="C317" s="3817">
        <v>67</v>
      </c>
      <c r="D317" s="3817" t="s">
        <v>3490</v>
      </c>
      <c r="E317" s="3820"/>
      <c r="F317" s="3817">
        <v>0</v>
      </c>
      <c r="G317" s="3817" t="s">
        <v>3443</v>
      </c>
      <c r="H317" s="3817">
        <v>360</v>
      </c>
      <c r="I317" s="3817">
        <v>53129</v>
      </c>
    </row>
    <row r="318" spans="1:9" hidden="1">
      <c r="A318" s="3819">
        <v>44946</v>
      </c>
      <c r="B318" s="3817" t="s">
        <v>3448</v>
      </c>
      <c r="C318" s="3817">
        <v>38</v>
      </c>
      <c r="D318" s="3817" t="s">
        <v>3497</v>
      </c>
      <c r="E318" s="3817" t="s">
        <v>3442</v>
      </c>
      <c r="F318" s="3817">
        <v>0</v>
      </c>
      <c r="G318" s="3817" t="s">
        <v>3443</v>
      </c>
      <c r="H318" s="3817">
        <v>204</v>
      </c>
      <c r="I318" s="3817">
        <v>52442</v>
      </c>
    </row>
    <row r="319" spans="1:9" hidden="1">
      <c r="A319" s="3819">
        <v>44943</v>
      </c>
      <c r="B319" s="3817" t="s">
        <v>3444</v>
      </c>
      <c r="C319" s="3817">
        <v>69</v>
      </c>
      <c r="D319" s="3817" t="s">
        <v>3446</v>
      </c>
      <c r="E319" s="3817" t="s">
        <v>3453</v>
      </c>
      <c r="F319" s="3817">
        <v>419</v>
      </c>
      <c r="G319" s="3819">
        <v>44886</v>
      </c>
      <c r="H319" s="3817">
        <v>414</v>
      </c>
      <c r="I319" s="3817">
        <v>59286</v>
      </c>
    </row>
    <row r="320" spans="1:9" hidden="1">
      <c r="A320" s="3819">
        <v>44942</v>
      </c>
      <c r="B320" s="3817" t="s">
        <v>3441</v>
      </c>
      <c r="C320" s="3817">
        <v>54</v>
      </c>
      <c r="D320" s="3817" t="s">
        <v>3490</v>
      </c>
      <c r="E320" s="3817" t="s">
        <v>3504</v>
      </c>
      <c r="F320" s="3817">
        <v>0</v>
      </c>
      <c r="G320" s="3817" t="s">
        <v>3443</v>
      </c>
      <c r="H320" s="3817">
        <v>262</v>
      </c>
      <c r="I320" s="3817">
        <v>47901</v>
      </c>
    </row>
    <row r="321" spans="1:9" hidden="1">
      <c r="A321" s="3819">
        <v>44941</v>
      </c>
      <c r="B321" s="3817" t="s">
        <v>3441</v>
      </c>
      <c r="C321" s="3817">
        <v>51</v>
      </c>
      <c r="D321" s="3817" t="s">
        <v>3490</v>
      </c>
      <c r="E321" s="3820"/>
      <c r="F321" s="3817">
        <v>0</v>
      </c>
      <c r="G321" s="3817" t="s">
        <v>3443</v>
      </c>
      <c r="H321" s="3817">
        <v>226</v>
      </c>
      <c r="I321" s="3817">
        <v>44227</v>
      </c>
    </row>
    <row r="322" spans="1:9" hidden="1">
      <c r="A322" s="3819">
        <v>44928</v>
      </c>
      <c r="B322" s="3817" t="s">
        <v>3444</v>
      </c>
      <c r="C322" s="3817">
        <v>58</v>
      </c>
      <c r="D322" s="3817" t="s">
        <v>3454</v>
      </c>
      <c r="E322" s="3817" t="s">
        <v>3453</v>
      </c>
      <c r="F322" s="3817">
        <v>280</v>
      </c>
      <c r="G322" s="3819">
        <v>44808</v>
      </c>
      <c r="H322" s="3817">
        <v>279</v>
      </c>
      <c r="I322" s="3817">
        <v>47364</v>
      </c>
    </row>
    <row r="323" spans="1:9" hidden="1">
      <c r="A323" s="3819">
        <v>44921</v>
      </c>
      <c r="B323" s="3817" t="s">
        <v>3444</v>
      </c>
      <c r="C323" s="3817">
        <v>64</v>
      </c>
      <c r="D323" s="3817" t="s">
        <v>3445</v>
      </c>
      <c r="E323" s="3817" t="s">
        <v>3429</v>
      </c>
      <c r="F323" s="3817">
        <v>412</v>
      </c>
      <c r="G323" s="3819">
        <v>44830</v>
      </c>
      <c r="H323" s="3817">
        <v>405</v>
      </c>
      <c r="I323" s="3817">
        <v>62500</v>
      </c>
    </row>
    <row r="324" spans="1:9" hidden="1">
      <c r="A324" s="3819">
        <v>44910</v>
      </c>
      <c r="B324" s="3817" t="s">
        <v>3444</v>
      </c>
      <c r="C324" s="3817">
        <v>57</v>
      </c>
      <c r="D324" s="3817" t="s">
        <v>3446</v>
      </c>
      <c r="E324" s="3817" t="s">
        <v>3453</v>
      </c>
      <c r="F324" s="3817">
        <v>308</v>
      </c>
      <c r="G324" s="3819">
        <v>44794</v>
      </c>
      <c r="H324" s="3817">
        <v>304</v>
      </c>
      <c r="I324" s="3817">
        <v>52962</v>
      </c>
    </row>
    <row r="325" spans="1:9" hidden="1">
      <c r="A325" s="3819">
        <v>44908</v>
      </c>
      <c r="B325" s="3817" t="s">
        <v>3471</v>
      </c>
      <c r="C325" s="3817">
        <v>41</v>
      </c>
      <c r="D325" s="3817" t="s">
        <v>3456</v>
      </c>
      <c r="E325" s="3817" t="s">
        <v>3429</v>
      </c>
      <c r="F325" s="3817">
        <v>221</v>
      </c>
      <c r="G325" s="3819">
        <v>44823</v>
      </c>
      <c r="H325" s="3817">
        <v>217</v>
      </c>
      <c r="I325" s="3817">
        <v>52670</v>
      </c>
    </row>
    <row r="326" spans="1:9" hidden="1">
      <c r="A326" s="3819">
        <v>44908</v>
      </c>
      <c r="B326" s="3817" t="s">
        <v>3444</v>
      </c>
      <c r="C326" s="3817">
        <v>57</v>
      </c>
      <c r="D326" s="3817" t="s">
        <v>3446</v>
      </c>
      <c r="E326" s="3817" t="s">
        <v>3453</v>
      </c>
      <c r="F326" s="3817">
        <v>308</v>
      </c>
      <c r="G326" s="3819">
        <v>44819</v>
      </c>
      <c r="H326" s="3817">
        <v>295</v>
      </c>
      <c r="I326" s="3817">
        <v>51573</v>
      </c>
    </row>
    <row r="327" spans="1:9" hidden="1">
      <c r="A327" s="3819">
        <v>44905</v>
      </c>
      <c r="B327" s="3817" t="s">
        <v>3444</v>
      </c>
      <c r="C327" s="3817">
        <v>57</v>
      </c>
      <c r="D327" s="3817" t="s">
        <v>3446</v>
      </c>
      <c r="E327" s="3817" t="s">
        <v>3453</v>
      </c>
      <c r="F327" s="3817">
        <v>315</v>
      </c>
      <c r="G327" s="3819">
        <v>44864</v>
      </c>
      <c r="H327" s="3817">
        <v>308</v>
      </c>
      <c r="I327" s="3817">
        <v>53846</v>
      </c>
    </row>
    <row r="328" spans="1:9" hidden="1">
      <c r="A328" s="3819">
        <v>44886</v>
      </c>
      <c r="B328" s="3817" t="s">
        <v>3444</v>
      </c>
      <c r="C328" s="3817">
        <v>49</v>
      </c>
      <c r="D328" s="3817" t="s">
        <v>3452</v>
      </c>
      <c r="E328" s="3817" t="s">
        <v>3453</v>
      </c>
      <c r="F328" s="3817">
        <v>312</v>
      </c>
      <c r="G328" s="3819">
        <v>44860</v>
      </c>
      <c r="H328" s="3817">
        <v>310</v>
      </c>
      <c r="I328" s="3817">
        <v>62487</v>
      </c>
    </row>
    <row r="329" spans="1:9" hidden="1">
      <c r="A329" s="3819">
        <v>44884</v>
      </c>
      <c r="B329" s="3817" t="s">
        <v>3444</v>
      </c>
      <c r="C329" s="3817">
        <v>54</v>
      </c>
      <c r="D329" s="3817" t="s">
        <v>3455</v>
      </c>
      <c r="E329" s="3817" t="s">
        <v>3453</v>
      </c>
      <c r="F329" s="3817">
        <v>320</v>
      </c>
      <c r="G329" s="3819">
        <v>44872</v>
      </c>
      <c r="H329" s="3817">
        <v>317</v>
      </c>
      <c r="I329" s="3817">
        <v>58704</v>
      </c>
    </row>
    <row r="330" spans="1:9" hidden="1">
      <c r="A330" s="3819">
        <v>44878</v>
      </c>
      <c r="B330" s="3817" t="s">
        <v>3444</v>
      </c>
      <c r="C330" s="3817">
        <v>68</v>
      </c>
      <c r="D330" s="3817" t="s">
        <v>3452</v>
      </c>
      <c r="E330" s="3817" t="s">
        <v>3453</v>
      </c>
      <c r="F330" s="3817">
        <v>412</v>
      </c>
      <c r="G330" s="3819">
        <v>44878</v>
      </c>
      <c r="H330" s="3817">
        <v>409</v>
      </c>
      <c r="I330" s="3817">
        <v>59361</v>
      </c>
    </row>
    <row r="331" spans="1:9" hidden="1">
      <c r="A331" s="3819">
        <v>44874</v>
      </c>
      <c r="B331" s="3817" t="s">
        <v>3441</v>
      </c>
      <c r="C331" s="3817">
        <v>56</v>
      </c>
      <c r="D331" s="3817" t="s">
        <v>3490</v>
      </c>
      <c r="E331" s="3817" t="s">
        <v>3505</v>
      </c>
      <c r="F331" s="3817">
        <v>0</v>
      </c>
      <c r="G331" s="3817" t="s">
        <v>3443</v>
      </c>
      <c r="H331" s="3817">
        <v>304</v>
      </c>
      <c r="I331" s="3817">
        <v>54189</v>
      </c>
    </row>
    <row r="332" spans="1:9" hidden="1">
      <c r="A332" s="3819">
        <v>44871</v>
      </c>
      <c r="B332" s="3817" t="s">
        <v>3444</v>
      </c>
      <c r="C332" s="3817">
        <v>71</v>
      </c>
      <c r="D332" s="3817" t="s">
        <v>3450</v>
      </c>
      <c r="E332" s="3817" t="s">
        <v>3429</v>
      </c>
      <c r="F332" s="3817">
        <v>405</v>
      </c>
      <c r="G332" s="3819">
        <v>44812</v>
      </c>
      <c r="H332" s="3817">
        <v>397</v>
      </c>
      <c r="I332" s="3817">
        <v>55588</v>
      </c>
    </row>
    <row r="333" spans="1:9" hidden="1">
      <c r="A333" s="3819">
        <v>44864</v>
      </c>
      <c r="B333" s="3817" t="s">
        <v>3444</v>
      </c>
      <c r="C333" s="3817">
        <v>71</v>
      </c>
      <c r="D333" s="3817" t="s">
        <v>3467</v>
      </c>
      <c r="E333" s="3817" t="s">
        <v>3453</v>
      </c>
      <c r="F333" s="3817">
        <v>423</v>
      </c>
      <c r="G333" s="3819">
        <v>44852</v>
      </c>
      <c r="H333" s="3817">
        <v>418</v>
      </c>
      <c r="I333" s="3817">
        <v>58486</v>
      </c>
    </row>
    <row r="334" spans="1:9" hidden="1">
      <c r="A334" s="3819">
        <v>44858</v>
      </c>
      <c r="B334" s="3817" t="s">
        <v>3444</v>
      </c>
      <c r="C334" s="3817">
        <v>57</v>
      </c>
      <c r="D334" s="3817" t="s">
        <v>3446</v>
      </c>
      <c r="E334" s="3817" t="s">
        <v>3453</v>
      </c>
      <c r="F334" s="3817">
        <v>290</v>
      </c>
      <c r="G334" s="3819">
        <v>44792</v>
      </c>
      <c r="H334" s="3817">
        <v>290</v>
      </c>
      <c r="I334" s="3817">
        <v>50699</v>
      </c>
    </row>
    <row r="335" spans="1:9" hidden="1">
      <c r="A335" s="3819">
        <v>44855</v>
      </c>
      <c r="B335" s="3817" t="s">
        <v>3444</v>
      </c>
      <c r="C335" s="3817">
        <v>58</v>
      </c>
      <c r="D335" s="3817" t="s">
        <v>3446</v>
      </c>
      <c r="E335" s="3817" t="s">
        <v>3453</v>
      </c>
      <c r="F335" s="3817">
        <v>322</v>
      </c>
      <c r="G335" s="3819">
        <v>44809</v>
      </c>
      <c r="H335" s="3817">
        <v>322</v>
      </c>
      <c r="I335" s="3817">
        <v>55137</v>
      </c>
    </row>
    <row r="336" spans="1:9" hidden="1">
      <c r="A336" s="3819">
        <v>44840</v>
      </c>
      <c r="B336" s="3817" t="s">
        <v>3471</v>
      </c>
      <c r="C336" s="3817">
        <v>57</v>
      </c>
      <c r="D336" s="3817" t="s">
        <v>3450</v>
      </c>
      <c r="E336" s="3817" t="s">
        <v>3442</v>
      </c>
      <c r="F336" s="3817">
        <v>305</v>
      </c>
      <c r="G336" s="3819">
        <v>44816</v>
      </c>
      <c r="H336" s="3817">
        <v>305</v>
      </c>
      <c r="I336" s="3817">
        <v>52924</v>
      </c>
    </row>
    <row r="337" spans="1:9" hidden="1">
      <c r="A337" s="3819">
        <v>44839</v>
      </c>
      <c r="B337" s="3817" t="s">
        <v>3444</v>
      </c>
      <c r="C337" s="3817">
        <v>60</v>
      </c>
      <c r="D337" s="3817" t="s">
        <v>3462</v>
      </c>
      <c r="E337" s="3817" t="s">
        <v>3468</v>
      </c>
      <c r="F337" s="3817">
        <v>406</v>
      </c>
      <c r="G337" s="3819">
        <v>44837</v>
      </c>
      <c r="H337" s="3817">
        <v>405</v>
      </c>
      <c r="I337" s="3817">
        <v>66667</v>
      </c>
    </row>
    <row r="338" spans="1:9" hidden="1">
      <c r="A338" s="3819">
        <v>44828</v>
      </c>
      <c r="B338" s="3817" t="s">
        <v>3444</v>
      </c>
      <c r="C338" s="3817">
        <v>57</v>
      </c>
      <c r="D338" s="3817" t="s">
        <v>3456</v>
      </c>
      <c r="E338" s="3817" t="s">
        <v>3453</v>
      </c>
      <c r="F338" s="3817">
        <v>303</v>
      </c>
      <c r="G338" s="3819">
        <v>44779</v>
      </c>
      <c r="H338" s="3817">
        <v>303</v>
      </c>
      <c r="I338" s="3817">
        <v>52972</v>
      </c>
    </row>
    <row r="339" spans="1:9" hidden="1">
      <c r="A339" s="3819">
        <v>44822</v>
      </c>
      <c r="B339" s="3817" t="s">
        <v>3444</v>
      </c>
      <c r="C339" s="3817">
        <v>62</v>
      </c>
      <c r="D339" s="3817" t="s">
        <v>3445</v>
      </c>
      <c r="E339" s="3817" t="s">
        <v>3468</v>
      </c>
      <c r="F339" s="3817">
        <v>429</v>
      </c>
      <c r="G339" s="3819">
        <v>44822</v>
      </c>
      <c r="H339" s="3817">
        <v>428</v>
      </c>
      <c r="I339" s="3817">
        <v>68966</v>
      </c>
    </row>
    <row r="340" spans="1:9" hidden="1">
      <c r="A340" s="3819">
        <v>44816</v>
      </c>
      <c r="B340" s="3817" t="s">
        <v>3444</v>
      </c>
      <c r="C340" s="3817">
        <v>64</v>
      </c>
      <c r="D340" s="3817" t="s">
        <v>3445</v>
      </c>
      <c r="E340" s="3817" t="s">
        <v>3429</v>
      </c>
      <c r="F340" s="3817">
        <v>420</v>
      </c>
      <c r="G340" s="3819">
        <v>44805</v>
      </c>
      <c r="H340" s="3817">
        <v>410</v>
      </c>
      <c r="I340" s="3817">
        <v>63262</v>
      </c>
    </row>
    <row r="341" spans="1:9" hidden="1">
      <c r="A341" s="3819">
        <v>44816</v>
      </c>
      <c r="B341" s="3817" t="s">
        <v>3441</v>
      </c>
      <c r="C341" s="3817">
        <v>56</v>
      </c>
      <c r="D341" s="3817" t="s">
        <v>3495</v>
      </c>
      <c r="E341" s="3817" t="s">
        <v>3442</v>
      </c>
      <c r="F341" s="3817">
        <v>0</v>
      </c>
      <c r="G341" s="3817" t="s">
        <v>3443</v>
      </c>
      <c r="H341" s="3817">
        <v>320</v>
      </c>
      <c r="I341" s="3817">
        <v>56487</v>
      </c>
    </row>
    <row r="342" spans="1:9" hidden="1">
      <c r="A342" s="3819">
        <v>44814</v>
      </c>
      <c r="B342" s="3817" t="s">
        <v>3444</v>
      </c>
      <c r="C342" s="3817">
        <v>49</v>
      </c>
      <c r="D342" s="3817" t="s">
        <v>3452</v>
      </c>
      <c r="E342" s="3817" t="s">
        <v>3453</v>
      </c>
      <c r="F342" s="3817">
        <v>370</v>
      </c>
      <c r="G342" s="3819">
        <v>44788</v>
      </c>
      <c r="H342" s="3817">
        <v>370</v>
      </c>
      <c r="I342" s="3817">
        <v>74582</v>
      </c>
    </row>
    <row r="343" spans="1:9" hidden="1">
      <c r="A343" s="3819">
        <v>44814</v>
      </c>
      <c r="B343" s="3817" t="s">
        <v>3444</v>
      </c>
      <c r="C343" s="3817">
        <v>71</v>
      </c>
      <c r="D343" s="3817" t="s">
        <v>3450</v>
      </c>
      <c r="E343" s="3817" t="s">
        <v>3453</v>
      </c>
      <c r="F343" s="3817">
        <v>415</v>
      </c>
      <c r="G343" s="3819">
        <v>44794</v>
      </c>
      <c r="H343" s="3817">
        <v>415</v>
      </c>
      <c r="I343" s="3817">
        <v>57996</v>
      </c>
    </row>
    <row r="344" spans="1:9" hidden="1">
      <c r="A344" s="3819">
        <v>44796</v>
      </c>
      <c r="B344" s="3817" t="s">
        <v>3444</v>
      </c>
      <c r="C344" s="3817">
        <v>64</v>
      </c>
      <c r="D344" s="3817" t="s">
        <v>3459</v>
      </c>
      <c r="E344" s="3817" t="s">
        <v>3429</v>
      </c>
      <c r="F344" s="3817">
        <v>418</v>
      </c>
      <c r="G344" s="3819">
        <v>44752</v>
      </c>
      <c r="H344" s="3817">
        <v>407</v>
      </c>
      <c r="I344" s="3817">
        <v>62780</v>
      </c>
    </row>
    <row r="345" spans="1:9" hidden="1">
      <c r="A345" s="3819">
        <v>44793</v>
      </c>
      <c r="B345" s="3817" t="s">
        <v>3444</v>
      </c>
      <c r="C345" s="3817">
        <v>57</v>
      </c>
      <c r="D345" s="3817" t="s">
        <v>3456</v>
      </c>
      <c r="E345" s="3817" t="s">
        <v>3453</v>
      </c>
      <c r="F345" s="3817">
        <v>290</v>
      </c>
      <c r="G345" s="3819">
        <v>44746</v>
      </c>
      <c r="H345" s="3817">
        <v>290</v>
      </c>
      <c r="I345" s="3817">
        <v>50699</v>
      </c>
    </row>
    <row r="346" spans="1:9" hidden="1">
      <c r="A346" s="3819">
        <v>44792</v>
      </c>
      <c r="B346" s="3817" t="s">
        <v>3441</v>
      </c>
      <c r="C346" s="3817">
        <v>57</v>
      </c>
      <c r="D346" s="3817" t="s">
        <v>3491</v>
      </c>
      <c r="E346" s="3817" t="s">
        <v>3505</v>
      </c>
      <c r="F346" s="3817">
        <v>0</v>
      </c>
      <c r="G346" s="3817" t="s">
        <v>3443</v>
      </c>
      <c r="H346" s="3817">
        <v>301</v>
      </c>
      <c r="I346" s="3817">
        <v>52710</v>
      </c>
    </row>
    <row r="347" spans="1:9" hidden="1">
      <c r="A347" s="3819">
        <v>44788</v>
      </c>
      <c r="B347" s="3817" t="s">
        <v>3444</v>
      </c>
      <c r="C347" s="3817">
        <v>57</v>
      </c>
      <c r="D347" s="3817" t="s">
        <v>3456</v>
      </c>
      <c r="E347" s="3817" t="s">
        <v>3453</v>
      </c>
      <c r="F347" s="3817">
        <v>309</v>
      </c>
      <c r="G347" s="3819">
        <v>44750</v>
      </c>
      <c r="H347" s="3817">
        <v>303</v>
      </c>
      <c r="I347" s="3817">
        <v>52972</v>
      </c>
    </row>
    <row r="348" spans="1:9" hidden="1">
      <c r="A348" s="3819">
        <v>44786</v>
      </c>
      <c r="B348" s="3817" t="s">
        <v>3471</v>
      </c>
      <c r="C348" s="3817">
        <v>57</v>
      </c>
      <c r="D348" s="3817" t="s">
        <v>3493</v>
      </c>
      <c r="E348" s="3817" t="s">
        <v>3442</v>
      </c>
      <c r="F348" s="3817">
        <v>288</v>
      </c>
      <c r="G348" s="3819">
        <v>44735</v>
      </c>
      <c r="H348" s="3817">
        <v>288</v>
      </c>
      <c r="I348" s="3817">
        <v>49974</v>
      </c>
    </row>
    <row r="349" spans="1:9" hidden="1">
      <c r="A349" s="3819">
        <v>44783</v>
      </c>
      <c r="B349" s="3817" t="s">
        <v>3444</v>
      </c>
      <c r="C349" s="3817">
        <v>49</v>
      </c>
      <c r="D349" s="3817" t="s">
        <v>3456</v>
      </c>
      <c r="E349" s="3817" t="s">
        <v>3460</v>
      </c>
      <c r="F349" s="3817">
        <v>253</v>
      </c>
      <c r="G349" s="3819">
        <v>44779</v>
      </c>
      <c r="H349" s="3817">
        <v>247</v>
      </c>
      <c r="I349" s="3817">
        <v>49859</v>
      </c>
    </row>
    <row r="350" spans="1:9" hidden="1">
      <c r="A350" s="3819">
        <v>44780</v>
      </c>
      <c r="B350" s="3817" t="s">
        <v>3444</v>
      </c>
      <c r="C350" s="3817">
        <v>56</v>
      </c>
      <c r="D350" s="3817" t="s">
        <v>3456</v>
      </c>
      <c r="E350" s="3817" t="s">
        <v>3453</v>
      </c>
      <c r="F350" s="3817">
        <v>322</v>
      </c>
      <c r="G350" s="3819">
        <v>44645</v>
      </c>
      <c r="H350" s="3817">
        <v>311</v>
      </c>
      <c r="I350" s="3817">
        <v>54850</v>
      </c>
    </row>
    <row r="351" spans="1:9" hidden="1">
      <c r="A351" s="3819">
        <v>44759</v>
      </c>
      <c r="B351" s="3817" t="s">
        <v>3444</v>
      </c>
      <c r="C351" s="3817">
        <v>50</v>
      </c>
      <c r="D351" s="3817" t="s">
        <v>3455</v>
      </c>
      <c r="E351" s="3817" t="s">
        <v>3460</v>
      </c>
      <c r="F351" s="3817">
        <v>276</v>
      </c>
      <c r="G351" s="3819">
        <v>44680</v>
      </c>
      <c r="H351" s="3817">
        <v>276</v>
      </c>
      <c r="I351" s="3817">
        <v>55068</v>
      </c>
    </row>
    <row r="352" spans="1:9" hidden="1">
      <c r="A352" s="3819">
        <v>44759</v>
      </c>
      <c r="B352" s="3817" t="s">
        <v>3444</v>
      </c>
      <c r="C352" s="3817">
        <v>73</v>
      </c>
      <c r="D352" s="3817" t="s">
        <v>3445</v>
      </c>
      <c r="E352" s="3817" t="s">
        <v>3428</v>
      </c>
      <c r="F352" s="3817">
        <v>415</v>
      </c>
      <c r="G352" s="3819">
        <v>44680</v>
      </c>
      <c r="H352" s="3817">
        <v>406</v>
      </c>
      <c r="I352" s="3817">
        <v>55141</v>
      </c>
    </row>
    <row r="353" spans="1:9" hidden="1">
      <c r="A353" s="3819">
        <v>44758</v>
      </c>
      <c r="B353" s="3817" t="s">
        <v>3449</v>
      </c>
      <c r="C353" s="3817">
        <v>69</v>
      </c>
      <c r="D353" s="3817" t="s">
        <v>3456</v>
      </c>
      <c r="E353" s="3817" t="s">
        <v>3453</v>
      </c>
      <c r="F353" s="3817">
        <v>397</v>
      </c>
      <c r="G353" s="3819">
        <v>44657</v>
      </c>
      <c r="H353" s="3817">
        <v>388</v>
      </c>
      <c r="I353" s="3817">
        <v>56151</v>
      </c>
    </row>
    <row r="354" spans="1:9" hidden="1">
      <c r="A354" s="3819">
        <v>44747</v>
      </c>
      <c r="B354" s="3817" t="s">
        <v>3449</v>
      </c>
      <c r="C354" s="3817">
        <v>91</v>
      </c>
      <c r="D354" s="3817" t="s">
        <v>3450</v>
      </c>
      <c r="E354" s="3817" t="s">
        <v>3468</v>
      </c>
      <c r="F354" s="3817">
        <v>535</v>
      </c>
      <c r="G354" s="3819">
        <v>44667</v>
      </c>
      <c r="H354" s="3817">
        <v>520</v>
      </c>
      <c r="I354" s="3817">
        <v>56943</v>
      </c>
    </row>
    <row r="355" spans="1:9" hidden="1">
      <c r="A355" s="3819">
        <v>44745</v>
      </c>
      <c r="B355" s="3817" t="s">
        <v>3444</v>
      </c>
      <c r="C355" s="3817">
        <v>57</v>
      </c>
      <c r="D355" s="3817" t="s">
        <v>3454</v>
      </c>
      <c r="E355" s="3817" t="s">
        <v>3453</v>
      </c>
      <c r="F355" s="3817">
        <v>285</v>
      </c>
      <c r="G355" s="3819">
        <v>44357</v>
      </c>
      <c r="H355" s="3817">
        <v>291</v>
      </c>
      <c r="I355" s="3817">
        <v>50787</v>
      </c>
    </row>
    <row r="356" spans="1:9" hidden="1">
      <c r="A356" s="3819">
        <v>44739</v>
      </c>
      <c r="B356" s="3817" t="s">
        <v>3444</v>
      </c>
      <c r="C356" s="3817">
        <v>81</v>
      </c>
      <c r="D356" s="3817" t="s">
        <v>3459</v>
      </c>
      <c r="E356" s="3817" t="s">
        <v>3464</v>
      </c>
      <c r="F356" s="3817">
        <v>405</v>
      </c>
      <c r="G356" s="3819">
        <v>44728</v>
      </c>
      <c r="H356" s="3817">
        <v>405</v>
      </c>
      <c r="I356" s="3817">
        <v>49699</v>
      </c>
    </row>
    <row r="357" spans="1:9" hidden="1">
      <c r="A357" s="3819">
        <v>44728</v>
      </c>
      <c r="B357" s="3817" t="s">
        <v>3449</v>
      </c>
      <c r="C357" s="3817">
        <v>69</v>
      </c>
      <c r="D357" s="3817" t="s">
        <v>3455</v>
      </c>
      <c r="E357" s="3817" t="s">
        <v>3453</v>
      </c>
      <c r="F357" s="3817">
        <v>415</v>
      </c>
      <c r="G357" s="3819">
        <v>44727</v>
      </c>
      <c r="H357" s="3817">
        <v>405</v>
      </c>
      <c r="I357" s="3817">
        <v>58653</v>
      </c>
    </row>
    <row r="358" spans="1:9" hidden="1">
      <c r="A358" s="3819">
        <v>44720</v>
      </c>
      <c r="B358" s="3817" t="s">
        <v>3441</v>
      </c>
      <c r="C358" s="3817">
        <v>37</v>
      </c>
      <c r="D358" s="3817" t="s">
        <v>3497</v>
      </c>
      <c r="E358" s="3817" t="s">
        <v>3429</v>
      </c>
      <c r="F358" s="3817">
        <v>0</v>
      </c>
      <c r="G358" s="3817" t="s">
        <v>3443</v>
      </c>
      <c r="H358" s="3817">
        <v>259</v>
      </c>
      <c r="I358" s="3817">
        <v>68700</v>
      </c>
    </row>
    <row r="359" spans="1:9" hidden="1">
      <c r="A359" s="3819">
        <v>44696</v>
      </c>
      <c r="B359" s="3817" t="s">
        <v>3449</v>
      </c>
      <c r="C359" s="3817">
        <v>67</v>
      </c>
      <c r="D359" s="3817" t="s">
        <v>3506</v>
      </c>
      <c r="E359" s="3817" t="s">
        <v>3481</v>
      </c>
      <c r="F359" s="3817">
        <v>405</v>
      </c>
      <c r="G359" s="3819">
        <v>44669</v>
      </c>
      <c r="H359" s="3817">
        <v>396</v>
      </c>
      <c r="I359" s="3817">
        <v>58361</v>
      </c>
    </row>
    <row r="360" spans="1:9" hidden="1">
      <c r="A360" s="3819">
        <v>44693</v>
      </c>
      <c r="B360" s="3817" t="s">
        <v>3444</v>
      </c>
      <c r="C360" s="3817">
        <v>52</v>
      </c>
      <c r="D360" s="3817" t="s">
        <v>3506</v>
      </c>
      <c r="E360" s="3817" t="s">
        <v>3453</v>
      </c>
      <c r="F360" s="3817">
        <v>305</v>
      </c>
      <c r="G360" s="3819">
        <v>44436</v>
      </c>
      <c r="H360" s="3817">
        <v>299</v>
      </c>
      <c r="I360" s="3817">
        <v>56953</v>
      </c>
    </row>
    <row r="361" spans="1:9" hidden="1">
      <c r="A361" s="3819">
        <v>44689</v>
      </c>
      <c r="B361" s="3817" t="s">
        <v>3444</v>
      </c>
      <c r="C361" s="3817">
        <v>50</v>
      </c>
      <c r="D361" s="3817" t="s">
        <v>3506</v>
      </c>
      <c r="E361" s="3817" t="s">
        <v>3457</v>
      </c>
      <c r="F361" s="3817">
        <v>256</v>
      </c>
      <c r="G361" s="3819">
        <v>44641</v>
      </c>
      <c r="H361" s="3817">
        <v>255</v>
      </c>
      <c r="I361" s="3817">
        <v>50197</v>
      </c>
    </row>
    <row r="362" spans="1:9" hidden="1">
      <c r="A362" s="3819">
        <v>44683</v>
      </c>
      <c r="B362" s="3817" t="s">
        <v>3444</v>
      </c>
      <c r="C362" s="3817">
        <v>58</v>
      </c>
      <c r="D362" s="3817" t="s">
        <v>3507</v>
      </c>
      <c r="E362" s="3817" t="s">
        <v>3453</v>
      </c>
      <c r="F362" s="3817">
        <v>283</v>
      </c>
      <c r="G362" s="3819">
        <v>44348</v>
      </c>
      <c r="H362" s="3817">
        <v>273</v>
      </c>
      <c r="I362" s="3817">
        <v>46508</v>
      </c>
    </row>
    <row r="363" spans="1:9" hidden="1">
      <c r="A363" s="3819">
        <v>44678</v>
      </c>
      <c r="B363" s="3817" t="s">
        <v>3444</v>
      </c>
      <c r="C363" s="3817">
        <v>62</v>
      </c>
      <c r="D363" s="3817" t="s">
        <v>3508</v>
      </c>
      <c r="E363" s="3817" t="s">
        <v>3468</v>
      </c>
      <c r="F363" s="3817">
        <v>415</v>
      </c>
      <c r="G363" s="3819">
        <v>44671</v>
      </c>
      <c r="H363" s="3817">
        <v>407</v>
      </c>
      <c r="I363" s="3817">
        <v>65582</v>
      </c>
    </row>
    <row r="364" spans="1:9" hidden="1">
      <c r="A364" s="3819">
        <v>44674</v>
      </c>
      <c r="B364" s="3817" t="s">
        <v>3449</v>
      </c>
      <c r="C364" s="3817">
        <v>90</v>
      </c>
      <c r="D364" s="3817" t="s">
        <v>3509</v>
      </c>
      <c r="E364" s="3817" t="s">
        <v>3477</v>
      </c>
      <c r="F364" s="3817">
        <v>490</v>
      </c>
      <c r="G364" s="3819">
        <v>44438</v>
      </c>
      <c r="H364" s="3817">
        <v>478</v>
      </c>
      <c r="I364" s="3817">
        <v>52731</v>
      </c>
    </row>
    <row r="365" spans="1:9" hidden="1">
      <c r="A365" s="3819">
        <v>44668</v>
      </c>
      <c r="B365" s="3817" t="s">
        <v>3444</v>
      </c>
      <c r="C365" s="3817">
        <v>57</v>
      </c>
      <c r="D365" s="3817" t="s">
        <v>3510</v>
      </c>
      <c r="E365" s="3817" t="s">
        <v>3453</v>
      </c>
      <c r="F365" s="3817">
        <v>340</v>
      </c>
      <c r="G365" s="3819">
        <v>44625</v>
      </c>
      <c r="H365" s="3817">
        <v>338</v>
      </c>
      <c r="I365" s="3817">
        <v>58681</v>
      </c>
    </row>
    <row r="366" spans="1:9" hidden="1">
      <c r="A366" s="3819">
        <v>44668</v>
      </c>
      <c r="B366" s="3817" t="s">
        <v>3489</v>
      </c>
      <c r="C366" s="3817">
        <v>69</v>
      </c>
      <c r="D366" s="3817" t="s">
        <v>3508</v>
      </c>
      <c r="E366" s="3817" t="s">
        <v>3511</v>
      </c>
      <c r="F366" s="3817">
        <v>391</v>
      </c>
      <c r="G366" s="3819">
        <v>44628</v>
      </c>
      <c r="H366" s="3817">
        <v>380</v>
      </c>
      <c r="I366" s="3817">
        <v>54763</v>
      </c>
    </row>
    <row r="367" spans="1:9" hidden="1">
      <c r="A367" s="3819">
        <v>44667</v>
      </c>
      <c r="B367" s="3817" t="s">
        <v>3441</v>
      </c>
      <c r="C367" s="3817">
        <v>54</v>
      </c>
      <c r="D367" s="3817" t="s">
        <v>3490</v>
      </c>
      <c r="E367" s="3817" t="s">
        <v>3512</v>
      </c>
      <c r="F367" s="3817">
        <v>0</v>
      </c>
      <c r="G367" s="3817" t="s">
        <v>3443</v>
      </c>
      <c r="H367" s="3817">
        <v>277</v>
      </c>
      <c r="I367" s="3817">
        <v>51192</v>
      </c>
    </row>
    <row r="368" spans="1:9" hidden="1">
      <c r="A368" s="3819">
        <v>44661</v>
      </c>
      <c r="B368" s="3817" t="s">
        <v>3444</v>
      </c>
      <c r="C368" s="3817">
        <v>57</v>
      </c>
      <c r="D368" s="3817" t="s">
        <v>3513</v>
      </c>
      <c r="E368" s="3817" t="s">
        <v>3453</v>
      </c>
      <c r="F368" s="3817">
        <v>329</v>
      </c>
      <c r="G368" s="3819">
        <v>44639</v>
      </c>
      <c r="H368" s="3817">
        <v>320</v>
      </c>
      <c r="I368" s="3817">
        <v>55750</v>
      </c>
    </row>
    <row r="369" spans="1:9" hidden="1">
      <c r="A369" s="3819">
        <v>44656</v>
      </c>
      <c r="B369" s="3817" t="s">
        <v>3444</v>
      </c>
      <c r="C369" s="3817">
        <v>61</v>
      </c>
      <c r="D369" s="3817" t="s">
        <v>3509</v>
      </c>
      <c r="E369" s="3817" t="s">
        <v>3464</v>
      </c>
      <c r="F369" s="3817">
        <v>430</v>
      </c>
      <c r="G369" s="3819">
        <v>44641</v>
      </c>
      <c r="H369" s="3817">
        <v>415</v>
      </c>
      <c r="I369" s="3817">
        <v>67261</v>
      </c>
    </row>
    <row r="370" spans="1:9" hidden="1">
      <c r="A370" s="3819">
        <v>44655</v>
      </c>
      <c r="B370" s="3817" t="s">
        <v>3449</v>
      </c>
      <c r="C370" s="3817">
        <v>69</v>
      </c>
      <c r="D370" s="3817" t="s">
        <v>3513</v>
      </c>
      <c r="E370" s="3817" t="s">
        <v>3453</v>
      </c>
      <c r="F370" s="3817">
        <v>395</v>
      </c>
      <c r="G370" s="3819">
        <v>44620</v>
      </c>
      <c r="H370" s="3817">
        <v>388</v>
      </c>
      <c r="I370" s="3817">
        <v>56151</v>
      </c>
    </row>
    <row r="371" spans="1:9" hidden="1">
      <c r="A371" s="3819">
        <v>44649</v>
      </c>
      <c r="B371" s="3817" t="s">
        <v>3444</v>
      </c>
      <c r="C371" s="3817">
        <v>57</v>
      </c>
      <c r="D371" s="3817" t="s">
        <v>3513</v>
      </c>
      <c r="E371" s="3817" t="s">
        <v>3453</v>
      </c>
      <c r="F371" s="3817">
        <v>328</v>
      </c>
      <c r="G371" s="3819">
        <v>44632</v>
      </c>
      <c r="H371" s="3817">
        <v>323</v>
      </c>
      <c r="I371" s="3817">
        <v>56556</v>
      </c>
    </row>
    <row r="372" spans="1:9" hidden="1">
      <c r="A372" s="3819">
        <v>44648</v>
      </c>
      <c r="B372" s="3817" t="s">
        <v>3449</v>
      </c>
      <c r="C372" s="3817">
        <v>69</v>
      </c>
      <c r="D372" s="3817" t="s">
        <v>3513</v>
      </c>
      <c r="E372" s="3817" t="s">
        <v>3453</v>
      </c>
      <c r="F372" s="3817">
        <v>398</v>
      </c>
      <c r="G372" s="3819">
        <v>44558</v>
      </c>
      <c r="H372" s="3817">
        <v>389</v>
      </c>
      <c r="I372" s="3817">
        <v>56369</v>
      </c>
    </row>
    <row r="373" spans="1:9" hidden="1">
      <c r="A373" s="3819">
        <v>44647</v>
      </c>
      <c r="B373" s="3817" t="s">
        <v>3444</v>
      </c>
      <c r="C373" s="3817">
        <v>57</v>
      </c>
      <c r="D373" s="3817" t="s">
        <v>3514</v>
      </c>
      <c r="E373" s="3817" t="s">
        <v>3453</v>
      </c>
      <c r="F373" s="3817">
        <v>313</v>
      </c>
      <c r="G373" s="3819">
        <v>44639</v>
      </c>
      <c r="H373" s="3817">
        <v>306</v>
      </c>
      <c r="I373" s="3817">
        <v>53497</v>
      </c>
    </row>
    <row r="374" spans="1:9" hidden="1">
      <c r="A374" s="3819">
        <v>44647</v>
      </c>
      <c r="B374" s="3817" t="s">
        <v>3444</v>
      </c>
      <c r="C374" s="3817">
        <v>57</v>
      </c>
      <c r="D374" s="3817" t="s">
        <v>3513</v>
      </c>
      <c r="E374" s="3817" t="s">
        <v>3453</v>
      </c>
      <c r="F374" s="3817">
        <v>306</v>
      </c>
      <c r="G374" s="3819">
        <v>44633</v>
      </c>
      <c r="H374" s="3817">
        <v>306</v>
      </c>
      <c r="I374" s="3817">
        <v>53497</v>
      </c>
    </row>
    <row r="375" spans="1:9" hidden="1">
      <c r="A375" s="3819">
        <v>44647</v>
      </c>
      <c r="B375" s="3817" t="s">
        <v>3444</v>
      </c>
      <c r="C375" s="3817">
        <v>57</v>
      </c>
      <c r="D375" s="3817" t="s">
        <v>3513</v>
      </c>
      <c r="E375" s="3817" t="s">
        <v>3453</v>
      </c>
      <c r="F375" s="3817">
        <v>325</v>
      </c>
      <c r="G375" s="3819">
        <v>44642</v>
      </c>
      <c r="H375" s="3817">
        <v>316</v>
      </c>
      <c r="I375" s="3817">
        <v>55053</v>
      </c>
    </row>
    <row r="376" spans="1:9" hidden="1">
      <c r="A376" s="3819">
        <v>44646</v>
      </c>
      <c r="B376" s="3817" t="s">
        <v>3444</v>
      </c>
      <c r="C376" s="3817">
        <v>57</v>
      </c>
      <c r="D376" s="3817" t="s">
        <v>3514</v>
      </c>
      <c r="E376" s="3817" t="s">
        <v>3515</v>
      </c>
      <c r="F376" s="3817">
        <v>310</v>
      </c>
      <c r="G376" s="3819">
        <v>44632</v>
      </c>
      <c r="H376" s="3817">
        <v>303</v>
      </c>
      <c r="I376" s="3817">
        <v>52973</v>
      </c>
    </row>
    <row r="377" spans="1:9" hidden="1">
      <c r="A377" s="3819">
        <v>44646</v>
      </c>
      <c r="B377" s="3817" t="s">
        <v>3475</v>
      </c>
      <c r="C377" s="3817">
        <v>69</v>
      </c>
      <c r="D377" s="3817" t="s">
        <v>3490</v>
      </c>
      <c r="E377" s="3817" t="s">
        <v>3505</v>
      </c>
      <c r="F377" s="3817">
        <v>0</v>
      </c>
      <c r="G377" s="3817" t="s">
        <v>3443</v>
      </c>
      <c r="H377" s="3817">
        <v>368</v>
      </c>
      <c r="I377" s="3817">
        <v>53295</v>
      </c>
    </row>
    <row r="378" spans="1:9" hidden="1">
      <c r="A378" s="3819">
        <v>44640</v>
      </c>
      <c r="B378" s="3817" t="s">
        <v>3444</v>
      </c>
      <c r="C378" s="3817">
        <v>56</v>
      </c>
      <c r="D378" s="3817" t="s">
        <v>3513</v>
      </c>
      <c r="E378" s="3817" t="s">
        <v>3453</v>
      </c>
      <c r="F378" s="3817">
        <v>325</v>
      </c>
      <c r="G378" s="3819">
        <v>44632</v>
      </c>
      <c r="H378" s="3817">
        <v>318</v>
      </c>
      <c r="I378" s="3817">
        <v>56184</v>
      </c>
    </row>
    <row r="379" spans="1:9" hidden="1">
      <c r="A379" s="3819">
        <v>44640</v>
      </c>
      <c r="B379" s="3817" t="s">
        <v>3449</v>
      </c>
      <c r="C379" s="3817">
        <v>69</v>
      </c>
      <c r="D379" s="3817" t="s">
        <v>3513</v>
      </c>
      <c r="E379" s="3817" t="s">
        <v>3457</v>
      </c>
      <c r="F379" s="3817">
        <v>389</v>
      </c>
      <c r="G379" s="3819">
        <v>44627</v>
      </c>
      <c r="H379" s="3817">
        <v>385</v>
      </c>
      <c r="I379" s="3817">
        <v>55790</v>
      </c>
    </row>
    <row r="380" spans="1:9" hidden="1">
      <c r="A380" s="3819">
        <v>44640</v>
      </c>
      <c r="B380" s="3817" t="s">
        <v>3444</v>
      </c>
      <c r="C380" s="3817">
        <v>57</v>
      </c>
      <c r="D380" s="3817" t="s">
        <v>3514</v>
      </c>
      <c r="E380" s="3817" t="s">
        <v>3453</v>
      </c>
      <c r="F380" s="3817">
        <v>309</v>
      </c>
      <c r="G380" s="3819">
        <v>44416</v>
      </c>
      <c r="H380" s="3817">
        <v>303</v>
      </c>
      <c r="I380" s="3817">
        <v>52973</v>
      </c>
    </row>
    <row r="381" spans="1:9" hidden="1">
      <c r="A381" s="3819">
        <v>44639</v>
      </c>
      <c r="B381" s="3817" t="s">
        <v>3444</v>
      </c>
      <c r="C381" s="3817">
        <v>58</v>
      </c>
      <c r="D381" s="3817" t="s">
        <v>3513</v>
      </c>
      <c r="E381" s="3817" t="s">
        <v>3457</v>
      </c>
      <c r="F381" s="3817">
        <v>277</v>
      </c>
      <c r="G381" s="3819">
        <v>44517</v>
      </c>
      <c r="H381" s="3817">
        <v>277</v>
      </c>
      <c r="I381" s="3817">
        <v>47595</v>
      </c>
    </row>
    <row r="382" spans="1:9" hidden="1">
      <c r="A382" s="3819">
        <v>44639</v>
      </c>
      <c r="B382" s="3817" t="s">
        <v>3471</v>
      </c>
      <c r="C382" s="3817">
        <v>46</v>
      </c>
      <c r="D382" s="3817" t="s">
        <v>3510</v>
      </c>
      <c r="E382" s="3817" t="s">
        <v>3457</v>
      </c>
      <c r="F382" s="3817">
        <v>255</v>
      </c>
      <c r="G382" s="3819">
        <v>44437</v>
      </c>
      <c r="H382" s="3817">
        <v>252</v>
      </c>
      <c r="I382" s="3817">
        <v>54381</v>
      </c>
    </row>
    <row r="383" spans="1:9" hidden="1">
      <c r="A383" s="3819">
        <v>44637</v>
      </c>
      <c r="B383" s="3817" t="s">
        <v>3444</v>
      </c>
      <c r="C383" s="3817">
        <v>62</v>
      </c>
      <c r="D383" s="3817" t="s">
        <v>3516</v>
      </c>
      <c r="E383" s="3817" t="s">
        <v>3442</v>
      </c>
      <c r="F383" s="3817">
        <v>385</v>
      </c>
      <c r="G383" s="3819">
        <v>44630</v>
      </c>
      <c r="H383" s="3817">
        <v>375</v>
      </c>
      <c r="I383" s="3817">
        <v>59857</v>
      </c>
    </row>
    <row r="384" spans="1:9" hidden="1">
      <c r="A384" s="3819">
        <v>44635</v>
      </c>
      <c r="B384" s="3817" t="s">
        <v>3444</v>
      </c>
      <c r="C384" s="3817">
        <v>63</v>
      </c>
      <c r="D384" s="3817" t="s">
        <v>3510</v>
      </c>
      <c r="E384" s="3817" t="s">
        <v>3453</v>
      </c>
      <c r="F384" s="3817">
        <v>397</v>
      </c>
      <c r="G384" s="3819">
        <v>44620</v>
      </c>
      <c r="H384" s="3817">
        <v>389</v>
      </c>
      <c r="I384" s="3817">
        <v>61087</v>
      </c>
    </row>
    <row r="385" spans="1:9" hidden="1">
      <c r="A385" s="3819">
        <v>44634</v>
      </c>
      <c r="B385" s="3817" t="s">
        <v>3444</v>
      </c>
      <c r="C385" s="3817">
        <v>58</v>
      </c>
      <c r="D385" s="3817" t="s">
        <v>3507</v>
      </c>
      <c r="E385" s="3817" t="s">
        <v>3453</v>
      </c>
      <c r="F385" s="3817">
        <v>268</v>
      </c>
      <c r="G385" s="3819">
        <v>44631</v>
      </c>
      <c r="H385" s="3817">
        <v>263</v>
      </c>
      <c r="I385" s="3817">
        <v>44728</v>
      </c>
    </row>
    <row r="386" spans="1:9" hidden="1">
      <c r="A386" s="3819">
        <v>44634</v>
      </c>
      <c r="B386" s="3817" t="s">
        <v>3444</v>
      </c>
      <c r="C386" s="3817">
        <v>58</v>
      </c>
      <c r="D386" s="3817" t="s">
        <v>3507</v>
      </c>
      <c r="E386" s="3817" t="s">
        <v>3453</v>
      </c>
      <c r="F386" s="3817">
        <v>276</v>
      </c>
      <c r="G386" s="3819">
        <v>44486</v>
      </c>
      <c r="H386" s="3817">
        <v>269</v>
      </c>
      <c r="I386" s="3817">
        <v>45827</v>
      </c>
    </row>
    <row r="387" spans="1:9" hidden="1">
      <c r="A387" s="3819">
        <v>44633</v>
      </c>
      <c r="B387" s="3817" t="s">
        <v>3444</v>
      </c>
      <c r="C387" s="3817">
        <v>64</v>
      </c>
      <c r="D387" s="3817" t="s">
        <v>3517</v>
      </c>
      <c r="E387" s="3817" t="s">
        <v>3429</v>
      </c>
      <c r="F387" s="3817">
        <v>413</v>
      </c>
      <c r="G387" s="3819">
        <v>44485</v>
      </c>
      <c r="H387" s="3817">
        <v>405</v>
      </c>
      <c r="I387" s="3817">
        <v>62491</v>
      </c>
    </row>
    <row r="388" spans="1:9" hidden="1">
      <c r="A388" s="3819">
        <v>44633</v>
      </c>
      <c r="B388" s="3817" t="s">
        <v>3441</v>
      </c>
      <c r="C388" s="3817">
        <v>68</v>
      </c>
      <c r="D388" s="3817" t="s">
        <v>3518</v>
      </c>
      <c r="E388" s="3817" t="s">
        <v>3468</v>
      </c>
      <c r="F388" s="3817">
        <v>0</v>
      </c>
      <c r="G388" s="3817" t="s">
        <v>3443</v>
      </c>
      <c r="H388" s="3817">
        <v>400</v>
      </c>
      <c r="I388" s="3817">
        <v>58737</v>
      </c>
    </row>
    <row r="389" spans="1:9" hidden="1">
      <c r="A389" s="3819">
        <v>44627</v>
      </c>
      <c r="B389" s="3817" t="s">
        <v>3471</v>
      </c>
      <c r="C389" s="3817">
        <v>41</v>
      </c>
      <c r="D389" s="3817" t="s">
        <v>3514</v>
      </c>
      <c r="E389" s="3817" t="s">
        <v>3429</v>
      </c>
      <c r="F389" s="3817">
        <v>245</v>
      </c>
      <c r="G389" s="3819">
        <v>44508</v>
      </c>
      <c r="H389" s="3817">
        <v>239</v>
      </c>
      <c r="I389" s="3817">
        <v>57315</v>
      </c>
    </row>
    <row r="390" spans="1:9" hidden="1">
      <c r="A390" s="3819">
        <v>44626</v>
      </c>
      <c r="B390" s="3817" t="s">
        <v>3471</v>
      </c>
      <c r="C390" s="3817">
        <v>40</v>
      </c>
      <c r="D390" s="3817" t="s">
        <v>3513</v>
      </c>
      <c r="E390" s="3817" t="s">
        <v>3429</v>
      </c>
      <c r="F390" s="3817">
        <v>235</v>
      </c>
      <c r="G390" s="3819">
        <v>44579</v>
      </c>
      <c r="H390" s="3817">
        <v>232</v>
      </c>
      <c r="I390" s="3817">
        <v>57003</v>
      </c>
    </row>
    <row r="391" spans="1:9" hidden="1">
      <c r="A391" s="3819">
        <v>44626</v>
      </c>
      <c r="B391" s="3817" t="s">
        <v>3449</v>
      </c>
      <c r="C391" s="3817">
        <v>67</v>
      </c>
      <c r="D391" s="3817" t="s">
        <v>3513</v>
      </c>
      <c r="E391" s="3817" t="s">
        <v>3453</v>
      </c>
      <c r="F391" s="3817">
        <v>395</v>
      </c>
      <c r="G391" s="3819">
        <v>44619</v>
      </c>
      <c r="H391" s="3817">
        <v>389</v>
      </c>
      <c r="I391" s="3817">
        <v>57409</v>
      </c>
    </row>
    <row r="392" spans="1:9" hidden="1">
      <c r="A392" s="3819">
        <v>44623</v>
      </c>
      <c r="B392" s="3817" t="s">
        <v>3444</v>
      </c>
      <c r="C392" s="3817">
        <v>57</v>
      </c>
      <c r="D392" s="3817" t="s">
        <v>3513</v>
      </c>
      <c r="E392" s="3817" t="s">
        <v>3515</v>
      </c>
      <c r="F392" s="3817">
        <v>328</v>
      </c>
      <c r="G392" s="3819">
        <v>44554</v>
      </c>
      <c r="H392" s="3817">
        <v>321</v>
      </c>
      <c r="I392" s="3817">
        <v>55816</v>
      </c>
    </row>
    <row r="393" spans="1:9" hidden="1">
      <c r="A393" s="3819">
        <v>44622</v>
      </c>
      <c r="B393" s="3817" t="s">
        <v>3444</v>
      </c>
      <c r="C393" s="3817">
        <v>52</v>
      </c>
      <c r="D393" s="3817" t="s">
        <v>3506</v>
      </c>
      <c r="E393" s="3817" t="s">
        <v>3453</v>
      </c>
      <c r="F393" s="3817">
        <v>303</v>
      </c>
      <c r="G393" s="3819">
        <v>44475</v>
      </c>
      <c r="H393" s="3817">
        <v>303</v>
      </c>
      <c r="I393" s="3817">
        <v>57810</v>
      </c>
    </row>
    <row r="394" spans="1:9" hidden="1">
      <c r="A394" s="3819">
        <v>44621</v>
      </c>
      <c r="B394" s="3817" t="s">
        <v>3444</v>
      </c>
      <c r="C394" s="3817">
        <v>62</v>
      </c>
      <c r="D394" s="3817" t="s">
        <v>3509</v>
      </c>
      <c r="E394" s="3817" t="s">
        <v>3442</v>
      </c>
      <c r="F394" s="3817">
        <v>355</v>
      </c>
      <c r="G394" s="3819">
        <v>44618</v>
      </c>
      <c r="H394" s="3817">
        <v>355</v>
      </c>
      <c r="I394" s="3817">
        <v>56665</v>
      </c>
    </row>
    <row r="395" spans="1:9" hidden="1">
      <c r="A395" s="3819">
        <v>44618</v>
      </c>
      <c r="B395" s="3817" t="s">
        <v>3449</v>
      </c>
      <c r="C395" s="3817">
        <v>67</v>
      </c>
      <c r="D395" s="3817" t="s">
        <v>3454</v>
      </c>
      <c r="E395" s="3817" t="s">
        <v>3453</v>
      </c>
      <c r="F395" s="3817">
        <v>365</v>
      </c>
      <c r="G395" s="3819">
        <v>44477</v>
      </c>
      <c r="H395" s="3817">
        <v>360</v>
      </c>
      <c r="I395" s="3817">
        <v>52988</v>
      </c>
    </row>
    <row r="396" spans="1:9" hidden="1">
      <c r="A396" s="3819">
        <v>44618</v>
      </c>
      <c r="B396" s="3817" t="s">
        <v>3444</v>
      </c>
      <c r="C396" s="3817">
        <v>57</v>
      </c>
      <c r="D396" s="3817" t="s">
        <v>3510</v>
      </c>
      <c r="E396" s="3817" t="s">
        <v>3453</v>
      </c>
      <c r="F396" s="3817">
        <v>308</v>
      </c>
      <c r="G396" s="3819">
        <v>44614</v>
      </c>
      <c r="H396" s="3817">
        <v>304</v>
      </c>
      <c r="I396" s="3817">
        <v>53235</v>
      </c>
    </row>
    <row r="397" spans="1:9" hidden="1">
      <c r="A397" s="3819">
        <v>44614</v>
      </c>
      <c r="B397" s="3817" t="s">
        <v>3449</v>
      </c>
      <c r="C397" s="3817">
        <v>69</v>
      </c>
      <c r="D397" s="3817" t="s">
        <v>3514</v>
      </c>
      <c r="E397" s="3817" t="s">
        <v>3457</v>
      </c>
      <c r="F397" s="3817">
        <v>365</v>
      </c>
      <c r="G397" s="3819">
        <v>44504</v>
      </c>
      <c r="H397" s="3817">
        <v>356</v>
      </c>
      <c r="I397" s="3817">
        <v>51587</v>
      </c>
    </row>
    <row r="398" spans="1:9" hidden="1">
      <c r="A398" s="3819">
        <v>44614</v>
      </c>
      <c r="B398" s="3817" t="s">
        <v>3449</v>
      </c>
      <c r="C398" s="3817">
        <v>69</v>
      </c>
      <c r="D398" s="3817" t="s">
        <v>3455</v>
      </c>
      <c r="E398" s="3817" t="s">
        <v>3458</v>
      </c>
      <c r="F398" s="3817">
        <v>425</v>
      </c>
      <c r="G398" s="3819">
        <v>44567</v>
      </c>
      <c r="H398" s="3817">
        <v>415</v>
      </c>
      <c r="I398" s="3817">
        <v>59893</v>
      </c>
    </row>
    <row r="399" spans="1:9" hidden="1">
      <c r="A399" s="3819">
        <v>44610</v>
      </c>
      <c r="B399" s="3817" t="s">
        <v>3441</v>
      </c>
      <c r="C399" s="3817">
        <v>57</v>
      </c>
      <c r="D399" s="3817" t="s">
        <v>3497</v>
      </c>
      <c r="E399" s="3817" t="s">
        <v>3505</v>
      </c>
      <c r="F399" s="3817">
        <v>0</v>
      </c>
      <c r="G399" s="3817" t="s">
        <v>3443</v>
      </c>
      <c r="H399" s="3817">
        <v>309</v>
      </c>
      <c r="I399" s="3817">
        <v>53833</v>
      </c>
    </row>
    <row r="400" spans="1:9" hidden="1">
      <c r="A400" s="3819">
        <v>44607</v>
      </c>
      <c r="B400" s="3817" t="s">
        <v>3444</v>
      </c>
      <c r="C400" s="3817">
        <v>57</v>
      </c>
      <c r="D400" s="3817" t="s">
        <v>3510</v>
      </c>
      <c r="E400" s="3817" t="s">
        <v>3453</v>
      </c>
      <c r="F400" s="3817">
        <v>312</v>
      </c>
      <c r="G400" s="3819">
        <v>44474</v>
      </c>
      <c r="H400" s="3817">
        <v>312</v>
      </c>
      <c r="I400" s="3817">
        <v>54546</v>
      </c>
    </row>
    <row r="401" spans="1:9" hidden="1">
      <c r="A401" s="3819">
        <v>44606</v>
      </c>
      <c r="B401" s="3817" t="s">
        <v>3475</v>
      </c>
      <c r="C401" s="3817">
        <v>76</v>
      </c>
      <c r="D401" s="3817" t="s">
        <v>3497</v>
      </c>
      <c r="E401" s="3820"/>
      <c r="F401" s="3817">
        <v>0</v>
      </c>
      <c r="G401" s="3817" t="s">
        <v>3443</v>
      </c>
      <c r="H401" s="3817">
        <v>400</v>
      </c>
      <c r="I401" s="3817">
        <v>52016</v>
      </c>
    </row>
    <row r="402" spans="1:9" hidden="1">
      <c r="A402" s="3819">
        <v>44605</v>
      </c>
      <c r="B402" s="3817" t="s">
        <v>3449</v>
      </c>
      <c r="C402" s="3817">
        <v>77</v>
      </c>
      <c r="D402" s="3817" t="s">
        <v>3510</v>
      </c>
      <c r="E402" s="3817" t="s">
        <v>3453</v>
      </c>
      <c r="F402" s="3817">
        <v>415</v>
      </c>
      <c r="G402" s="3819">
        <v>44577</v>
      </c>
      <c r="H402" s="3817">
        <v>405</v>
      </c>
      <c r="I402" s="3817">
        <v>52598</v>
      </c>
    </row>
    <row r="403" spans="1:9" hidden="1">
      <c r="A403" s="3819">
        <v>44603</v>
      </c>
      <c r="B403" s="3817" t="s">
        <v>3441</v>
      </c>
      <c r="C403" s="3817">
        <v>57</v>
      </c>
      <c r="D403" s="3817" t="s">
        <v>3497</v>
      </c>
      <c r="E403" s="3817" t="s">
        <v>3505</v>
      </c>
      <c r="F403" s="3817">
        <v>0</v>
      </c>
      <c r="G403" s="3817" t="s">
        <v>3443</v>
      </c>
      <c r="H403" s="3817">
        <v>288</v>
      </c>
      <c r="I403" s="3817">
        <v>50350</v>
      </c>
    </row>
    <row r="404" spans="1:9" hidden="1">
      <c r="A404" s="3819">
        <v>44595</v>
      </c>
      <c r="B404" s="3817" t="s">
        <v>3444</v>
      </c>
      <c r="C404" s="3817">
        <v>59</v>
      </c>
      <c r="D404" s="3817" t="s">
        <v>3514</v>
      </c>
      <c r="E404" s="3817" t="s">
        <v>3453</v>
      </c>
      <c r="F404" s="3817">
        <v>315</v>
      </c>
      <c r="G404" s="3819">
        <v>44427</v>
      </c>
      <c r="H404" s="3817">
        <v>312</v>
      </c>
      <c r="I404" s="3817">
        <v>52349</v>
      </c>
    </row>
    <row r="405" spans="1:9" hidden="1">
      <c r="A405" s="3819">
        <v>44592</v>
      </c>
      <c r="B405" s="3817" t="s">
        <v>3444</v>
      </c>
      <c r="C405" s="3817">
        <v>52</v>
      </c>
      <c r="D405" s="3817" t="s">
        <v>3506</v>
      </c>
      <c r="E405" s="3817" t="s">
        <v>3453</v>
      </c>
      <c r="F405" s="3817">
        <v>309</v>
      </c>
      <c r="G405" s="3819">
        <v>44462</v>
      </c>
      <c r="H405" s="3817">
        <v>303</v>
      </c>
      <c r="I405" s="3817">
        <v>57715</v>
      </c>
    </row>
    <row r="406" spans="1:9" hidden="1">
      <c r="A406" s="3819">
        <v>44586</v>
      </c>
      <c r="B406" s="3817" t="s">
        <v>3444</v>
      </c>
      <c r="C406" s="3817">
        <v>57</v>
      </c>
      <c r="D406" s="3817" t="s">
        <v>3507</v>
      </c>
      <c r="E406" s="3817" t="s">
        <v>3453</v>
      </c>
      <c r="F406" s="3817">
        <v>266</v>
      </c>
      <c r="G406" s="3819">
        <v>44393</v>
      </c>
      <c r="H406" s="3817">
        <v>264</v>
      </c>
      <c r="I406" s="3817">
        <v>46154</v>
      </c>
    </row>
    <row r="407" spans="1:9" hidden="1">
      <c r="A407" s="3819">
        <v>44577</v>
      </c>
      <c r="B407" s="3817" t="s">
        <v>3444</v>
      </c>
      <c r="C407" s="3817">
        <v>71</v>
      </c>
      <c r="D407" s="3817" t="s">
        <v>3519</v>
      </c>
      <c r="E407" s="3817" t="s">
        <v>3453</v>
      </c>
      <c r="F407" s="3817">
        <v>356</v>
      </c>
      <c r="G407" s="3819">
        <v>44492</v>
      </c>
      <c r="H407" s="3817">
        <v>356</v>
      </c>
      <c r="I407" s="3817">
        <v>49812</v>
      </c>
    </row>
    <row r="408" spans="1:9" hidden="1">
      <c r="A408" s="3819">
        <v>44576</v>
      </c>
      <c r="B408" s="3817" t="s">
        <v>3444</v>
      </c>
      <c r="C408" s="3817">
        <v>57</v>
      </c>
      <c r="D408" s="3817" t="s">
        <v>3514</v>
      </c>
      <c r="E408" s="3817" t="s">
        <v>3453</v>
      </c>
      <c r="F408" s="3817">
        <v>297</v>
      </c>
      <c r="G408" s="3819">
        <v>44569</v>
      </c>
      <c r="H408" s="3817">
        <v>296</v>
      </c>
      <c r="I408" s="3817">
        <v>51673</v>
      </c>
    </row>
    <row r="409" spans="1:9" hidden="1">
      <c r="A409" s="3819">
        <v>44576</v>
      </c>
      <c r="B409" s="3817" t="s">
        <v>3444</v>
      </c>
      <c r="C409" s="3817">
        <v>58</v>
      </c>
      <c r="D409" s="3817" t="s">
        <v>3507</v>
      </c>
      <c r="E409" s="3817" t="s">
        <v>3453</v>
      </c>
      <c r="F409" s="3817">
        <v>263</v>
      </c>
      <c r="G409" s="3819">
        <v>44554</v>
      </c>
      <c r="H409" s="3817">
        <v>263</v>
      </c>
      <c r="I409" s="3817">
        <v>44805</v>
      </c>
    </row>
    <row r="410" spans="1:9" hidden="1">
      <c r="A410" s="3819">
        <v>44572</v>
      </c>
      <c r="B410" s="3817" t="s">
        <v>3444</v>
      </c>
      <c r="C410" s="3817">
        <v>57</v>
      </c>
      <c r="D410" s="3817" t="s">
        <v>3510</v>
      </c>
      <c r="E410" s="3817" t="s">
        <v>3453</v>
      </c>
      <c r="F410" s="3817">
        <v>313</v>
      </c>
      <c r="G410" s="3819">
        <v>44561</v>
      </c>
      <c r="H410" s="3817">
        <v>306</v>
      </c>
      <c r="I410" s="3817">
        <v>53398</v>
      </c>
    </row>
    <row r="411" spans="1:9" hidden="1">
      <c r="A411" s="3819">
        <v>44571</v>
      </c>
      <c r="B411" s="3817" t="s">
        <v>3441</v>
      </c>
      <c r="C411" s="3817">
        <v>84</v>
      </c>
      <c r="D411" s="3817" t="s">
        <v>3494</v>
      </c>
      <c r="E411" s="3817" t="s">
        <v>3428</v>
      </c>
      <c r="F411" s="3817">
        <v>0</v>
      </c>
      <c r="G411" s="3817" t="s">
        <v>3443</v>
      </c>
      <c r="H411" s="3817">
        <v>460</v>
      </c>
      <c r="I411" s="3817">
        <v>54130</v>
      </c>
    </row>
    <row r="412" spans="1:9" hidden="1">
      <c r="A412" s="3819">
        <v>44567</v>
      </c>
      <c r="B412" s="3817" t="s">
        <v>3444</v>
      </c>
      <c r="C412" s="3817">
        <v>59</v>
      </c>
      <c r="D412" s="3817" t="s">
        <v>3506</v>
      </c>
      <c r="E412" s="3817" t="s">
        <v>3453</v>
      </c>
      <c r="F412" s="3817">
        <v>309</v>
      </c>
      <c r="G412" s="3819">
        <v>44552</v>
      </c>
      <c r="H412" s="3817">
        <v>308</v>
      </c>
      <c r="I412" s="3817">
        <v>51592</v>
      </c>
    </row>
    <row r="413" spans="1:9" hidden="1">
      <c r="A413" s="3819">
        <v>44564</v>
      </c>
      <c r="B413" s="3817" t="s">
        <v>3441</v>
      </c>
      <c r="C413" s="3817">
        <v>71</v>
      </c>
      <c r="D413" s="3817" t="s">
        <v>3494</v>
      </c>
      <c r="E413" s="3817" t="s">
        <v>3429</v>
      </c>
      <c r="F413" s="3817">
        <v>0</v>
      </c>
      <c r="G413" s="3817" t="s">
        <v>3443</v>
      </c>
      <c r="H413" s="3817">
        <v>362</v>
      </c>
      <c r="I413" s="3817">
        <v>50651</v>
      </c>
    </row>
    <row r="414" spans="1:9" hidden="1">
      <c r="A414" s="3819">
        <v>44562</v>
      </c>
      <c r="B414" s="3817" t="s">
        <v>3448</v>
      </c>
      <c r="C414" s="3817">
        <v>57</v>
      </c>
      <c r="D414" s="3817" t="s">
        <v>3499</v>
      </c>
      <c r="E414" s="3817" t="s">
        <v>3463</v>
      </c>
      <c r="F414" s="3817">
        <v>0</v>
      </c>
      <c r="G414" s="3817" t="s">
        <v>3443</v>
      </c>
      <c r="H414" s="3817">
        <v>253</v>
      </c>
      <c r="I414" s="3817">
        <v>43901</v>
      </c>
    </row>
    <row r="415" spans="1:9" hidden="1">
      <c r="A415" s="3819">
        <v>44562</v>
      </c>
      <c r="B415" s="3817" t="s">
        <v>3444</v>
      </c>
      <c r="C415" s="3817">
        <v>57</v>
      </c>
      <c r="D415" s="3817" t="s">
        <v>3510</v>
      </c>
      <c r="E415" s="3817" t="s">
        <v>3453</v>
      </c>
      <c r="F415" s="3817">
        <v>312</v>
      </c>
      <c r="G415" s="3819">
        <v>44533</v>
      </c>
      <c r="H415" s="3817">
        <v>303</v>
      </c>
      <c r="I415" s="3817">
        <v>52973</v>
      </c>
    </row>
    <row r="416" spans="1:9" hidden="1">
      <c r="A416" s="3819">
        <v>44559</v>
      </c>
      <c r="B416" s="3817" t="s">
        <v>3444</v>
      </c>
      <c r="C416" s="3817">
        <v>55</v>
      </c>
      <c r="D416" s="3817" t="s">
        <v>3506</v>
      </c>
      <c r="E416" s="3817" t="s">
        <v>3457</v>
      </c>
      <c r="F416" s="3817">
        <v>303</v>
      </c>
      <c r="G416" s="3819">
        <v>44479</v>
      </c>
      <c r="H416" s="3817">
        <v>295</v>
      </c>
      <c r="I416" s="3817">
        <v>53481</v>
      </c>
    </row>
    <row r="417" spans="1:9" hidden="1">
      <c r="A417" s="3819">
        <v>44559</v>
      </c>
      <c r="B417" s="3817" t="s">
        <v>3475</v>
      </c>
      <c r="C417" s="3817">
        <v>77</v>
      </c>
      <c r="D417" s="3817" t="s">
        <v>3490</v>
      </c>
      <c r="E417" s="3817" t="s">
        <v>3505</v>
      </c>
      <c r="F417" s="3817">
        <v>0</v>
      </c>
      <c r="G417" s="3817" t="s">
        <v>3443</v>
      </c>
      <c r="H417" s="3817">
        <v>356</v>
      </c>
      <c r="I417" s="3817">
        <v>46234</v>
      </c>
    </row>
    <row r="418" spans="1:9" hidden="1">
      <c r="A418" s="3819">
        <v>44555</v>
      </c>
      <c r="B418" s="3817" t="s">
        <v>3444</v>
      </c>
      <c r="C418" s="3817">
        <v>49</v>
      </c>
      <c r="D418" s="3817" t="s">
        <v>3514</v>
      </c>
      <c r="E418" s="3817" t="s">
        <v>3470</v>
      </c>
      <c r="F418" s="3817">
        <v>268</v>
      </c>
      <c r="G418" s="3819">
        <v>44375</v>
      </c>
      <c r="H418" s="3817">
        <v>262</v>
      </c>
      <c r="I418" s="3817">
        <v>52653</v>
      </c>
    </row>
    <row r="419" spans="1:9" hidden="1">
      <c r="A419" s="3819">
        <v>44552</v>
      </c>
      <c r="B419" s="3817" t="s">
        <v>3449</v>
      </c>
      <c r="C419" s="3817">
        <v>67</v>
      </c>
      <c r="D419" s="3817" t="s">
        <v>3513</v>
      </c>
      <c r="E419" s="3817" t="s">
        <v>3453</v>
      </c>
      <c r="F419" s="3817">
        <v>417</v>
      </c>
      <c r="G419" s="3819">
        <v>44308</v>
      </c>
      <c r="H419" s="3817">
        <v>407</v>
      </c>
      <c r="I419" s="3817">
        <v>59906</v>
      </c>
    </row>
    <row r="420" spans="1:9" hidden="1">
      <c r="A420" s="3819">
        <v>44552</v>
      </c>
      <c r="B420" s="3817" t="s">
        <v>3449</v>
      </c>
      <c r="C420" s="3817">
        <v>68</v>
      </c>
      <c r="D420" s="3817" t="s">
        <v>3510</v>
      </c>
      <c r="E420" s="3817" t="s">
        <v>3453</v>
      </c>
      <c r="F420" s="3817">
        <v>412</v>
      </c>
      <c r="G420" s="3819">
        <v>44513</v>
      </c>
      <c r="H420" s="3817">
        <v>400</v>
      </c>
      <c r="I420" s="3817">
        <v>58412</v>
      </c>
    </row>
    <row r="421" spans="1:9" hidden="1">
      <c r="A421" s="3819">
        <v>44549</v>
      </c>
      <c r="B421" s="3817" t="s">
        <v>3444</v>
      </c>
      <c r="C421" s="3817">
        <v>61</v>
      </c>
      <c r="D421" s="3817" t="s">
        <v>3513</v>
      </c>
      <c r="E421" s="3817" t="s">
        <v>3457</v>
      </c>
      <c r="F421" s="3817">
        <v>335</v>
      </c>
      <c r="G421" s="3819">
        <v>44510</v>
      </c>
      <c r="H421" s="3817">
        <v>335</v>
      </c>
      <c r="I421" s="3817">
        <v>54208</v>
      </c>
    </row>
    <row r="422" spans="1:9" hidden="1">
      <c r="A422" s="3819">
        <v>44549</v>
      </c>
      <c r="B422" s="3817" t="s">
        <v>3471</v>
      </c>
      <c r="C422" s="3817">
        <v>41</v>
      </c>
      <c r="D422" s="3817" t="s">
        <v>3513</v>
      </c>
      <c r="E422" s="3817" t="s">
        <v>3429</v>
      </c>
      <c r="F422" s="3817">
        <v>249</v>
      </c>
      <c r="G422" s="3819">
        <v>44475</v>
      </c>
      <c r="H422" s="3817">
        <v>242</v>
      </c>
      <c r="I422" s="3817">
        <v>58034</v>
      </c>
    </row>
    <row r="423" spans="1:9" hidden="1">
      <c r="A423" s="3819">
        <v>44548</v>
      </c>
      <c r="B423" s="3817" t="s">
        <v>3444</v>
      </c>
      <c r="C423" s="3817">
        <v>57</v>
      </c>
      <c r="D423" s="3817" t="s">
        <v>3513</v>
      </c>
      <c r="E423" s="3817" t="s">
        <v>3453</v>
      </c>
      <c r="F423" s="3817">
        <v>307</v>
      </c>
      <c r="G423" s="3819">
        <v>44528</v>
      </c>
      <c r="H423" s="3817">
        <v>304</v>
      </c>
      <c r="I423" s="3817">
        <v>53147</v>
      </c>
    </row>
    <row r="424" spans="1:9" hidden="1">
      <c r="A424" s="3819">
        <v>44540</v>
      </c>
      <c r="B424" s="3817" t="s">
        <v>3444</v>
      </c>
      <c r="C424" s="3817">
        <v>55</v>
      </c>
      <c r="D424" s="3817" t="s">
        <v>3514</v>
      </c>
      <c r="E424" s="3817" t="s">
        <v>3453</v>
      </c>
      <c r="F424" s="3817">
        <v>338</v>
      </c>
      <c r="G424" s="3819">
        <v>44439</v>
      </c>
      <c r="H424" s="3817">
        <v>329</v>
      </c>
      <c r="I424" s="3817">
        <v>59801</v>
      </c>
    </row>
    <row r="425" spans="1:9" hidden="1">
      <c r="A425" s="3819">
        <v>44538</v>
      </c>
      <c r="B425" s="3817" t="s">
        <v>3471</v>
      </c>
      <c r="C425" s="3817">
        <v>57</v>
      </c>
      <c r="D425" s="3817" t="s">
        <v>3520</v>
      </c>
      <c r="E425" s="3817" t="s">
        <v>3463</v>
      </c>
      <c r="F425" s="3817">
        <v>282</v>
      </c>
      <c r="G425" s="3819">
        <v>44245</v>
      </c>
      <c r="H425" s="3817">
        <v>275</v>
      </c>
      <c r="I425" s="3817">
        <v>47719</v>
      </c>
    </row>
    <row r="426" spans="1:9" hidden="1">
      <c r="A426" s="3819">
        <v>44530</v>
      </c>
      <c r="B426" s="3817" t="s">
        <v>3444</v>
      </c>
      <c r="C426" s="3817">
        <v>54</v>
      </c>
      <c r="D426" s="3817" t="s">
        <v>3507</v>
      </c>
      <c r="E426" s="3817" t="s">
        <v>3453</v>
      </c>
      <c r="F426" s="3817">
        <v>299</v>
      </c>
      <c r="G426" s="3819">
        <v>44520</v>
      </c>
      <c r="H426" s="3817">
        <v>295</v>
      </c>
      <c r="I426" s="3817">
        <v>54069</v>
      </c>
    </row>
    <row r="427" spans="1:9" hidden="1">
      <c r="A427" s="3819">
        <v>44514</v>
      </c>
      <c r="B427" s="3817" t="s">
        <v>3444</v>
      </c>
      <c r="C427" s="3817">
        <v>77</v>
      </c>
      <c r="D427" s="3817" t="s">
        <v>3519</v>
      </c>
      <c r="E427" s="3817" t="s">
        <v>3463</v>
      </c>
      <c r="F427" s="3817">
        <v>0</v>
      </c>
      <c r="G427" s="3817" t="s">
        <v>3521</v>
      </c>
      <c r="H427" s="3817">
        <v>365</v>
      </c>
      <c r="I427" s="3817">
        <v>47134</v>
      </c>
    </row>
    <row r="428" spans="1:9" hidden="1">
      <c r="A428" s="3819">
        <v>44508</v>
      </c>
      <c r="B428" s="3817" t="s">
        <v>3444</v>
      </c>
      <c r="C428" s="3817">
        <v>57</v>
      </c>
      <c r="D428" s="3817" t="s">
        <v>3513</v>
      </c>
      <c r="E428" s="3817" t="s">
        <v>3453</v>
      </c>
      <c r="F428" s="3817">
        <v>326</v>
      </c>
      <c r="G428" s="3819">
        <v>44498</v>
      </c>
      <c r="H428" s="3817">
        <v>323</v>
      </c>
      <c r="I428" s="3817">
        <v>56469</v>
      </c>
    </row>
    <row r="429" spans="1:9" hidden="1">
      <c r="A429" s="3819">
        <v>44506</v>
      </c>
      <c r="B429" s="3817" t="s">
        <v>3444</v>
      </c>
      <c r="C429" s="3817">
        <v>73</v>
      </c>
      <c r="D429" s="3817" t="s">
        <v>3517</v>
      </c>
      <c r="E429" s="3817" t="s">
        <v>3477</v>
      </c>
      <c r="F429" s="3817">
        <v>380</v>
      </c>
      <c r="G429" s="3819">
        <v>44415</v>
      </c>
      <c r="H429" s="3817">
        <v>360</v>
      </c>
      <c r="I429" s="3817">
        <v>48894</v>
      </c>
    </row>
    <row r="430" spans="1:9" hidden="1">
      <c r="A430" s="3819">
        <v>44506</v>
      </c>
      <c r="B430" s="3817" t="s">
        <v>3444</v>
      </c>
      <c r="C430" s="3817">
        <v>49</v>
      </c>
      <c r="D430" s="3817" t="s">
        <v>3514</v>
      </c>
      <c r="E430" s="3817" t="s">
        <v>3470</v>
      </c>
      <c r="F430" s="3817">
        <v>282</v>
      </c>
      <c r="G430" s="3819">
        <v>44501</v>
      </c>
      <c r="H430" s="3817">
        <v>279</v>
      </c>
      <c r="I430" s="3817">
        <v>56319</v>
      </c>
    </row>
    <row r="431" spans="1:9" hidden="1">
      <c r="A431" s="3819">
        <v>44496</v>
      </c>
      <c r="B431" s="3817" t="s">
        <v>3444</v>
      </c>
      <c r="C431" s="3817">
        <v>57</v>
      </c>
      <c r="D431" s="3817" t="s">
        <v>3514</v>
      </c>
      <c r="E431" s="3817" t="s">
        <v>3453</v>
      </c>
      <c r="F431" s="3817">
        <v>318</v>
      </c>
      <c r="G431" s="3819">
        <v>44461</v>
      </c>
      <c r="H431" s="3817">
        <v>314</v>
      </c>
      <c r="I431" s="3817">
        <v>54704</v>
      </c>
    </row>
    <row r="432" spans="1:9" hidden="1">
      <c r="A432" s="3819">
        <v>44486</v>
      </c>
      <c r="B432" s="3817" t="s">
        <v>3444</v>
      </c>
      <c r="C432" s="3817">
        <v>69</v>
      </c>
      <c r="D432" s="3817" t="s">
        <v>3507</v>
      </c>
      <c r="E432" s="3817" t="s">
        <v>3453</v>
      </c>
      <c r="F432" s="3817">
        <v>375</v>
      </c>
      <c r="G432" s="3819">
        <v>44449</v>
      </c>
      <c r="H432" s="3817">
        <v>372</v>
      </c>
      <c r="I432" s="3817">
        <v>53311</v>
      </c>
    </row>
    <row r="433" spans="1:9" hidden="1">
      <c r="A433" s="3819">
        <v>44479</v>
      </c>
      <c r="B433" s="3817" t="s">
        <v>3444</v>
      </c>
      <c r="C433" s="3817">
        <v>55</v>
      </c>
      <c r="D433" s="3817" t="s">
        <v>3446</v>
      </c>
      <c r="E433" s="3817" t="s">
        <v>3457</v>
      </c>
      <c r="F433" s="3817">
        <v>341</v>
      </c>
      <c r="G433" s="3819">
        <v>44453</v>
      </c>
      <c r="H433" s="3817">
        <v>332</v>
      </c>
      <c r="I433" s="3817">
        <v>60189</v>
      </c>
    </row>
    <row r="434" spans="1:9" hidden="1">
      <c r="A434" s="3819">
        <v>44464</v>
      </c>
      <c r="B434" s="3817" t="s">
        <v>3444</v>
      </c>
      <c r="C434" s="3817">
        <v>57</v>
      </c>
      <c r="D434" s="3817" t="s">
        <v>3514</v>
      </c>
      <c r="E434" s="3817" t="s">
        <v>3453</v>
      </c>
      <c r="F434" s="3817">
        <v>0</v>
      </c>
      <c r="G434" s="3817" t="s">
        <v>3521</v>
      </c>
      <c r="H434" s="3817">
        <v>290</v>
      </c>
      <c r="I434" s="3817">
        <v>50752</v>
      </c>
    </row>
    <row r="435" spans="1:9" hidden="1">
      <c r="A435" s="3819">
        <v>44463</v>
      </c>
      <c r="B435" s="3817" t="s">
        <v>3444</v>
      </c>
      <c r="C435" s="3817">
        <v>57</v>
      </c>
      <c r="D435" s="3817" t="s">
        <v>3513</v>
      </c>
      <c r="E435" s="3817" t="s">
        <v>3453</v>
      </c>
      <c r="F435" s="3817">
        <v>0</v>
      </c>
      <c r="G435" s="3817" t="s">
        <v>3521</v>
      </c>
      <c r="H435" s="3817">
        <v>305</v>
      </c>
      <c r="I435" s="3817">
        <v>53322</v>
      </c>
    </row>
    <row r="436" spans="1:9" hidden="1">
      <c r="A436" s="3819">
        <v>44453</v>
      </c>
      <c r="B436" s="3817" t="s">
        <v>3444</v>
      </c>
      <c r="C436" s="3817">
        <v>71</v>
      </c>
      <c r="D436" s="3817" t="s">
        <v>3519</v>
      </c>
      <c r="E436" s="3817" t="s">
        <v>3453</v>
      </c>
      <c r="F436" s="3817">
        <v>395</v>
      </c>
      <c r="G436" s="3819">
        <v>44376</v>
      </c>
      <c r="H436" s="3817">
        <v>385</v>
      </c>
      <c r="I436" s="3817">
        <v>53869</v>
      </c>
    </row>
    <row r="437" spans="1:9" hidden="1">
      <c r="A437" s="3819">
        <v>44450</v>
      </c>
      <c r="B437" s="3817" t="s">
        <v>3449</v>
      </c>
      <c r="C437" s="3817">
        <v>69</v>
      </c>
      <c r="D437" s="3817" t="s">
        <v>3513</v>
      </c>
      <c r="E437" s="3817" t="s">
        <v>3453</v>
      </c>
      <c r="F437" s="3817">
        <v>415</v>
      </c>
      <c r="G437" s="3819">
        <v>44437</v>
      </c>
      <c r="H437" s="3817">
        <v>408</v>
      </c>
      <c r="I437" s="3817">
        <v>58470</v>
      </c>
    </row>
    <row r="438" spans="1:9" hidden="1">
      <c r="A438" s="3819">
        <v>44449</v>
      </c>
      <c r="B438" s="3817" t="s">
        <v>3444</v>
      </c>
      <c r="C438" s="3817">
        <v>62</v>
      </c>
      <c r="D438" s="3817" t="s">
        <v>3514</v>
      </c>
      <c r="E438" s="3817" t="s">
        <v>3453</v>
      </c>
      <c r="F438" s="3817">
        <v>380</v>
      </c>
      <c r="G438" s="3819">
        <v>44351</v>
      </c>
      <c r="H438" s="3817">
        <v>375</v>
      </c>
      <c r="I438" s="3817">
        <v>59619</v>
      </c>
    </row>
    <row r="439" spans="1:9" hidden="1">
      <c r="A439" s="3819">
        <v>44439</v>
      </c>
      <c r="B439" s="3817" t="s">
        <v>3444</v>
      </c>
      <c r="C439" s="3817">
        <v>55</v>
      </c>
      <c r="D439" s="3817" t="s">
        <v>3514</v>
      </c>
      <c r="E439" s="3817" t="s">
        <v>3453</v>
      </c>
      <c r="F439" s="3817">
        <v>342</v>
      </c>
      <c r="G439" s="3819">
        <v>44418</v>
      </c>
      <c r="H439" s="3817">
        <v>335</v>
      </c>
      <c r="I439" s="3817">
        <v>60733</v>
      </c>
    </row>
    <row r="440" spans="1:9" hidden="1">
      <c r="A440" s="3819">
        <v>44437</v>
      </c>
      <c r="B440" s="3817" t="s">
        <v>3441</v>
      </c>
      <c r="C440" s="3817">
        <v>55</v>
      </c>
      <c r="D440" s="3817" t="s">
        <v>3490</v>
      </c>
      <c r="E440" s="3817" t="s">
        <v>3512</v>
      </c>
      <c r="F440" s="3817">
        <v>0</v>
      </c>
      <c r="G440" s="3817" t="s">
        <v>3443</v>
      </c>
      <c r="H440" s="3817">
        <v>293</v>
      </c>
      <c r="I440" s="3817">
        <v>53273</v>
      </c>
    </row>
    <row r="441" spans="1:9" hidden="1">
      <c r="A441" s="3819">
        <v>44436</v>
      </c>
      <c r="B441" s="3817" t="s">
        <v>3471</v>
      </c>
      <c r="C441" s="3817">
        <v>57</v>
      </c>
      <c r="D441" s="3817" t="s">
        <v>3522</v>
      </c>
      <c r="E441" s="3817" t="s">
        <v>3442</v>
      </c>
      <c r="F441" s="3817">
        <v>318</v>
      </c>
      <c r="G441" s="3819">
        <v>44421</v>
      </c>
      <c r="H441" s="3817">
        <v>305</v>
      </c>
      <c r="I441" s="3817">
        <v>52924</v>
      </c>
    </row>
    <row r="442" spans="1:9" hidden="1">
      <c r="A442" s="3819">
        <v>44431</v>
      </c>
      <c r="B442" s="3817" t="s">
        <v>3523</v>
      </c>
      <c r="C442" s="3817">
        <v>57</v>
      </c>
      <c r="D442" s="3817" t="s">
        <v>3497</v>
      </c>
      <c r="E442" s="3817" t="s">
        <v>3505</v>
      </c>
      <c r="F442" s="3817">
        <v>0</v>
      </c>
      <c r="G442" s="3817" t="s">
        <v>3443</v>
      </c>
      <c r="H442" s="3817">
        <v>306</v>
      </c>
      <c r="I442" s="3817">
        <v>53497</v>
      </c>
    </row>
    <row r="443" spans="1:9" hidden="1">
      <c r="A443" s="3819">
        <v>44429</v>
      </c>
      <c r="B443" s="3817" t="s">
        <v>3441</v>
      </c>
      <c r="C443" s="3817">
        <v>57</v>
      </c>
      <c r="D443" s="3817" t="s">
        <v>3497</v>
      </c>
      <c r="E443" s="3817" t="s">
        <v>3505</v>
      </c>
      <c r="F443" s="3817">
        <v>0</v>
      </c>
      <c r="G443" s="3817" t="s">
        <v>3443</v>
      </c>
      <c r="H443" s="3817">
        <v>320</v>
      </c>
      <c r="I443" s="3817">
        <v>55944</v>
      </c>
    </row>
    <row r="444" spans="1:9" hidden="1">
      <c r="A444" s="3819">
        <v>44425</v>
      </c>
      <c r="B444" s="3817" t="s">
        <v>3448</v>
      </c>
      <c r="C444" s="3817">
        <v>57</v>
      </c>
      <c r="D444" s="3817" t="s">
        <v>3499</v>
      </c>
      <c r="E444" s="3817" t="s">
        <v>3463</v>
      </c>
      <c r="F444" s="3817">
        <v>0</v>
      </c>
      <c r="G444" s="3817" t="s">
        <v>3443</v>
      </c>
      <c r="H444" s="3817">
        <v>230</v>
      </c>
      <c r="I444" s="3817">
        <v>39910</v>
      </c>
    </row>
    <row r="445" spans="1:9" hidden="1">
      <c r="A445" s="3819">
        <v>44424</v>
      </c>
      <c r="B445" s="3817" t="s">
        <v>3449</v>
      </c>
      <c r="C445" s="3817">
        <v>67</v>
      </c>
      <c r="D445" s="3817" t="s">
        <v>3507</v>
      </c>
      <c r="E445" s="3817" t="s">
        <v>3453</v>
      </c>
      <c r="F445" s="3817">
        <v>367</v>
      </c>
      <c r="G445" s="3819">
        <v>44397</v>
      </c>
      <c r="H445" s="3817">
        <v>366</v>
      </c>
      <c r="I445" s="3817">
        <v>53872</v>
      </c>
    </row>
    <row r="446" spans="1:9" hidden="1">
      <c r="A446" s="3819">
        <v>44423</v>
      </c>
      <c r="B446" s="3817" t="s">
        <v>3441</v>
      </c>
      <c r="C446" s="3817">
        <v>52</v>
      </c>
      <c r="D446" s="3817" t="s">
        <v>3497</v>
      </c>
      <c r="E446" s="3817" t="s">
        <v>3505</v>
      </c>
      <c r="F446" s="3817">
        <v>0</v>
      </c>
      <c r="G446" s="3817" t="s">
        <v>3443</v>
      </c>
      <c r="H446" s="3817">
        <v>320</v>
      </c>
      <c r="I446" s="3817">
        <v>61067</v>
      </c>
    </row>
    <row r="447" spans="1:9" hidden="1">
      <c r="A447" s="3819">
        <v>44423</v>
      </c>
      <c r="B447" s="3817" t="s">
        <v>3475</v>
      </c>
      <c r="C447" s="3817">
        <v>65</v>
      </c>
      <c r="D447" s="3817" t="s">
        <v>3497</v>
      </c>
      <c r="E447" s="3820"/>
      <c r="F447" s="3817">
        <v>0</v>
      </c>
      <c r="G447" s="3817" t="s">
        <v>3443</v>
      </c>
      <c r="H447" s="3817">
        <v>417</v>
      </c>
      <c r="I447" s="3817">
        <v>63830</v>
      </c>
    </row>
    <row r="448" spans="1:9" hidden="1">
      <c r="A448" s="3819">
        <v>44420</v>
      </c>
      <c r="B448" s="3817" t="s">
        <v>3441</v>
      </c>
      <c r="C448" s="3817">
        <v>54</v>
      </c>
      <c r="D448" s="3817" t="s">
        <v>3490</v>
      </c>
      <c r="E448" s="3817" t="s">
        <v>3505</v>
      </c>
      <c r="F448" s="3817">
        <v>0</v>
      </c>
      <c r="G448" s="3817" t="s">
        <v>3443</v>
      </c>
      <c r="H448" s="3817">
        <v>289</v>
      </c>
      <c r="I448" s="3817">
        <v>52834</v>
      </c>
    </row>
    <row r="449" spans="1:9" hidden="1">
      <c r="A449" s="3819">
        <v>44412</v>
      </c>
      <c r="B449" s="3817" t="s">
        <v>3475</v>
      </c>
      <c r="C449" s="3817">
        <v>69</v>
      </c>
      <c r="D449" s="3817" t="s">
        <v>3490</v>
      </c>
      <c r="E449" s="3817" t="s">
        <v>3505</v>
      </c>
      <c r="F449" s="3817">
        <v>0</v>
      </c>
      <c r="G449" s="3817" t="s">
        <v>3443</v>
      </c>
      <c r="H449" s="3817">
        <v>370</v>
      </c>
      <c r="I449" s="3817">
        <v>53584</v>
      </c>
    </row>
    <row r="450" spans="1:9" hidden="1">
      <c r="A450" s="3819">
        <v>44405</v>
      </c>
      <c r="B450" s="3817" t="s">
        <v>3444</v>
      </c>
      <c r="C450" s="3817">
        <v>53</v>
      </c>
      <c r="D450" s="3817" t="s">
        <v>3507</v>
      </c>
      <c r="E450" s="3817" t="s">
        <v>3524</v>
      </c>
      <c r="F450" s="3817">
        <v>319</v>
      </c>
      <c r="G450" s="3819">
        <v>44322</v>
      </c>
      <c r="H450" s="3817">
        <v>306</v>
      </c>
      <c r="I450" s="3817">
        <v>56699</v>
      </c>
    </row>
    <row r="451" spans="1:9" hidden="1">
      <c r="A451" s="3819">
        <v>44405</v>
      </c>
      <c r="B451" s="3817" t="s">
        <v>3441</v>
      </c>
      <c r="C451" s="3817">
        <v>51</v>
      </c>
      <c r="D451" s="3817" t="s">
        <v>3491</v>
      </c>
      <c r="E451" s="3817" t="s">
        <v>3464</v>
      </c>
      <c r="F451" s="3817">
        <v>0</v>
      </c>
      <c r="G451" s="3817" t="s">
        <v>3443</v>
      </c>
      <c r="H451" s="3817">
        <v>288</v>
      </c>
      <c r="I451" s="3817">
        <v>56426</v>
      </c>
    </row>
    <row r="452" spans="1:9" hidden="1">
      <c r="A452" s="3819">
        <v>44403</v>
      </c>
      <c r="B452" s="3817" t="s">
        <v>3441</v>
      </c>
      <c r="C452" s="3817">
        <v>84</v>
      </c>
      <c r="D452" s="3817" t="s">
        <v>3499</v>
      </c>
      <c r="E452" s="3817" t="s">
        <v>3428</v>
      </c>
      <c r="F452" s="3817">
        <v>0</v>
      </c>
      <c r="G452" s="3817" t="s">
        <v>3443</v>
      </c>
      <c r="H452" s="3817">
        <v>391</v>
      </c>
      <c r="I452" s="3817">
        <v>46011</v>
      </c>
    </row>
    <row r="453" spans="1:9" hidden="1">
      <c r="A453" s="3819">
        <v>44401</v>
      </c>
      <c r="B453" s="3817" t="s">
        <v>3471</v>
      </c>
      <c r="C453" s="3817">
        <v>42</v>
      </c>
      <c r="D453" s="3817" t="s">
        <v>3510</v>
      </c>
      <c r="E453" s="3817" t="s">
        <v>3429</v>
      </c>
      <c r="F453" s="3817">
        <v>269</v>
      </c>
      <c r="G453" s="3819">
        <v>44380</v>
      </c>
      <c r="H453" s="3817">
        <v>262</v>
      </c>
      <c r="I453" s="3817">
        <v>61793</v>
      </c>
    </row>
    <row r="454" spans="1:9" hidden="1">
      <c r="A454" s="3819">
        <v>44400</v>
      </c>
      <c r="B454" s="3817" t="s">
        <v>3441</v>
      </c>
      <c r="C454" s="3817">
        <v>54</v>
      </c>
      <c r="D454" s="3817" t="s">
        <v>3497</v>
      </c>
      <c r="E454" s="3817" t="s">
        <v>3505</v>
      </c>
      <c r="F454" s="3817">
        <v>0</v>
      </c>
      <c r="G454" s="3817" t="s">
        <v>3443</v>
      </c>
      <c r="H454" s="3817">
        <v>302</v>
      </c>
      <c r="I454" s="3817">
        <v>55637</v>
      </c>
    </row>
    <row r="455" spans="1:9" hidden="1">
      <c r="A455" s="3819">
        <v>44397</v>
      </c>
      <c r="B455" s="3817" t="s">
        <v>3448</v>
      </c>
      <c r="C455" s="3817">
        <v>57</v>
      </c>
      <c r="D455" s="3817" t="s">
        <v>3499</v>
      </c>
      <c r="E455" s="3817" t="s">
        <v>3463</v>
      </c>
      <c r="F455" s="3817">
        <v>0</v>
      </c>
      <c r="G455" s="3817" t="s">
        <v>3443</v>
      </c>
      <c r="H455" s="3817">
        <v>275</v>
      </c>
      <c r="I455" s="3817">
        <v>47718</v>
      </c>
    </row>
    <row r="456" spans="1:9" hidden="1">
      <c r="A456" s="3819">
        <v>44395</v>
      </c>
      <c r="B456" s="3817" t="s">
        <v>3444</v>
      </c>
      <c r="C456" s="3817">
        <v>57</v>
      </c>
      <c r="D456" s="3817" t="s">
        <v>3514</v>
      </c>
      <c r="E456" s="3817" t="s">
        <v>3453</v>
      </c>
      <c r="F456" s="3817">
        <v>315</v>
      </c>
      <c r="G456" s="3819">
        <v>44366</v>
      </c>
      <c r="H456" s="3817">
        <v>306</v>
      </c>
      <c r="I456" s="3817">
        <v>53584</v>
      </c>
    </row>
    <row r="457" spans="1:9" hidden="1">
      <c r="A457" s="3819">
        <v>44394</v>
      </c>
      <c r="B457" s="3817" t="s">
        <v>3444</v>
      </c>
      <c r="C457" s="3817">
        <v>62</v>
      </c>
      <c r="D457" s="3817" t="s">
        <v>3509</v>
      </c>
      <c r="E457" s="3817" t="s">
        <v>3468</v>
      </c>
      <c r="F457" s="3817">
        <v>383</v>
      </c>
      <c r="G457" s="3819">
        <v>44352</v>
      </c>
      <c r="H457" s="3817">
        <v>375</v>
      </c>
      <c r="I457" s="3817">
        <v>59857</v>
      </c>
    </row>
    <row r="458" spans="1:9" hidden="1">
      <c r="A458" s="3819">
        <v>44394</v>
      </c>
      <c r="B458" s="3817" t="s">
        <v>3444</v>
      </c>
      <c r="C458" s="3817">
        <v>57</v>
      </c>
      <c r="D458" s="3817" t="s">
        <v>3513</v>
      </c>
      <c r="E458" s="3817" t="s">
        <v>3453</v>
      </c>
      <c r="F458" s="3817">
        <v>315</v>
      </c>
      <c r="G458" s="3819">
        <v>44066</v>
      </c>
      <c r="H458" s="3817">
        <v>304</v>
      </c>
      <c r="I458" s="3817">
        <v>53147</v>
      </c>
    </row>
    <row r="459" spans="1:9" hidden="1">
      <c r="A459" s="3819">
        <v>44392</v>
      </c>
      <c r="B459" s="3817" t="s">
        <v>3444</v>
      </c>
      <c r="C459" s="3817">
        <v>57</v>
      </c>
      <c r="D459" s="3817" t="s">
        <v>3513</v>
      </c>
      <c r="E459" s="3817" t="s">
        <v>3453</v>
      </c>
      <c r="F459" s="3817">
        <v>316</v>
      </c>
      <c r="G459" s="3819">
        <v>44343</v>
      </c>
      <c r="H459" s="3817">
        <v>308</v>
      </c>
      <c r="I459" s="3817">
        <v>53847</v>
      </c>
    </row>
    <row r="460" spans="1:9" hidden="1">
      <c r="A460" s="3819">
        <v>44383</v>
      </c>
      <c r="B460" s="3817" t="s">
        <v>3441</v>
      </c>
      <c r="C460" s="3817">
        <v>84</v>
      </c>
      <c r="D460" s="3817" t="s">
        <v>3494</v>
      </c>
      <c r="E460" s="3817" t="s">
        <v>3460</v>
      </c>
      <c r="F460" s="3817">
        <v>0</v>
      </c>
      <c r="G460" s="3817" t="s">
        <v>3443</v>
      </c>
      <c r="H460" s="3817">
        <v>437</v>
      </c>
      <c r="I460" s="3817">
        <v>51424</v>
      </c>
    </row>
    <row r="461" spans="1:9" hidden="1">
      <c r="A461" s="3819">
        <v>44382</v>
      </c>
      <c r="B461" s="3817" t="s">
        <v>3444</v>
      </c>
      <c r="C461" s="3817">
        <v>54</v>
      </c>
      <c r="D461" s="3817" t="s">
        <v>3513</v>
      </c>
      <c r="E461" s="3817" t="s">
        <v>3453</v>
      </c>
      <c r="F461" s="3817">
        <v>330</v>
      </c>
      <c r="G461" s="3819">
        <v>44374</v>
      </c>
      <c r="H461" s="3817">
        <v>326</v>
      </c>
      <c r="I461" s="3817">
        <v>60341</v>
      </c>
    </row>
    <row r="462" spans="1:9" hidden="1">
      <c r="A462" s="3819">
        <v>44380</v>
      </c>
      <c r="B462" s="3817" t="s">
        <v>3444</v>
      </c>
      <c r="C462" s="3817">
        <v>52</v>
      </c>
      <c r="D462" s="3817" t="s">
        <v>3506</v>
      </c>
      <c r="E462" s="3817" t="s">
        <v>3453</v>
      </c>
      <c r="F462" s="3817">
        <v>326</v>
      </c>
      <c r="G462" s="3819">
        <v>44266</v>
      </c>
      <c r="H462" s="3817">
        <v>319</v>
      </c>
      <c r="I462" s="3817">
        <v>60762</v>
      </c>
    </row>
    <row r="463" spans="1:9" hidden="1">
      <c r="A463" s="3819">
        <v>44379</v>
      </c>
      <c r="B463" s="3817" t="s">
        <v>3444</v>
      </c>
      <c r="C463" s="3817">
        <v>57</v>
      </c>
      <c r="D463" s="3817" t="s">
        <v>3513</v>
      </c>
      <c r="E463" s="3817" t="s">
        <v>3453</v>
      </c>
      <c r="F463" s="3817">
        <v>317</v>
      </c>
      <c r="G463" s="3819">
        <v>44333</v>
      </c>
      <c r="H463" s="3817">
        <v>312</v>
      </c>
      <c r="I463" s="3817">
        <v>54356</v>
      </c>
    </row>
    <row r="464" spans="1:9" hidden="1">
      <c r="A464" s="3819">
        <v>44367</v>
      </c>
      <c r="B464" s="3817" t="s">
        <v>3475</v>
      </c>
      <c r="C464" s="3817">
        <v>69</v>
      </c>
      <c r="D464" s="3817" t="s">
        <v>3490</v>
      </c>
      <c r="E464" s="3817" t="s">
        <v>3505</v>
      </c>
      <c r="F464" s="3817">
        <v>0</v>
      </c>
      <c r="G464" s="3817" t="s">
        <v>3443</v>
      </c>
      <c r="H464" s="3817">
        <v>408</v>
      </c>
      <c r="I464" s="3817">
        <v>58469</v>
      </c>
    </row>
    <row r="465" spans="1:9" hidden="1">
      <c r="A465" s="3819">
        <v>44365</v>
      </c>
      <c r="B465" s="3817" t="s">
        <v>3444</v>
      </c>
      <c r="C465" s="3817">
        <v>57</v>
      </c>
      <c r="D465" s="3817" t="s">
        <v>3513</v>
      </c>
      <c r="E465" s="3817" t="s">
        <v>3453</v>
      </c>
      <c r="F465" s="3817">
        <v>325</v>
      </c>
      <c r="G465" s="3819">
        <v>44315</v>
      </c>
      <c r="H465" s="3817">
        <v>316</v>
      </c>
      <c r="I465" s="3817">
        <v>55245</v>
      </c>
    </row>
    <row r="466" spans="1:9" hidden="1">
      <c r="A466" s="3819">
        <v>44358</v>
      </c>
      <c r="B466" s="3817" t="s">
        <v>3444</v>
      </c>
      <c r="C466" s="3817">
        <v>50</v>
      </c>
      <c r="D466" s="3817" t="s">
        <v>3452</v>
      </c>
      <c r="E466" s="3817" t="s">
        <v>3469</v>
      </c>
      <c r="F466" s="3817">
        <v>330</v>
      </c>
      <c r="G466" s="3819">
        <v>44064</v>
      </c>
      <c r="H466" s="3817">
        <v>315</v>
      </c>
      <c r="I466" s="3817">
        <v>62762</v>
      </c>
    </row>
    <row r="467" spans="1:9" hidden="1">
      <c r="A467" s="3819">
        <v>44357</v>
      </c>
      <c r="B467" s="3817" t="s">
        <v>3444</v>
      </c>
      <c r="C467" s="3817">
        <v>54</v>
      </c>
      <c r="D467" s="3817" t="s">
        <v>3455</v>
      </c>
      <c r="E467" s="3817" t="s">
        <v>3453</v>
      </c>
      <c r="F467" s="3817">
        <v>329</v>
      </c>
      <c r="G467" s="3819">
        <v>44357</v>
      </c>
      <c r="H467" s="3817">
        <v>320</v>
      </c>
      <c r="I467" s="3817">
        <v>59128</v>
      </c>
    </row>
    <row r="468" spans="1:9" hidden="1">
      <c r="A468" s="3819">
        <v>44354</v>
      </c>
      <c r="B468" s="3817" t="s">
        <v>3444</v>
      </c>
      <c r="C468" s="3817">
        <v>57</v>
      </c>
      <c r="D468" s="3817" t="s">
        <v>3507</v>
      </c>
      <c r="E468" s="3817" t="s">
        <v>3515</v>
      </c>
      <c r="F468" s="3817">
        <v>250</v>
      </c>
      <c r="G468" s="3819">
        <v>44344</v>
      </c>
      <c r="H468" s="3817">
        <v>243</v>
      </c>
      <c r="I468" s="3817">
        <v>42483</v>
      </c>
    </row>
    <row r="469" spans="1:9" hidden="1">
      <c r="A469" s="3819">
        <v>44354</v>
      </c>
      <c r="B469" s="3817" t="s">
        <v>3444</v>
      </c>
      <c r="C469" s="3817">
        <v>57</v>
      </c>
      <c r="D469" s="3817" t="s">
        <v>3514</v>
      </c>
      <c r="E469" s="3817" t="s">
        <v>3453</v>
      </c>
      <c r="F469" s="3817">
        <v>318</v>
      </c>
      <c r="G469" s="3819">
        <v>44321</v>
      </c>
      <c r="H469" s="3817">
        <v>308</v>
      </c>
      <c r="I469" s="3817">
        <v>53847</v>
      </c>
    </row>
    <row r="470" spans="1:9" hidden="1">
      <c r="A470" s="3819">
        <v>44353</v>
      </c>
      <c r="B470" s="3817" t="s">
        <v>3444</v>
      </c>
      <c r="C470" s="3817">
        <v>59</v>
      </c>
      <c r="D470" s="3817" t="s">
        <v>3514</v>
      </c>
      <c r="E470" s="3817" t="s">
        <v>3453</v>
      </c>
      <c r="F470" s="3817">
        <v>315</v>
      </c>
      <c r="G470" s="3819">
        <v>44259</v>
      </c>
      <c r="H470" s="3817">
        <v>311</v>
      </c>
      <c r="I470" s="3817">
        <v>52007</v>
      </c>
    </row>
    <row r="471" spans="1:9" hidden="1">
      <c r="A471" s="3819">
        <v>44349</v>
      </c>
      <c r="B471" s="3817" t="s">
        <v>3449</v>
      </c>
      <c r="C471" s="3817">
        <v>67</v>
      </c>
      <c r="D471" s="3817" t="s">
        <v>3510</v>
      </c>
      <c r="E471" s="3817" t="s">
        <v>3453</v>
      </c>
      <c r="F471" s="3817">
        <v>418</v>
      </c>
      <c r="G471" s="3819">
        <v>44338</v>
      </c>
      <c r="H471" s="3817">
        <v>418</v>
      </c>
      <c r="I471" s="3817">
        <v>62212</v>
      </c>
    </row>
    <row r="472" spans="1:9" hidden="1">
      <c r="A472" s="3819">
        <v>44348</v>
      </c>
      <c r="B472" s="3817" t="s">
        <v>3471</v>
      </c>
      <c r="C472" s="3817">
        <v>45</v>
      </c>
      <c r="D472" s="3817" t="s">
        <v>3509</v>
      </c>
      <c r="E472" s="3817" t="s">
        <v>3464</v>
      </c>
      <c r="F472" s="3817">
        <v>292</v>
      </c>
      <c r="G472" s="3819">
        <v>44342</v>
      </c>
      <c r="H472" s="3817">
        <v>287</v>
      </c>
      <c r="I472" s="3817">
        <v>62719</v>
      </c>
    </row>
    <row r="473" spans="1:9" hidden="1">
      <c r="A473" s="3819">
        <v>44347</v>
      </c>
      <c r="B473" s="3817" t="s">
        <v>3444</v>
      </c>
      <c r="C473" s="3817">
        <v>69</v>
      </c>
      <c r="D473" s="3817" t="s">
        <v>3446</v>
      </c>
      <c r="E473" s="3817" t="s">
        <v>3453</v>
      </c>
      <c r="F473" s="3817">
        <v>130</v>
      </c>
      <c r="G473" s="3819">
        <v>44346</v>
      </c>
      <c r="H473" s="3817">
        <v>130</v>
      </c>
      <c r="I473" s="3817">
        <v>18630</v>
      </c>
    </row>
    <row r="474" spans="1:9" hidden="1">
      <c r="A474" s="3819">
        <v>44345</v>
      </c>
      <c r="B474" s="3817" t="s">
        <v>3444</v>
      </c>
      <c r="C474" s="3817">
        <v>62</v>
      </c>
      <c r="D474" s="3817" t="s">
        <v>3445</v>
      </c>
      <c r="E474" s="3817" t="s">
        <v>3468</v>
      </c>
      <c r="F474" s="3817">
        <v>420</v>
      </c>
      <c r="G474" s="3819">
        <v>44343</v>
      </c>
      <c r="H474" s="3817">
        <v>410</v>
      </c>
      <c r="I474" s="3817">
        <v>66065</v>
      </c>
    </row>
    <row r="475" spans="1:9" hidden="1">
      <c r="A475" s="3819">
        <v>44341</v>
      </c>
      <c r="B475" s="3817" t="s">
        <v>3444</v>
      </c>
      <c r="C475" s="3817">
        <v>55</v>
      </c>
      <c r="D475" s="3817" t="s">
        <v>3513</v>
      </c>
      <c r="E475" s="3817" t="s">
        <v>3465</v>
      </c>
      <c r="F475" s="3817">
        <v>308</v>
      </c>
      <c r="G475" s="3819">
        <v>44335</v>
      </c>
      <c r="H475" s="3817">
        <v>302</v>
      </c>
      <c r="I475" s="3817">
        <v>54750</v>
      </c>
    </row>
    <row r="476" spans="1:9" hidden="1">
      <c r="A476" s="3819">
        <v>44335</v>
      </c>
      <c r="B476" s="3817" t="s">
        <v>3444</v>
      </c>
      <c r="C476" s="3817">
        <v>57</v>
      </c>
      <c r="D476" s="3817" t="s">
        <v>3513</v>
      </c>
      <c r="E476" s="3817" t="s">
        <v>3453</v>
      </c>
      <c r="F476" s="3817">
        <v>330</v>
      </c>
      <c r="G476" s="3819">
        <v>44300</v>
      </c>
      <c r="H476" s="3817">
        <v>326</v>
      </c>
      <c r="I476" s="3817">
        <v>56795</v>
      </c>
    </row>
    <row r="477" spans="1:9" hidden="1">
      <c r="A477" s="3819">
        <v>44332</v>
      </c>
      <c r="B477" s="3817" t="s">
        <v>3449</v>
      </c>
      <c r="C477" s="3817">
        <v>68</v>
      </c>
      <c r="D477" s="3817" t="s">
        <v>3510</v>
      </c>
      <c r="E477" s="3817" t="s">
        <v>3453</v>
      </c>
      <c r="F477" s="3817">
        <v>416</v>
      </c>
      <c r="G477" s="3819">
        <v>44256</v>
      </c>
      <c r="H477" s="3817">
        <v>410</v>
      </c>
      <c r="I477" s="3817">
        <v>59507</v>
      </c>
    </row>
    <row r="478" spans="1:9" hidden="1">
      <c r="A478" s="3819">
        <v>44331</v>
      </c>
      <c r="B478" s="3817" t="s">
        <v>3444</v>
      </c>
      <c r="C478" s="3817">
        <v>55</v>
      </c>
      <c r="D478" s="3817" t="s">
        <v>3507</v>
      </c>
      <c r="E478" s="3817" t="s">
        <v>3457</v>
      </c>
      <c r="F478" s="3817">
        <v>295</v>
      </c>
      <c r="G478" s="3819">
        <v>44269</v>
      </c>
      <c r="H478" s="3817">
        <v>287</v>
      </c>
      <c r="I478" s="3817">
        <v>51796</v>
      </c>
    </row>
    <row r="479" spans="1:9" hidden="1">
      <c r="A479" s="3819">
        <v>44331</v>
      </c>
      <c r="B479" s="3817" t="s">
        <v>3444</v>
      </c>
      <c r="C479" s="3817">
        <v>57</v>
      </c>
      <c r="D479" s="3817" t="s">
        <v>3513</v>
      </c>
      <c r="E479" s="3817" t="s">
        <v>3453</v>
      </c>
      <c r="F479" s="3817">
        <v>325</v>
      </c>
      <c r="G479" s="3819">
        <v>44200</v>
      </c>
      <c r="H479" s="3817">
        <v>318</v>
      </c>
      <c r="I479" s="3817">
        <v>55682</v>
      </c>
    </row>
    <row r="480" spans="1:9" hidden="1">
      <c r="A480" s="3819">
        <v>44328</v>
      </c>
      <c r="B480" s="3817" t="s">
        <v>3449</v>
      </c>
      <c r="C480" s="3817">
        <v>67</v>
      </c>
      <c r="D480" s="3817" t="s">
        <v>3513</v>
      </c>
      <c r="E480" s="3817" t="s">
        <v>3465</v>
      </c>
      <c r="F480" s="3817">
        <v>417</v>
      </c>
      <c r="G480" s="3819">
        <v>44307</v>
      </c>
      <c r="H480" s="3817">
        <v>405</v>
      </c>
      <c r="I480" s="3817">
        <v>59612</v>
      </c>
    </row>
    <row r="481" spans="1:9" hidden="1">
      <c r="A481" s="3819">
        <v>44328</v>
      </c>
      <c r="B481" s="3817" t="s">
        <v>3444</v>
      </c>
      <c r="C481" s="3817">
        <v>84</v>
      </c>
      <c r="D481" s="3817" t="s">
        <v>3519</v>
      </c>
      <c r="E481" s="3817" t="s">
        <v>3470</v>
      </c>
      <c r="F481" s="3817">
        <v>420</v>
      </c>
      <c r="G481" s="3819">
        <v>44284</v>
      </c>
      <c r="H481" s="3817">
        <v>415</v>
      </c>
      <c r="I481" s="3817">
        <v>48836</v>
      </c>
    </row>
    <row r="482" spans="1:9" hidden="1">
      <c r="A482" s="3819">
        <v>44326</v>
      </c>
      <c r="B482" s="3817" t="s">
        <v>3444</v>
      </c>
      <c r="C482" s="3817">
        <v>57</v>
      </c>
      <c r="D482" s="3817" t="s">
        <v>3514</v>
      </c>
      <c r="E482" s="3817" t="s">
        <v>3453</v>
      </c>
      <c r="F482" s="3817">
        <v>318</v>
      </c>
      <c r="G482" s="3819">
        <v>44144</v>
      </c>
      <c r="H482" s="3817">
        <v>312</v>
      </c>
      <c r="I482" s="3817">
        <v>54356</v>
      </c>
    </row>
    <row r="483" spans="1:9" hidden="1">
      <c r="A483" s="3819">
        <v>44324</v>
      </c>
      <c r="B483" s="3817" t="s">
        <v>3444</v>
      </c>
      <c r="C483" s="3817">
        <v>59</v>
      </c>
      <c r="D483" s="3817" t="s">
        <v>3507</v>
      </c>
      <c r="E483" s="3817" t="s">
        <v>3453</v>
      </c>
      <c r="F483" s="3817">
        <v>295</v>
      </c>
      <c r="G483" s="3819">
        <v>44320</v>
      </c>
      <c r="H483" s="3817">
        <v>287</v>
      </c>
      <c r="I483" s="3817">
        <v>48155</v>
      </c>
    </row>
    <row r="484" spans="1:9" hidden="1">
      <c r="A484" s="3819">
        <v>44323</v>
      </c>
      <c r="B484" s="3817" t="s">
        <v>3441</v>
      </c>
      <c r="C484" s="3817">
        <v>62</v>
      </c>
      <c r="D484" s="3817" t="s">
        <v>3525</v>
      </c>
      <c r="E484" s="3817" t="s">
        <v>3464</v>
      </c>
      <c r="F484" s="3817">
        <v>0</v>
      </c>
      <c r="G484" s="3817" t="s">
        <v>3443</v>
      </c>
      <c r="H484" s="3817">
        <v>360</v>
      </c>
      <c r="I484" s="3817">
        <v>57416</v>
      </c>
    </row>
    <row r="485" spans="1:9" hidden="1">
      <c r="A485" s="3819">
        <v>44319</v>
      </c>
      <c r="B485" s="3817" t="s">
        <v>3448</v>
      </c>
      <c r="C485" s="3817">
        <v>42</v>
      </c>
      <c r="D485" s="3817" t="s">
        <v>3497</v>
      </c>
      <c r="E485" s="3817" t="s">
        <v>3429</v>
      </c>
      <c r="F485" s="3817">
        <v>0</v>
      </c>
      <c r="G485" s="3817" t="s">
        <v>3443</v>
      </c>
      <c r="H485" s="3817">
        <v>257</v>
      </c>
      <c r="I485" s="3817">
        <v>60613</v>
      </c>
    </row>
    <row r="486" spans="1:9" hidden="1">
      <c r="A486" s="3819">
        <v>44310</v>
      </c>
      <c r="B486" s="3817" t="s">
        <v>3444</v>
      </c>
      <c r="C486" s="3817">
        <v>57</v>
      </c>
      <c r="D486" s="3817" t="s">
        <v>3514</v>
      </c>
      <c r="E486" s="3817" t="s">
        <v>3453</v>
      </c>
      <c r="F486" s="3817">
        <v>314</v>
      </c>
      <c r="G486" s="3819">
        <v>44277</v>
      </c>
      <c r="H486" s="3817">
        <v>308</v>
      </c>
      <c r="I486" s="3817">
        <v>53659</v>
      </c>
    </row>
    <row r="487" spans="1:9" hidden="1">
      <c r="A487" s="3819">
        <v>44303</v>
      </c>
      <c r="B487" s="3817" t="s">
        <v>3475</v>
      </c>
      <c r="C487" s="3817">
        <v>91</v>
      </c>
      <c r="D487" s="3817" t="s">
        <v>3526</v>
      </c>
      <c r="E487" s="3817" t="s">
        <v>3468</v>
      </c>
      <c r="F487" s="3817">
        <v>0</v>
      </c>
      <c r="G487" s="3817" t="s">
        <v>3443</v>
      </c>
      <c r="H487" s="3817">
        <v>497</v>
      </c>
      <c r="I487" s="3817">
        <v>54424</v>
      </c>
    </row>
    <row r="488" spans="1:9" hidden="1">
      <c r="A488" s="3819">
        <v>44303</v>
      </c>
      <c r="B488" s="3817" t="s">
        <v>3527</v>
      </c>
      <c r="C488" s="3817">
        <v>57</v>
      </c>
      <c r="D488" s="3817" t="s">
        <v>3491</v>
      </c>
      <c r="E488" s="3817" t="s">
        <v>3505</v>
      </c>
      <c r="F488" s="3817">
        <v>0</v>
      </c>
      <c r="G488" s="3817" t="s">
        <v>3443</v>
      </c>
      <c r="H488" s="3817">
        <v>324</v>
      </c>
      <c r="I488" s="3817">
        <v>56731</v>
      </c>
    </row>
    <row r="489" spans="1:9" hidden="1">
      <c r="A489" s="3819">
        <v>44300</v>
      </c>
      <c r="B489" s="3817" t="s">
        <v>3444</v>
      </c>
      <c r="C489" s="3817">
        <v>73</v>
      </c>
      <c r="D489" s="3817" t="s">
        <v>3445</v>
      </c>
      <c r="E489" s="3817" t="s">
        <v>3478</v>
      </c>
      <c r="F489" s="3817">
        <v>390</v>
      </c>
      <c r="G489" s="3819">
        <v>44291</v>
      </c>
      <c r="H489" s="3817">
        <v>372</v>
      </c>
      <c r="I489" s="3817">
        <v>50523</v>
      </c>
    </row>
    <row r="490" spans="1:9" hidden="1">
      <c r="A490" s="3819">
        <v>44297</v>
      </c>
      <c r="B490" s="3817" t="s">
        <v>3444</v>
      </c>
      <c r="C490" s="3817">
        <v>57</v>
      </c>
      <c r="D490" s="3817" t="s">
        <v>3497</v>
      </c>
      <c r="E490" s="3817" t="s">
        <v>3453</v>
      </c>
      <c r="F490" s="3817">
        <v>318</v>
      </c>
      <c r="G490" s="3819">
        <v>44293</v>
      </c>
      <c r="H490" s="3817">
        <v>313</v>
      </c>
      <c r="I490" s="3817">
        <v>54530</v>
      </c>
    </row>
    <row r="491" spans="1:9" hidden="1">
      <c r="A491" s="3819">
        <v>44293</v>
      </c>
      <c r="B491" s="3817" t="s">
        <v>3528</v>
      </c>
      <c r="C491" s="3817">
        <v>67</v>
      </c>
      <c r="D491" s="3817" t="s">
        <v>3497</v>
      </c>
      <c r="E491" s="3817" t="s">
        <v>3453</v>
      </c>
      <c r="F491" s="3817">
        <v>415</v>
      </c>
      <c r="G491" s="3819">
        <v>44278</v>
      </c>
      <c r="H491" s="3817">
        <v>410</v>
      </c>
      <c r="I491" s="3817">
        <v>60348</v>
      </c>
    </row>
    <row r="492" spans="1:9" hidden="1">
      <c r="A492" s="3819">
        <v>44292</v>
      </c>
      <c r="B492" s="3817" t="s">
        <v>3444</v>
      </c>
      <c r="C492" s="3817">
        <v>62</v>
      </c>
      <c r="D492" s="3817" t="s">
        <v>3518</v>
      </c>
      <c r="E492" s="3817" t="s">
        <v>3464</v>
      </c>
      <c r="F492" s="3817">
        <v>355</v>
      </c>
      <c r="G492" s="3819">
        <v>44088</v>
      </c>
      <c r="H492" s="3817">
        <v>350</v>
      </c>
      <c r="I492" s="3817">
        <v>55866</v>
      </c>
    </row>
    <row r="493" spans="1:9" hidden="1">
      <c r="A493" s="3819">
        <v>44291</v>
      </c>
      <c r="B493" s="3817" t="s">
        <v>3449</v>
      </c>
      <c r="C493" s="3817">
        <v>69</v>
      </c>
      <c r="D493" s="3817" t="s">
        <v>3491</v>
      </c>
      <c r="E493" s="3817" t="s">
        <v>3453</v>
      </c>
      <c r="F493" s="3817">
        <v>416</v>
      </c>
      <c r="G493" s="3819">
        <v>44270</v>
      </c>
      <c r="H493" s="3817">
        <v>410</v>
      </c>
      <c r="I493" s="3817">
        <v>59335</v>
      </c>
    </row>
    <row r="494" spans="1:9" hidden="1">
      <c r="A494" s="3819">
        <v>44290</v>
      </c>
      <c r="B494" s="3817" t="s">
        <v>3529</v>
      </c>
      <c r="C494" s="3817">
        <v>51</v>
      </c>
      <c r="D494" s="3817" t="s">
        <v>3530</v>
      </c>
      <c r="E494" s="3817" t="s">
        <v>3464</v>
      </c>
      <c r="F494" s="3817">
        <v>310</v>
      </c>
      <c r="G494" s="3819">
        <v>44228</v>
      </c>
      <c r="H494" s="3817">
        <v>306</v>
      </c>
      <c r="I494" s="3817">
        <v>59766</v>
      </c>
    </row>
    <row r="495" spans="1:9" hidden="1">
      <c r="A495" s="3819">
        <v>44288</v>
      </c>
      <c r="B495" s="3817" t="s">
        <v>3444</v>
      </c>
      <c r="C495" s="3817">
        <v>57</v>
      </c>
      <c r="D495" s="3817" t="s">
        <v>3491</v>
      </c>
      <c r="E495" s="3817" t="s">
        <v>3453</v>
      </c>
      <c r="F495" s="3817">
        <v>329</v>
      </c>
      <c r="G495" s="3819">
        <v>44286</v>
      </c>
      <c r="H495" s="3817">
        <v>323</v>
      </c>
      <c r="I495" s="3817">
        <v>56430</v>
      </c>
    </row>
    <row r="496" spans="1:9" hidden="1">
      <c r="A496" s="3819">
        <v>44284</v>
      </c>
      <c r="B496" s="3817" t="s">
        <v>3444</v>
      </c>
      <c r="C496" s="3817">
        <v>73</v>
      </c>
      <c r="D496" s="3817" t="s">
        <v>3495</v>
      </c>
      <c r="E496" s="3817" t="s">
        <v>3511</v>
      </c>
      <c r="F496" s="3817">
        <v>390</v>
      </c>
      <c r="G496" s="3819">
        <v>43683</v>
      </c>
      <c r="H496" s="3817">
        <v>374</v>
      </c>
      <c r="I496" s="3817">
        <v>50795</v>
      </c>
    </row>
    <row r="497" spans="1:9" hidden="1">
      <c r="A497" s="3819">
        <v>44283</v>
      </c>
      <c r="B497" s="3817" t="s">
        <v>3531</v>
      </c>
      <c r="C497" s="3817">
        <v>90</v>
      </c>
      <c r="D497" s="3817" t="s">
        <v>3518</v>
      </c>
      <c r="E497" s="3817" t="s">
        <v>3477</v>
      </c>
      <c r="F497" s="3817">
        <v>463</v>
      </c>
      <c r="G497" s="3819">
        <v>44182</v>
      </c>
      <c r="H497" s="3817">
        <v>450</v>
      </c>
      <c r="I497" s="3817">
        <v>49642</v>
      </c>
    </row>
    <row r="498" spans="1:9" hidden="1">
      <c r="A498" s="3819">
        <v>44283</v>
      </c>
      <c r="B498" s="3817" t="s">
        <v>3444</v>
      </c>
      <c r="C498" s="3817">
        <v>73</v>
      </c>
      <c r="D498" s="3817" t="s">
        <v>3518</v>
      </c>
      <c r="E498" s="3817" t="s">
        <v>3478</v>
      </c>
      <c r="F498" s="3817">
        <v>377</v>
      </c>
      <c r="G498" s="3819">
        <v>44226</v>
      </c>
      <c r="H498" s="3817">
        <v>370</v>
      </c>
      <c r="I498" s="3817">
        <v>50252</v>
      </c>
    </row>
    <row r="499" spans="1:9" hidden="1">
      <c r="A499" s="3819">
        <v>44283</v>
      </c>
      <c r="B499" s="3817" t="s">
        <v>3444</v>
      </c>
      <c r="C499" s="3817">
        <v>54</v>
      </c>
      <c r="D499" s="3817" t="s">
        <v>3490</v>
      </c>
      <c r="E499" s="3817" t="s">
        <v>3453</v>
      </c>
      <c r="F499" s="3817">
        <v>325</v>
      </c>
      <c r="G499" s="3819">
        <v>44261</v>
      </c>
      <c r="H499" s="3817">
        <v>318</v>
      </c>
      <c r="I499" s="3817">
        <v>58770</v>
      </c>
    </row>
    <row r="500" spans="1:9" hidden="1">
      <c r="A500" s="3819">
        <v>44281</v>
      </c>
      <c r="B500" s="3817" t="s">
        <v>3444</v>
      </c>
      <c r="C500" s="3817">
        <v>64</v>
      </c>
      <c r="D500" s="3817" t="s">
        <v>3495</v>
      </c>
      <c r="E500" s="3817" t="s">
        <v>3429</v>
      </c>
      <c r="F500" s="3817">
        <v>387</v>
      </c>
      <c r="G500" s="3819">
        <v>44256</v>
      </c>
      <c r="H500" s="3817">
        <v>376</v>
      </c>
      <c r="I500" s="3817">
        <v>58025</v>
      </c>
    </row>
    <row r="501" spans="1:9" hidden="1">
      <c r="A501" s="3819">
        <v>44277</v>
      </c>
      <c r="B501" s="3817" t="s">
        <v>3444</v>
      </c>
      <c r="C501" s="3817">
        <v>77</v>
      </c>
      <c r="D501" s="3817" t="s">
        <v>3532</v>
      </c>
      <c r="E501" s="3817" t="s">
        <v>3463</v>
      </c>
      <c r="F501" s="3817">
        <v>395</v>
      </c>
      <c r="G501" s="3819">
        <v>44134</v>
      </c>
      <c r="H501" s="3817">
        <v>365</v>
      </c>
      <c r="I501" s="3817">
        <v>47134</v>
      </c>
    </row>
    <row r="502" spans="1:9" hidden="1">
      <c r="A502" s="3819">
        <v>44274</v>
      </c>
      <c r="B502" s="3817" t="s">
        <v>3449</v>
      </c>
      <c r="C502" s="3817">
        <v>91</v>
      </c>
      <c r="D502" s="3817" t="s">
        <v>3499</v>
      </c>
      <c r="E502" s="3817" t="s">
        <v>3468</v>
      </c>
      <c r="F502" s="3817">
        <v>450</v>
      </c>
      <c r="G502" s="3819">
        <v>44041</v>
      </c>
      <c r="H502" s="3817">
        <v>426</v>
      </c>
      <c r="I502" s="3817">
        <v>46650</v>
      </c>
    </row>
    <row r="503" spans="1:9" hidden="1">
      <c r="A503" s="3819">
        <v>44272</v>
      </c>
      <c r="B503" s="3817" t="s">
        <v>3471</v>
      </c>
      <c r="C503" s="3817">
        <v>57</v>
      </c>
      <c r="D503" s="3817" t="s">
        <v>3532</v>
      </c>
      <c r="E503" s="3817" t="s">
        <v>3463</v>
      </c>
      <c r="F503" s="3817">
        <v>285</v>
      </c>
      <c r="G503" s="3819">
        <v>44041</v>
      </c>
      <c r="H503" s="3817">
        <v>277</v>
      </c>
      <c r="I503" s="3817">
        <v>48066</v>
      </c>
    </row>
    <row r="504" spans="1:9" hidden="1">
      <c r="A504" s="3819">
        <v>44271</v>
      </c>
      <c r="B504" s="3817" t="s">
        <v>3531</v>
      </c>
      <c r="C504" s="3817">
        <v>71</v>
      </c>
      <c r="D504" s="3817" t="s">
        <v>3499</v>
      </c>
      <c r="E504" s="3817" t="s">
        <v>3453</v>
      </c>
      <c r="F504" s="3817">
        <v>399</v>
      </c>
      <c r="G504" s="3819">
        <v>44170</v>
      </c>
      <c r="H504" s="3817">
        <v>384</v>
      </c>
      <c r="I504" s="3817">
        <v>53729</v>
      </c>
    </row>
    <row r="505" spans="1:9" hidden="1">
      <c r="A505" s="3819">
        <v>44269</v>
      </c>
      <c r="B505" s="3817" t="s">
        <v>3444</v>
      </c>
      <c r="C505" s="3817">
        <v>84</v>
      </c>
      <c r="D505" s="3817" t="s">
        <v>3532</v>
      </c>
      <c r="E505" s="3817" t="s">
        <v>3460</v>
      </c>
      <c r="F505" s="3817">
        <v>420</v>
      </c>
      <c r="G505" s="3819">
        <v>43626</v>
      </c>
      <c r="H505" s="3817">
        <v>419</v>
      </c>
      <c r="I505" s="3817">
        <v>49306</v>
      </c>
    </row>
    <row r="506" spans="1:9" hidden="1">
      <c r="A506" s="3819">
        <v>44269</v>
      </c>
      <c r="B506" s="3817" t="s">
        <v>3482</v>
      </c>
      <c r="C506" s="3817">
        <v>40</v>
      </c>
      <c r="D506" s="3817" t="s">
        <v>3497</v>
      </c>
      <c r="E506" s="3817" t="s">
        <v>3429</v>
      </c>
      <c r="F506" s="3817">
        <v>245</v>
      </c>
      <c r="G506" s="3819">
        <v>44257</v>
      </c>
      <c r="H506" s="3817">
        <v>238</v>
      </c>
      <c r="I506" s="3817">
        <v>58334</v>
      </c>
    </row>
    <row r="507" spans="1:9" hidden="1">
      <c r="A507" s="3819">
        <v>44269</v>
      </c>
      <c r="B507" s="3817" t="s">
        <v>3444</v>
      </c>
      <c r="C507" s="3817">
        <v>62</v>
      </c>
      <c r="D507" s="3817" t="s">
        <v>3495</v>
      </c>
      <c r="E507" s="3817" t="s">
        <v>3468</v>
      </c>
      <c r="F507" s="3817">
        <v>420</v>
      </c>
      <c r="G507" s="3819">
        <v>43927</v>
      </c>
      <c r="H507" s="3817">
        <v>415</v>
      </c>
      <c r="I507" s="3817">
        <v>66871</v>
      </c>
    </row>
    <row r="508" spans="1:9" hidden="1">
      <c r="A508" s="3819">
        <v>44268</v>
      </c>
      <c r="B508" s="3817" t="s">
        <v>3482</v>
      </c>
      <c r="C508" s="3817">
        <v>40</v>
      </c>
      <c r="D508" s="3817" t="s">
        <v>3533</v>
      </c>
      <c r="E508" s="3817" t="s">
        <v>3429</v>
      </c>
      <c r="F508" s="3817">
        <v>229</v>
      </c>
      <c r="G508" s="3819">
        <v>43965</v>
      </c>
      <c r="H508" s="3817">
        <v>218</v>
      </c>
      <c r="I508" s="3817">
        <v>53432</v>
      </c>
    </row>
    <row r="509" spans="1:9" hidden="1">
      <c r="A509" s="3819">
        <v>44266</v>
      </c>
      <c r="B509" s="3817" t="s">
        <v>3444</v>
      </c>
      <c r="C509" s="3817">
        <v>52</v>
      </c>
      <c r="D509" s="3817" t="s">
        <v>3530</v>
      </c>
      <c r="E509" s="3817" t="s">
        <v>3453</v>
      </c>
      <c r="F509" s="3817">
        <v>309</v>
      </c>
      <c r="G509" s="3819">
        <v>44185</v>
      </c>
      <c r="H509" s="3817">
        <v>300</v>
      </c>
      <c r="I509" s="3817">
        <v>57472</v>
      </c>
    </row>
    <row r="510" spans="1:9" hidden="1">
      <c r="A510" s="3819">
        <v>44265</v>
      </c>
      <c r="B510" s="3817" t="s">
        <v>3444</v>
      </c>
      <c r="C510" s="3817">
        <v>53</v>
      </c>
      <c r="D510" s="3817" t="s">
        <v>3490</v>
      </c>
      <c r="E510" s="3817" t="s">
        <v>3468</v>
      </c>
      <c r="F510" s="3817">
        <v>312</v>
      </c>
      <c r="G510" s="3819">
        <v>44244</v>
      </c>
      <c r="H510" s="3817">
        <v>305</v>
      </c>
      <c r="I510" s="3817">
        <v>56513</v>
      </c>
    </row>
    <row r="511" spans="1:9" hidden="1">
      <c r="A511" s="3819">
        <v>44264</v>
      </c>
      <c r="B511" s="3817" t="s">
        <v>3444</v>
      </c>
      <c r="C511" s="3817">
        <v>57</v>
      </c>
      <c r="D511" s="3817" t="s">
        <v>3491</v>
      </c>
      <c r="E511" s="3817" t="s">
        <v>3453</v>
      </c>
      <c r="F511" s="3817">
        <v>320</v>
      </c>
      <c r="G511" s="3819">
        <v>44247</v>
      </c>
      <c r="H511" s="3817">
        <v>317</v>
      </c>
      <c r="I511" s="3817">
        <v>55420</v>
      </c>
    </row>
    <row r="512" spans="1:9" hidden="1">
      <c r="A512" s="3819">
        <v>44263</v>
      </c>
      <c r="B512" s="3817" t="s">
        <v>3444</v>
      </c>
      <c r="C512" s="3817">
        <v>64</v>
      </c>
      <c r="D512" s="3817" t="s">
        <v>3496</v>
      </c>
      <c r="E512" s="3817" t="s">
        <v>3429</v>
      </c>
      <c r="F512" s="3817">
        <v>386</v>
      </c>
      <c r="G512" s="3819">
        <v>44249</v>
      </c>
      <c r="H512" s="3817">
        <v>375</v>
      </c>
      <c r="I512" s="3817">
        <v>57862</v>
      </c>
    </row>
    <row r="513" spans="1:9" hidden="1">
      <c r="A513" s="3819">
        <v>44260</v>
      </c>
      <c r="B513" s="3817" t="s">
        <v>3441</v>
      </c>
      <c r="C513" s="3817">
        <v>73</v>
      </c>
      <c r="D513" s="3817" t="s">
        <v>3525</v>
      </c>
      <c r="E513" s="3817" t="s">
        <v>3428</v>
      </c>
      <c r="F513" s="3817">
        <v>0</v>
      </c>
      <c r="G513" s="3817" t="s">
        <v>3443</v>
      </c>
      <c r="H513" s="3817">
        <v>364</v>
      </c>
      <c r="I513" s="3817">
        <v>49436</v>
      </c>
    </row>
    <row r="514" spans="1:9" hidden="1">
      <c r="A514" s="3819">
        <v>44259</v>
      </c>
      <c r="B514" s="3817" t="s">
        <v>3441</v>
      </c>
      <c r="C514" s="3817">
        <v>54</v>
      </c>
      <c r="D514" s="3817" t="s">
        <v>3490</v>
      </c>
      <c r="E514" s="3817" t="s">
        <v>3505</v>
      </c>
      <c r="F514" s="3817">
        <v>0</v>
      </c>
      <c r="G514" s="3817" t="s">
        <v>3443</v>
      </c>
      <c r="H514" s="3817">
        <v>308</v>
      </c>
      <c r="I514" s="3817">
        <v>56921</v>
      </c>
    </row>
    <row r="515" spans="1:9" hidden="1">
      <c r="A515" s="3819">
        <v>44257</v>
      </c>
      <c r="B515" s="3817" t="s">
        <v>3441</v>
      </c>
      <c r="C515" s="3817">
        <v>58</v>
      </c>
      <c r="D515" s="3817" t="s">
        <v>3490</v>
      </c>
      <c r="E515" s="3817" t="s">
        <v>3505</v>
      </c>
      <c r="F515" s="3817">
        <v>0</v>
      </c>
      <c r="G515" s="3817" t="s">
        <v>3443</v>
      </c>
      <c r="H515" s="3817">
        <v>285</v>
      </c>
      <c r="I515" s="3817">
        <v>48469</v>
      </c>
    </row>
    <row r="516" spans="1:9" hidden="1">
      <c r="A516" s="3819">
        <v>44254</v>
      </c>
      <c r="B516" s="3817" t="s">
        <v>3531</v>
      </c>
      <c r="C516" s="3817">
        <v>61</v>
      </c>
      <c r="D516" s="3817" t="s">
        <v>3495</v>
      </c>
      <c r="E516" s="3817" t="s">
        <v>3468</v>
      </c>
      <c r="F516" s="3817">
        <v>430</v>
      </c>
      <c r="G516" s="3819">
        <v>44224</v>
      </c>
      <c r="H516" s="3817">
        <v>419</v>
      </c>
      <c r="I516" s="3817">
        <v>67910</v>
      </c>
    </row>
    <row r="517" spans="1:9" hidden="1">
      <c r="A517" s="3819">
        <v>44250</v>
      </c>
      <c r="B517" s="3817" t="s">
        <v>3441</v>
      </c>
      <c r="C517" s="3817">
        <v>53</v>
      </c>
      <c r="D517" s="3817" t="s">
        <v>3497</v>
      </c>
      <c r="E517" s="3817" t="s">
        <v>3512</v>
      </c>
      <c r="F517" s="3817">
        <v>0</v>
      </c>
      <c r="G517" s="3817" t="s">
        <v>3443</v>
      </c>
      <c r="H517" s="3817">
        <v>140</v>
      </c>
      <c r="I517" s="3817">
        <v>26134</v>
      </c>
    </row>
    <row r="518" spans="1:9" hidden="1">
      <c r="A518" s="3819">
        <v>44249</v>
      </c>
      <c r="B518" s="3817" t="s">
        <v>3449</v>
      </c>
      <c r="C518" s="3817">
        <v>68</v>
      </c>
      <c r="D518" s="3817" t="s">
        <v>3533</v>
      </c>
      <c r="E518" s="3817" t="s">
        <v>3453</v>
      </c>
      <c r="F518" s="3817">
        <v>365</v>
      </c>
      <c r="G518" s="3819">
        <v>44182</v>
      </c>
      <c r="H518" s="3817">
        <v>358</v>
      </c>
      <c r="I518" s="3817">
        <v>51922</v>
      </c>
    </row>
    <row r="519" spans="1:9" hidden="1">
      <c r="A519" s="3819">
        <v>44233</v>
      </c>
      <c r="B519" s="3817" t="s">
        <v>3444</v>
      </c>
      <c r="C519" s="3817">
        <v>57</v>
      </c>
      <c r="D519" s="3817" t="s">
        <v>3490</v>
      </c>
      <c r="E519" s="3817" t="s">
        <v>3453</v>
      </c>
      <c r="F519" s="3817">
        <v>309</v>
      </c>
      <c r="G519" s="3819">
        <v>44094</v>
      </c>
      <c r="H519" s="3817">
        <v>300</v>
      </c>
      <c r="I519" s="3817">
        <v>52448</v>
      </c>
    </row>
    <row r="520" spans="1:9" hidden="1">
      <c r="A520" s="3819">
        <v>44233</v>
      </c>
      <c r="B520" s="3817" t="s">
        <v>3471</v>
      </c>
      <c r="C520" s="3817">
        <v>41</v>
      </c>
      <c r="D520" s="3817" t="s">
        <v>3491</v>
      </c>
      <c r="E520" s="3817" t="s">
        <v>3429</v>
      </c>
      <c r="F520" s="3817">
        <v>230</v>
      </c>
      <c r="G520" s="3819">
        <v>44224</v>
      </c>
      <c r="H520" s="3817">
        <v>226</v>
      </c>
      <c r="I520" s="3817">
        <v>54197</v>
      </c>
    </row>
    <row r="521" spans="1:9" hidden="1">
      <c r="A521" s="3819">
        <v>44229</v>
      </c>
      <c r="B521" s="3817" t="s">
        <v>3441</v>
      </c>
      <c r="C521" s="3817">
        <v>73</v>
      </c>
      <c r="D521" s="3817" t="s">
        <v>3495</v>
      </c>
      <c r="E521" s="3820"/>
      <c r="F521" s="3817">
        <v>0</v>
      </c>
      <c r="G521" s="3817" t="s">
        <v>3443</v>
      </c>
      <c r="H521" s="3817">
        <v>368</v>
      </c>
      <c r="I521" s="3817">
        <v>49980</v>
      </c>
    </row>
    <row r="522" spans="1:9" hidden="1">
      <c r="A522" s="3819">
        <v>44227</v>
      </c>
      <c r="B522" s="3817" t="s">
        <v>3449</v>
      </c>
      <c r="C522" s="3817">
        <v>69</v>
      </c>
      <c r="D522" s="3817" t="s">
        <v>3491</v>
      </c>
      <c r="E522" s="3817" t="s">
        <v>3453</v>
      </c>
      <c r="F522" s="3817">
        <v>399</v>
      </c>
      <c r="G522" s="3819">
        <v>44060</v>
      </c>
      <c r="H522" s="3817">
        <v>395</v>
      </c>
      <c r="I522" s="3817">
        <v>57311</v>
      </c>
    </row>
    <row r="523" spans="1:9" hidden="1">
      <c r="A523" s="3819">
        <v>44227</v>
      </c>
      <c r="B523" s="3817" t="s">
        <v>3449</v>
      </c>
      <c r="C523" s="3817">
        <v>65</v>
      </c>
      <c r="D523" s="3817" t="s">
        <v>3530</v>
      </c>
      <c r="E523" s="3817" t="s">
        <v>3453</v>
      </c>
      <c r="F523" s="3817">
        <v>407</v>
      </c>
      <c r="G523" s="3819">
        <v>44176</v>
      </c>
      <c r="H523" s="3817">
        <v>396</v>
      </c>
      <c r="I523" s="3817">
        <v>60830</v>
      </c>
    </row>
    <row r="524" spans="1:9" hidden="1">
      <c r="A524" s="3819">
        <v>44226</v>
      </c>
      <c r="B524" s="3817" t="s">
        <v>3531</v>
      </c>
      <c r="C524" s="3817">
        <v>58</v>
      </c>
      <c r="D524" s="3817" t="s">
        <v>3533</v>
      </c>
      <c r="E524" s="3817" t="s">
        <v>3453</v>
      </c>
      <c r="F524" s="3817">
        <v>285</v>
      </c>
      <c r="G524" s="3819">
        <v>44217</v>
      </c>
      <c r="H524" s="3817">
        <v>278</v>
      </c>
      <c r="I524" s="3817">
        <v>47360</v>
      </c>
    </row>
    <row r="525" spans="1:9" hidden="1">
      <c r="A525" s="3819">
        <v>44220</v>
      </c>
      <c r="B525" s="3817" t="s">
        <v>3441</v>
      </c>
      <c r="C525" s="3817">
        <v>57</v>
      </c>
      <c r="D525" s="3817" t="s">
        <v>3490</v>
      </c>
      <c r="E525" s="3817" t="s">
        <v>3505</v>
      </c>
      <c r="F525" s="3817">
        <v>0</v>
      </c>
      <c r="G525" s="3817" t="s">
        <v>3443</v>
      </c>
      <c r="H525" s="3817">
        <v>296</v>
      </c>
      <c r="I525" s="3817">
        <v>51568</v>
      </c>
    </row>
    <row r="526" spans="1:9" hidden="1">
      <c r="A526" s="3819">
        <v>44220</v>
      </c>
      <c r="B526" s="3817" t="s">
        <v>3444</v>
      </c>
      <c r="C526" s="3817">
        <v>62</v>
      </c>
      <c r="D526" s="3817" t="s">
        <v>3518</v>
      </c>
      <c r="E526" s="3817" t="s">
        <v>3468</v>
      </c>
      <c r="F526" s="3817">
        <v>359</v>
      </c>
      <c r="G526" s="3819">
        <v>44187</v>
      </c>
      <c r="H526" s="3817">
        <v>352</v>
      </c>
      <c r="I526" s="3817">
        <v>56265</v>
      </c>
    </row>
    <row r="527" spans="1:9" hidden="1">
      <c r="A527" s="3819">
        <v>44212</v>
      </c>
      <c r="B527" s="3817" t="s">
        <v>3448</v>
      </c>
      <c r="C527" s="3817">
        <v>41</v>
      </c>
      <c r="D527" s="3817" t="s">
        <v>3490</v>
      </c>
      <c r="E527" s="3817" t="s">
        <v>3429</v>
      </c>
      <c r="F527" s="3817">
        <v>0</v>
      </c>
      <c r="G527" s="3817" t="s">
        <v>3443</v>
      </c>
      <c r="H527" s="3817">
        <v>223</v>
      </c>
      <c r="I527" s="3817">
        <v>53477</v>
      </c>
    </row>
    <row r="528" spans="1:9" hidden="1">
      <c r="A528" s="3819">
        <v>44212</v>
      </c>
      <c r="B528" s="3817" t="s">
        <v>3444</v>
      </c>
      <c r="C528" s="3817">
        <v>61</v>
      </c>
      <c r="D528" s="3817" t="s">
        <v>3518</v>
      </c>
      <c r="E528" s="3817" t="s">
        <v>3464</v>
      </c>
      <c r="F528" s="3817">
        <v>407</v>
      </c>
      <c r="G528" s="3819">
        <v>44094</v>
      </c>
      <c r="H528" s="3817">
        <v>392</v>
      </c>
      <c r="I528" s="3817">
        <v>63534</v>
      </c>
    </row>
    <row r="529" spans="1:9" hidden="1">
      <c r="A529" s="3819">
        <v>44207</v>
      </c>
      <c r="B529" s="3817" t="s">
        <v>3441</v>
      </c>
      <c r="C529" s="3817">
        <v>54</v>
      </c>
      <c r="D529" s="3817" t="s">
        <v>3497</v>
      </c>
      <c r="E529" s="3817" t="s">
        <v>3429</v>
      </c>
      <c r="F529" s="3817">
        <v>0</v>
      </c>
      <c r="G529" s="3817" t="s">
        <v>3443</v>
      </c>
      <c r="H529" s="3817">
        <v>292</v>
      </c>
      <c r="I529" s="3817">
        <v>53382</v>
      </c>
    </row>
    <row r="530" spans="1:9" hidden="1">
      <c r="A530" s="3819">
        <v>44206</v>
      </c>
      <c r="B530" s="3817" t="s">
        <v>3448</v>
      </c>
      <c r="C530" s="3817">
        <v>57</v>
      </c>
      <c r="D530" s="3817" t="s">
        <v>3499</v>
      </c>
      <c r="E530" s="3817" t="s">
        <v>3442</v>
      </c>
      <c r="F530" s="3817">
        <v>0</v>
      </c>
      <c r="G530" s="3817" t="s">
        <v>3443</v>
      </c>
      <c r="H530" s="3817">
        <v>275</v>
      </c>
      <c r="I530" s="3817">
        <v>47718</v>
      </c>
    </row>
    <row r="531" spans="1:9" hidden="1">
      <c r="A531" s="3819">
        <v>44204</v>
      </c>
      <c r="B531" s="3817" t="s">
        <v>3475</v>
      </c>
      <c r="C531" s="3817">
        <v>72</v>
      </c>
      <c r="D531" s="3817" t="s">
        <v>3497</v>
      </c>
      <c r="E531" s="3817" t="s">
        <v>3505</v>
      </c>
      <c r="F531" s="3817">
        <v>0</v>
      </c>
      <c r="G531" s="3817" t="s">
        <v>3443</v>
      </c>
      <c r="H531" s="3817">
        <v>396</v>
      </c>
      <c r="I531" s="3817">
        <v>54696</v>
      </c>
    </row>
    <row r="532" spans="1:9" hidden="1">
      <c r="A532" s="3819">
        <v>44202</v>
      </c>
      <c r="B532" s="3817" t="s">
        <v>3441</v>
      </c>
      <c r="C532" s="3817">
        <v>69</v>
      </c>
      <c r="D532" s="3817" t="s">
        <v>3491</v>
      </c>
      <c r="E532" s="3817" t="s">
        <v>3505</v>
      </c>
      <c r="F532" s="3817">
        <v>0</v>
      </c>
      <c r="G532" s="3817" t="s">
        <v>3443</v>
      </c>
      <c r="H532" s="3817">
        <v>399</v>
      </c>
      <c r="I532" s="3817">
        <v>57410</v>
      </c>
    </row>
    <row r="533" spans="1:9" hidden="1">
      <c r="A533" s="3819">
        <v>44201</v>
      </c>
      <c r="B533" s="3817" t="s">
        <v>3444</v>
      </c>
      <c r="C533" s="3817">
        <v>62</v>
      </c>
      <c r="D533" s="3817" t="s">
        <v>3518</v>
      </c>
      <c r="E533" s="3817" t="s">
        <v>3468</v>
      </c>
      <c r="F533" s="3817">
        <v>352</v>
      </c>
      <c r="G533" s="3819">
        <v>44116</v>
      </c>
      <c r="H533" s="3817">
        <v>345</v>
      </c>
      <c r="I533" s="3817">
        <v>55068</v>
      </c>
    </row>
    <row r="534" spans="1:9" hidden="1">
      <c r="A534" s="3819">
        <v>44200</v>
      </c>
      <c r="B534" s="3817" t="s">
        <v>3448</v>
      </c>
      <c r="C534" s="3817">
        <v>50</v>
      </c>
      <c r="D534" s="3817" t="s">
        <v>3490</v>
      </c>
      <c r="E534" s="3817" t="s">
        <v>3463</v>
      </c>
      <c r="F534" s="3817">
        <v>0</v>
      </c>
      <c r="G534" s="3817" t="s">
        <v>3443</v>
      </c>
      <c r="H534" s="3817">
        <v>241</v>
      </c>
      <c r="I534" s="3817">
        <v>47690</v>
      </c>
    </row>
    <row r="535" spans="1:9" hidden="1">
      <c r="A535" s="3819">
        <v>44198</v>
      </c>
      <c r="B535" s="3817" t="s">
        <v>3444</v>
      </c>
      <c r="C535" s="3817">
        <v>62</v>
      </c>
      <c r="D535" s="3817" t="s">
        <v>3495</v>
      </c>
      <c r="E535" s="3817" t="s">
        <v>3469</v>
      </c>
      <c r="F535" s="3817">
        <v>389</v>
      </c>
      <c r="G535" s="3819">
        <v>44167</v>
      </c>
      <c r="H535" s="3817">
        <v>380</v>
      </c>
      <c r="I535" s="3817">
        <v>61232</v>
      </c>
    </row>
    <row r="536" spans="1:9" hidden="1">
      <c r="A536" s="3819">
        <v>44194</v>
      </c>
      <c r="B536" s="3817" t="s">
        <v>3444</v>
      </c>
      <c r="C536" s="3817">
        <v>54</v>
      </c>
      <c r="D536" s="3817" t="s">
        <v>3533</v>
      </c>
      <c r="E536" s="3817" t="s">
        <v>3453</v>
      </c>
      <c r="F536" s="3817">
        <v>288</v>
      </c>
      <c r="G536" s="3819">
        <v>44111</v>
      </c>
      <c r="H536" s="3817">
        <v>295</v>
      </c>
      <c r="I536" s="3817">
        <v>54121</v>
      </c>
    </row>
    <row r="537" spans="1:9" hidden="1">
      <c r="A537" s="3819">
        <v>44192</v>
      </c>
      <c r="B537" s="3817" t="s">
        <v>3444</v>
      </c>
      <c r="C537" s="3817">
        <v>62</v>
      </c>
      <c r="D537" s="3817" t="s">
        <v>3496</v>
      </c>
      <c r="E537" s="3817" t="s">
        <v>3469</v>
      </c>
      <c r="F537" s="3817">
        <v>353</v>
      </c>
      <c r="G537" s="3819">
        <v>44108</v>
      </c>
      <c r="H537" s="3817">
        <v>345</v>
      </c>
      <c r="I537" s="3817">
        <v>55024</v>
      </c>
    </row>
    <row r="538" spans="1:9" hidden="1">
      <c r="A538" s="3819">
        <v>44192</v>
      </c>
      <c r="B538" s="3817" t="s">
        <v>3444</v>
      </c>
      <c r="C538" s="3817">
        <v>52</v>
      </c>
      <c r="D538" s="3817" t="s">
        <v>3530</v>
      </c>
      <c r="E538" s="3817" t="s">
        <v>3453</v>
      </c>
      <c r="F538" s="3817">
        <v>328</v>
      </c>
      <c r="G538" s="3819">
        <v>44017</v>
      </c>
      <c r="H538" s="3817">
        <v>313</v>
      </c>
      <c r="I538" s="3817">
        <v>59620</v>
      </c>
    </row>
    <row r="539" spans="1:9" hidden="1">
      <c r="A539" s="3819">
        <v>44191</v>
      </c>
      <c r="B539" s="3817" t="s">
        <v>3449</v>
      </c>
      <c r="C539" s="3817">
        <v>78</v>
      </c>
      <c r="D539" s="3817" t="s">
        <v>3533</v>
      </c>
      <c r="E539" s="3817" t="s">
        <v>3498</v>
      </c>
      <c r="F539" s="3817">
        <v>359</v>
      </c>
      <c r="G539" s="3819">
        <v>44113</v>
      </c>
      <c r="H539" s="3817">
        <v>357</v>
      </c>
      <c r="I539" s="3817">
        <v>45709</v>
      </c>
    </row>
    <row r="540" spans="1:9" hidden="1">
      <c r="A540" s="3819">
        <v>44188</v>
      </c>
      <c r="B540" s="3817" t="s">
        <v>3444</v>
      </c>
      <c r="C540" s="3817">
        <v>57</v>
      </c>
      <c r="D540" s="3817" t="s">
        <v>3491</v>
      </c>
      <c r="E540" s="3817" t="s">
        <v>3453</v>
      </c>
      <c r="F540" s="3817">
        <v>308</v>
      </c>
      <c r="G540" s="3819">
        <v>44171</v>
      </c>
      <c r="H540" s="3817">
        <v>305</v>
      </c>
      <c r="I540" s="3817">
        <v>53136</v>
      </c>
    </row>
    <row r="541" spans="1:9" hidden="1">
      <c r="A541" s="3819">
        <v>44181</v>
      </c>
      <c r="B541" s="3817" t="s">
        <v>3444</v>
      </c>
      <c r="C541" s="3817">
        <v>55</v>
      </c>
      <c r="D541" s="3817" t="s">
        <v>3490</v>
      </c>
      <c r="E541" s="3817" t="s">
        <v>3464</v>
      </c>
      <c r="F541" s="3817">
        <v>297</v>
      </c>
      <c r="G541" s="3819">
        <v>44113</v>
      </c>
      <c r="H541" s="3817">
        <v>289</v>
      </c>
      <c r="I541" s="3817">
        <v>51979</v>
      </c>
    </row>
    <row r="542" spans="1:9" hidden="1">
      <c r="A542" s="3819">
        <v>44178</v>
      </c>
      <c r="B542" s="3817" t="s">
        <v>3444</v>
      </c>
      <c r="C542" s="3817">
        <v>64</v>
      </c>
      <c r="D542" s="3817" t="s">
        <v>3496</v>
      </c>
      <c r="E542" s="3817" t="s">
        <v>3429</v>
      </c>
      <c r="F542" s="3817">
        <v>398</v>
      </c>
      <c r="G542" s="3819">
        <v>44174</v>
      </c>
      <c r="H542" s="3817">
        <v>387</v>
      </c>
      <c r="I542" s="3817">
        <v>59714</v>
      </c>
    </row>
    <row r="543" spans="1:9" hidden="1">
      <c r="A543" s="3819">
        <v>44177</v>
      </c>
      <c r="B543" s="3817" t="s">
        <v>3444</v>
      </c>
      <c r="C543" s="3817">
        <v>52</v>
      </c>
      <c r="D543" s="3817" t="s">
        <v>3530</v>
      </c>
      <c r="E543" s="3817" t="s">
        <v>3453</v>
      </c>
      <c r="F543" s="3817">
        <v>305</v>
      </c>
      <c r="G543" s="3819">
        <v>44067</v>
      </c>
      <c r="H543" s="3817">
        <v>298</v>
      </c>
      <c r="I543" s="3817">
        <v>56762</v>
      </c>
    </row>
    <row r="544" spans="1:9" hidden="1">
      <c r="A544" s="3819">
        <v>44174</v>
      </c>
      <c r="B544" s="3817" t="s">
        <v>3441</v>
      </c>
      <c r="C544" s="3817">
        <v>56</v>
      </c>
      <c r="D544" s="3817" t="s">
        <v>3497</v>
      </c>
      <c r="E544" s="3817" t="s">
        <v>3505</v>
      </c>
      <c r="F544" s="3817">
        <v>0</v>
      </c>
      <c r="G544" s="3817" t="s">
        <v>3443</v>
      </c>
      <c r="H544" s="3817">
        <v>115</v>
      </c>
      <c r="I544" s="3817">
        <v>20536</v>
      </c>
    </row>
    <row r="545" spans="1:9" hidden="1">
      <c r="A545" s="3819">
        <v>44173</v>
      </c>
      <c r="B545" s="3817" t="s">
        <v>3444</v>
      </c>
      <c r="C545" s="3817">
        <v>58</v>
      </c>
      <c r="D545" s="3817" t="s">
        <v>3533</v>
      </c>
      <c r="E545" s="3817" t="s">
        <v>3453</v>
      </c>
      <c r="F545" s="3817">
        <v>290</v>
      </c>
      <c r="G545" s="3819">
        <v>44134</v>
      </c>
      <c r="H545" s="3817">
        <v>285</v>
      </c>
      <c r="I545" s="3817">
        <v>48552</v>
      </c>
    </row>
    <row r="546" spans="1:9" hidden="1">
      <c r="A546" s="3819">
        <v>44172</v>
      </c>
      <c r="B546" s="3817" t="s">
        <v>3471</v>
      </c>
      <c r="C546" s="3817">
        <v>39</v>
      </c>
      <c r="D546" s="3817" t="s">
        <v>3534</v>
      </c>
      <c r="E546" s="3817" t="s">
        <v>3463</v>
      </c>
      <c r="F546" s="3817">
        <v>219</v>
      </c>
      <c r="G546" s="3819">
        <v>44069</v>
      </c>
      <c r="H546" s="3817">
        <v>215</v>
      </c>
      <c r="I546" s="3817">
        <v>54252</v>
      </c>
    </row>
    <row r="547" spans="1:9" hidden="1">
      <c r="A547" s="3819">
        <v>44169</v>
      </c>
      <c r="B547" s="3817" t="s">
        <v>3482</v>
      </c>
      <c r="C547" s="3817">
        <v>40</v>
      </c>
      <c r="D547" s="3817" t="s">
        <v>3491</v>
      </c>
      <c r="E547" s="3817" t="s">
        <v>3429</v>
      </c>
      <c r="F547" s="3817">
        <v>231</v>
      </c>
      <c r="G547" s="3819">
        <v>44154</v>
      </c>
      <c r="H547" s="3817">
        <v>226</v>
      </c>
      <c r="I547" s="3817">
        <v>55393</v>
      </c>
    </row>
    <row r="548" spans="1:9" hidden="1">
      <c r="A548" s="3819">
        <v>44167</v>
      </c>
      <c r="B548" s="3817" t="s">
        <v>3444</v>
      </c>
      <c r="C548" s="3817">
        <v>57</v>
      </c>
      <c r="D548" s="3817" t="s">
        <v>3497</v>
      </c>
      <c r="E548" s="3817" t="s">
        <v>3453</v>
      </c>
      <c r="F548" s="3817">
        <v>299</v>
      </c>
      <c r="G548" s="3819">
        <v>44082</v>
      </c>
      <c r="H548" s="3817">
        <v>286</v>
      </c>
      <c r="I548" s="3817">
        <v>50000</v>
      </c>
    </row>
    <row r="549" spans="1:9" hidden="1">
      <c r="A549" s="3819">
        <v>44164</v>
      </c>
      <c r="B549" s="3817" t="s">
        <v>3441</v>
      </c>
      <c r="C549" s="3817">
        <v>57</v>
      </c>
      <c r="D549" s="3817" t="s">
        <v>3491</v>
      </c>
      <c r="E549" s="3817" t="s">
        <v>3505</v>
      </c>
      <c r="F549" s="3817">
        <v>0</v>
      </c>
      <c r="G549" s="3817" t="s">
        <v>3443</v>
      </c>
      <c r="H549" s="3817">
        <v>286</v>
      </c>
      <c r="I549" s="3817">
        <v>50000</v>
      </c>
    </row>
    <row r="550" spans="1:9" hidden="1">
      <c r="A550" s="3819">
        <v>44162</v>
      </c>
      <c r="B550" s="3817" t="s">
        <v>3444</v>
      </c>
      <c r="C550" s="3817">
        <v>45</v>
      </c>
      <c r="D550" s="3817" t="s">
        <v>3518</v>
      </c>
      <c r="E550" s="3817" t="s">
        <v>3464</v>
      </c>
      <c r="F550" s="3817">
        <v>282</v>
      </c>
      <c r="G550" s="3819">
        <v>44156</v>
      </c>
      <c r="H550" s="3817">
        <v>276</v>
      </c>
      <c r="I550" s="3817">
        <v>60315</v>
      </c>
    </row>
    <row r="551" spans="1:9" hidden="1">
      <c r="A551" s="3819">
        <v>44158</v>
      </c>
      <c r="B551" s="3817" t="s">
        <v>3444</v>
      </c>
      <c r="C551" s="3817">
        <v>53</v>
      </c>
      <c r="D551" s="3817" t="s">
        <v>3497</v>
      </c>
      <c r="E551" s="3817" t="s">
        <v>3453</v>
      </c>
      <c r="F551" s="3817">
        <v>312</v>
      </c>
      <c r="G551" s="3819">
        <v>44158</v>
      </c>
      <c r="H551" s="3817">
        <v>305</v>
      </c>
      <c r="I551" s="3817">
        <v>56935</v>
      </c>
    </row>
    <row r="552" spans="1:9" hidden="1">
      <c r="A552" s="3819">
        <v>44154</v>
      </c>
      <c r="B552" s="3817" t="s">
        <v>3444</v>
      </c>
      <c r="C552" s="3817">
        <v>57</v>
      </c>
      <c r="D552" s="3817" t="s">
        <v>3497</v>
      </c>
      <c r="E552" s="3817" t="s">
        <v>3453</v>
      </c>
      <c r="F552" s="3817">
        <v>295</v>
      </c>
      <c r="G552" s="3819">
        <v>44095</v>
      </c>
      <c r="H552" s="3817">
        <v>284</v>
      </c>
      <c r="I552" s="3817">
        <v>49738</v>
      </c>
    </row>
    <row r="553" spans="1:9" hidden="1">
      <c r="A553" s="3819">
        <v>44153</v>
      </c>
      <c r="B553" s="3817" t="s">
        <v>3444</v>
      </c>
      <c r="C553" s="3817">
        <v>57</v>
      </c>
      <c r="D553" s="3817" t="s">
        <v>3497</v>
      </c>
      <c r="E553" s="3817" t="s">
        <v>3453</v>
      </c>
      <c r="F553" s="3817">
        <v>303</v>
      </c>
      <c r="G553" s="3819">
        <v>44148</v>
      </c>
      <c r="H553" s="3817">
        <v>295</v>
      </c>
      <c r="I553" s="3817">
        <v>51574</v>
      </c>
    </row>
    <row r="554" spans="1:9" hidden="1">
      <c r="A554" s="3819">
        <v>44151</v>
      </c>
      <c r="B554" s="3817" t="s">
        <v>3444</v>
      </c>
      <c r="C554" s="3817">
        <v>54</v>
      </c>
      <c r="D554" s="3817" t="s">
        <v>3533</v>
      </c>
      <c r="E554" s="3817" t="s">
        <v>3453</v>
      </c>
      <c r="F554" s="3817">
        <v>300</v>
      </c>
      <c r="G554" s="3819">
        <v>44086</v>
      </c>
      <c r="H554" s="3817">
        <v>295</v>
      </c>
      <c r="I554" s="3817">
        <v>54121</v>
      </c>
    </row>
    <row r="555" spans="1:9" hidden="1">
      <c r="A555" s="3819">
        <v>44150</v>
      </c>
      <c r="B555" s="3817" t="s">
        <v>3444</v>
      </c>
      <c r="C555" s="3817">
        <v>57</v>
      </c>
      <c r="D555" s="3817" t="s">
        <v>3490</v>
      </c>
      <c r="E555" s="3817" t="s">
        <v>3453</v>
      </c>
      <c r="F555" s="3817">
        <v>305</v>
      </c>
      <c r="G555" s="3819">
        <v>44139</v>
      </c>
      <c r="H555" s="3817">
        <v>295</v>
      </c>
      <c r="I555" s="3817">
        <v>51574</v>
      </c>
    </row>
    <row r="556" spans="1:9" hidden="1">
      <c r="A556" s="3819">
        <v>44150</v>
      </c>
      <c r="B556" s="3817" t="s">
        <v>3444</v>
      </c>
      <c r="C556" s="3817">
        <v>57</v>
      </c>
      <c r="D556" s="3817" t="s">
        <v>3497</v>
      </c>
      <c r="E556" s="3817" t="s">
        <v>3453</v>
      </c>
      <c r="F556" s="3817">
        <v>305</v>
      </c>
      <c r="G556" s="3819">
        <v>44111</v>
      </c>
      <c r="H556" s="3817">
        <v>297</v>
      </c>
      <c r="I556" s="3817">
        <v>51924</v>
      </c>
    </row>
    <row r="557" spans="1:9" hidden="1">
      <c r="A557" s="3819">
        <v>44150</v>
      </c>
      <c r="B557" s="3817" t="s">
        <v>3444</v>
      </c>
      <c r="C557" s="3817">
        <v>54</v>
      </c>
      <c r="D557" s="3817" t="s">
        <v>3490</v>
      </c>
      <c r="E557" s="3817" t="s">
        <v>3453</v>
      </c>
      <c r="F557" s="3817">
        <v>318</v>
      </c>
      <c r="G557" s="3819">
        <v>44127</v>
      </c>
      <c r="H557" s="3817">
        <v>315</v>
      </c>
      <c r="I557" s="3817">
        <v>58215</v>
      </c>
    </row>
    <row r="558" spans="1:9" hidden="1">
      <c r="A558" s="3819">
        <v>44149</v>
      </c>
      <c r="B558" s="3817" t="s">
        <v>3444</v>
      </c>
      <c r="C558" s="3817">
        <v>57</v>
      </c>
      <c r="D558" s="3817" t="s">
        <v>3497</v>
      </c>
      <c r="E558" s="3817" t="s">
        <v>3453</v>
      </c>
      <c r="F558" s="3817">
        <v>309</v>
      </c>
      <c r="G558" s="3819">
        <v>44123</v>
      </c>
      <c r="H558" s="3817">
        <v>303</v>
      </c>
      <c r="I558" s="3817">
        <v>52973</v>
      </c>
    </row>
    <row r="559" spans="1:9" hidden="1">
      <c r="A559" s="3819">
        <v>44149</v>
      </c>
      <c r="B559" s="3817" t="s">
        <v>3449</v>
      </c>
      <c r="C559" s="3817">
        <v>65</v>
      </c>
      <c r="D559" s="3817" t="s">
        <v>3530</v>
      </c>
      <c r="E559" s="3817" t="s">
        <v>3428</v>
      </c>
      <c r="F559" s="3817">
        <v>327</v>
      </c>
      <c r="G559" s="3819">
        <v>43808</v>
      </c>
      <c r="H559" s="3817">
        <v>318</v>
      </c>
      <c r="I559" s="3817">
        <v>48506</v>
      </c>
    </row>
    <row r="560" spans="1:9" hidden="1">
      <c r="A560" s="3819">
        <v>44147</v>
      </c>
      <c r="B560" s="3817" t="s">
        <v>3441</v>
      </c>
      <c r="C560" s="3817">
        <v>54</v>
      </c>
      <c r="D560" s="3817" t="s">
        <v>3491</v>
      </c>
      <c r="E560" s="3817" t="s">
        <v>3505</v>
      </c>
      <c r="F560" s="3817">
        <v>0</v>
      </c>
      <c r="G560" s="3817" t="s">
        <v>3443</v>
      </c>
      <c r="H560" s="3817">
        <v>311</v>
      </c>
      <c r="I560" s="3817">
        <v>57568</v>
      </c>
    </row>
    <row r="561" spans="1:9" hidden="1">
      <c r="A561" s="3819">
        <v>44143</v>
      </c>
      <c r="B561" s="3817" t="s">
        <v>3441</v>
      </c>
      <c r="C561" s="3817">
        <v>56</v>
      </c>
      <c r="D561" s="3817" t="s">
        <v>3490</v>
      </c>
      <c r="E561" s="3817" t="s">
        <v>3505</v>
      </c>
      <c r="F561" s="3817">
        <v>0</v>
      </c>
      <c r="G561" s="3817" t="s">
        <v>3443</v>
      </c>
      <c r="H561" s="3817">
        <v>296</v>
      </c>
      <c r="I561" s="3817">
        <v>52763</v>
      </c>
    </row>
    <row r="562" spans="1:9" hidden="1">
      <c r="A562" s="3819">
        <v>44143</v>
      </c>
      <c r="B562" s="3817" t="s">
        <v>3444</v>
      </c>
      <c r="C562" s="3817">
        <v>54</v>
      </c>
      <c r="D562" s="3817" t="s">
        <v>3491</v>
      </c>
      <c r="E562" s="3817" t="s">
        <v>3453</v>
      </c>
      <c r="F562" s="3817">
        <v>320</v>
      </c>
      <c r="G562" s="3819">
        <v>44138</v>
      </c>
      <c r="H562" s="3817">
        <v>312</v>
      </c>
      <c r="I562" s="3817">
        <v>57778</v>
      </c>
    </row>
    <row r="563" spans="1:9" hidden="1">
      <c r="A563" s="3819">
        <v>44142</v>
      </c>
      <c r="B563" s="3817" t="s">
        <v>3441</v>
      </c>
      <c r="C563" s="3817">
        <v>57</v>
      </c>
      <c r="D563" s="3817" t="s">
        <v>3497</v>
      </c>
      <c r="E563" s="3817" t="s">
        <v>3505</v>
      </c>
      <c r="F563" s="3817">
        <v>0</v>
      </c>
      <c r="G563" s="3817" t="s">
        <v>3443</v>
      </c>
      <c r="H563" s="3817">
        <v>305</v>
      </c>
      <c r="I563" s="3817">
        <v>53136</v>
      </c>
    </row>
    <row r="564" spans="1:9" hidden="1">
      <c r="A564" s="3819">
        <v>44138</v>
      </c>
      <c r="B564" s="3817" t="s">
        <v>3444</v>
      </c>
      <c r="C564" s="3817">
        <v>54</v>
      </c>
      <c r="D564" s="3817" t="s">
        <v>3446</v>
      </c>
      <c r="E564" s="3817" t="s">
        <v>3453</v>
      </c>
      <c r="F564" s="3817">
        <v>315</v>
      </c>
      <c r="G564" s="3819">
        <v>44138</v>
      </c>
      <c r="H564" s="3817">
        <v>310</v>
      </c>
      <c r="I564" s="3817">
        <v>57386</v>
      </c>
    </row>
    <row r="565" spans="1:9" hidden="1">
      <c r="A565" s="3819">
        <v>44137</v>
      </c>
      <c r="B565" s="3817" t="s">
        <v>3444</v>
      </c>
      <c r="C565" s="3817">
        <v>54</v>
      </c>
      <c r="D565" s="3817" t="s">
        <v>3491</v>
      </c>
      <c r="E565" s="3817" t="s">
        <v>3453</v>
      </c>
      <c r="F565" s="3817">
        <v>327</v>
      </c>
      <c r="G565" s="3819">
        <v>44094</v>
      </c>
      <c r="H565" s="3817">
        <v>318</v>
      </c>
      <c r="I565" s="3817">
        <v>58136</v>
      </c>
    </row>
    <row r="566" spans="1:9" hidden="1">
      <c r="A566" s="3819">
        <v>44136</v>
      </c>
      <c r="B566" s="3817" t="s">
        <v>3441</v>
      </c>
      <c r="C566" s="3817">
        <v>71</v>
      </c>
      <c r="D566" s="3817" t="s">
        <v>3525</v>
      </c>
      <c r="E566" s="3817" t="s">
        <v>3429</v>
      </c>
      <c r="F566" s="3817">
        <v>0</v>
      </c>
      <c r="G566" s="3817" t="s">
        <v>3443</v>
      </c>
      <c r="H566" s="3817">
        <v>362</v>
      </c>
      <c r="I566" s="3817">
        <v>50594</v>
      </c>
    </row>
    <row r="567" spans="1:9" hidden="1">
      <c r="A567" s="3819">
        <v>44136</v>
      </c>
      <c r="B567" s="3817" t="s">
        <v>3448</v>
      </c>
      <c r="C567" s="3817">
        <v>40</v>
      </c>
      <c r="D567" s="3817" t="s">
        <v>3497</v>
      </c>
      <c r="E567" s="3817" t="s">
        <v>3429</v>
      </c>
      <c r="F567" s="3817">
        <v>0</v>
      </c>
      <c r="G567" s="3817" t="s">
        <v>3443</v>
      </c>
      <c r="H567" s="3817">
        <v>222</v>
      </c>
      <c r="I567" s="3817">
        <v>54668</v>
      </c>
    </row>
    <row r="568" spans="1:9" hidden="1">
      <c r="A568" s="3819">
        <v>44135</v>
      </c>
      <c r="B568" s="3817" t="s">
        <v>3444</v>
      </c>
      <c r="C568" s="3817">
        <v>56</v>
      </c>
      <c r="D568" s="3817" t="s">
        <v>3533</v>
      </c>
      <c r="E568" s="3817" t="s">
        <v>3453</v>
      </c>
      <c r="F568" s="3817">
        <v>299</v>
      </c>
      <c r="G568" s="3819">
        <v>44121</v>
      </c>
      <c r="H568" s="3817">
        <v>292</v>
      </c>
      <c r="I568" s="3817">
        <v>51346</v>
      </c>
    </row>
    <row r="569" spans="1:9" hidden="1">
      <c r="A569" s="3819">
        <v>44126</v>
      </c>
      <c r="B569" s="3817" t="s">
        <v>3449</v>
      </c>
      <c r="C569" s="3817">
        <v>69</v>
      </c>
      <c r="D569" s="3817" t="s">
        <v>3491</v>
      </c>
      <c r="E569" s="3817" t="s">
        <v>3453</v>
      </c>
      <c r="F569" s="3817">
        <v>398</v>
      </c>
      <c r="G569" s="3819">
        <v>44088</v>
      </c>
      <c r="H569" s="3817">
        <v>388</v>
      </c>
      <c r="I569" s="3817">
        <v>56224</v>
      </c>
    </row>
    <row r="570" spans="1:9" hidden="1">
      <c r="A570" s="3819">
        <v>44123</v>
      </c>
      <c r="B570" s="3817" t="s">
        <v>3441</v>
      </c>
      <c r="C570" s="3817">
        <v>64</v>
      </c>
      <c r="D570" s="3817" t="s">
        <v>3535</v>
      </c>
      <c r="E570" s="3817" t="s">
        <v>3429</v>
      </c>
      <c r="F570" s="3817">
        <v>0</v>
      </c>
      <c r="G570" s="3817" t="s">
        <v>3443</v>
      </c>
      <c r="H570" s="3817">
        <v>386</v>
      </c>
      <c r="I570" s="3817">
        <v>59645</v>
      </c>
    </row>
    <row r="571" spans="1:9" hidden="1">
      <c r="A571" s="3819">
        <v>44122</v>
      </c>
      <c r="B571" s="3817" t="s">
        <v>3441</v>
      </c>
      <c r="C571" s="3817">
        <v>57</v>
      </c>
      <c r="D571" s="3817" t="s">
        <v>3490</v>
      </c>
      <c r="E571" s="3817" t="s">
        <v>3505</v>
      </c>
      <c r="F571" s="3817">
        <v>0</v>
      </c>
      <c r="G571" s="3817" t="s">
        <v>3443</v>
      </c>
      <c r="H571" s="3817">
        <v>308</v>
      </c>
      <c r="I571" s="3817">
        <v>53659</v>
      </c>
    </row>
    <row r="572" spans="1:9" hidden="1">
      <c r="A572" s="3819">
        <v>44122</v>
      </c>
      <c r="B572" s="3817" t="s">
        <v>3444</v>
      </c>
      <c r="C572" s="3817">
        <v>57</v>
      </c>
      <c r="D572" s="3817" t="s">
        <v>3491</v>
      </c>
      <c r="E572" s="3817" t="s">
        <v>3453</v>
      </c>
      <c r="F572" s="3817">
        <v>310</v>
      </c>
      <c r="G572" s="3819">
        <v>44079</v>
      </c>
      <c r="H572" s="3817">
        <v>297</v>
      </c>
      <c r="I572" s="3817">
        <v>51743</v>
      </c>
    </row>
    <row r="573" spans="1:9" hidden="1">
      <c r="A573" s="3819">
        <v>44118</v>
      </c>
      <c r="B573" s="3817" t="s">
        <v>3441</v>
      </c>
      <c r="C573" s="3817">
        <v>57</v>
      </c>
      <c r="D573" s="3817" t="s">
        <v>3497</v>
      </c>
      <c r="E573" s="3817" t="s">
        <v>3505</v>
      </c>
      <c r="F573" s="3817">
        <v>0</v>
      </c>
      <c r="G573" s="3817" t="s">
        <v>3443</v>
      </c>
      <c r="H573" s="3817">
        <v>277</v>
      </c>
      <c r="I573" s="3817">
        <v>48427</v>
      </c>
    </row>
    <row r="574" spans="1:9" hidden="1">
      <c r="A574" s="3819">
        <v>44118</v>
      </c>
      <c r="B574" s="3817" t="s">
        <v>3441</v>
      </c>
      <c r="C574" s="3817">
        <v>73</v>
      </c>
      <c r="D574" s="3817" t="s">
        <v>3536</v>
      </c>
      <c r="E574" s="3817" t="s">
        <v>3460</v>
      </c>
      <c r="F574" s="3817">
        <v>0</v>
      </c>
      <c r="G574" s="3817" t="s">
        <v>3443</v>
      </c>
      <c r="H574" s="3817">
        <v>332</v>
      </c>
      <c r="I574" s="3817">
        <v>45199</v>
      </c>
    </row>
    <row r="575" spans="1:9" hidden="1">
      <c r="A575" s="3819">
        <v>44117</v>
      </c>
      <c r="B575" s="3817" t="s">
        <v>3448</v>
      </c>
      <c r="C575" s="3817">
        <v>64</v>
      </c>
      <c r="D575" s="3817" t="s">
        <v>3518</v>
      </c>
      <c r="E575" s="3817" t="s">
        <v>3429</v>
      </c>
      <c r="F575" s="3817">
        <v>0</v>
      </c>
      <c r="G575" s="3817" t="s">
        <v>3443</v>
      </c>
      <c r="H575" s="3817">
        <v>381</v>
      </c>
      <c r="I575" s="3817">
        <v>58787</v>
      </c>
    </row>
    <row r="576" spans="1:9" hidden="1">
      <c r="A576" s="3819">
        <v>44115</v>
      </c>
      <c r="B576" s="3817" t="s">
        <v>3471</v>
      </c>
      <c r="C576" s="3817">
        <v>36</v>
      </c>
      <c r="D576" s="3817" t="s">
        <v>3530</v>
      </c>
      <c r="E576" s="3817" t="s">
        <v>3429</v>
      </c>
      <c r="F576" s="3817">
        <v>242</v>
      </c>
      <c r="G576" s="3819">
        <v>44066</v>
      </c>
      <c r="H576" s="3817">
        <v>237</v>
      </c>
      <c r="I576" s="3817">
        <v>65651</v>
      </c>
    </row>
    <row r="577" spans="1:9" hidden="1">
      <c r="A577" s="3819">
        <v>44110</v>
      </c>
      <c r="B577" s="3817" t="s">
        <v>3444</v>
      </c>
      <c r="C577" s="3817">
        <v>59</v>
      </c>
      <c r="D577" s="3817" t="s">
        <v>3455</v>
      </c>
      <c r="E577" s="3817" t="s">
        <v>3453</v>
      </c>
      <c r="F577" s="3817">
        <v>315</v>
      </c>
      <c r="G577" s="3819">
        <v>44110</v>
      </c>
      <c r="H577" s="3817">
        <v>311</v>
      </c>
      <c r="I577" s="3817">
        <v>52007</v>
      </c>
    </row>
    <row r="578" spans="1:9" hidden="1">
      <c r="A578" s="3819">
        <v>44108</v>
      </c>
      <c r="B578" s="3817" t="s">
        <v>3441</v>
      </c>
      <c r="C578" s="3817">
        <v>59</v>
      </c>
      <c r="D578" s="3817" t="s">
        <v>3497</v>
      </c>
      <c r="E578" s="3817" t="s">
        <v>3505</v>
      </c>
      <c r="F578" s="3817">
        <v>0</v>
      </c>
      <c r="G578" s="3817" t="s">
        <v>3443</v>
      </c>
      <c r="H578" s="3817">
        <v>326</v>
      </c>
      <c r="I578" s="3817">
        <v>54782</v>
      </c>
    </row>
    <row r="579" spans="1:9" hidden="1">
      <c r="A579" s="3819">
        <v>44096</v>
      </c>
      <c r="B579" s="3817" t="s">
        <v>3441</v>
      </c>
      <c r="C579" s="3817">
        <v>71</v>
      </c>
      <c r="D579" s="3817" t="s">
        <v>3518</v>
      </c>
      <c r="E579" s="3817" t="s">
        <v>3429</v>
      </c>
      <c r="F579" s="3817">
        <v>0</v>
      </c>
      <c r="G579" s="3817" t="s">
        <v>3443</v>
      </c>
      <c r="H579" s="3817">
        <v>360</v>
      </c>
      <c r="I579" s="3817">
        <v>50690</v>
      </c>
    </row>
    <row r="580" spans="1:9" hidden="1">
      <c r="A580" s="3819">
        <v>44065</v>
      </c>
      <c r="B580" s="3817" t="s">
        <v>3444</v>
      </c>
      <c r="C580" s="3817">
        <v>62</v>
      </c>
      <c r="D580" s="3817" t="s">
        <v>3496</v>
      </c>
      <c r="E580" s="3817" t="s">
        <v>3464</v>
      </c>
      <c r="F580" s="3817">
        <v>425</v>
      </c>
      <c r="G580" s="3819">
        <v>44058</v>
      </c>
      <c r="H580" s="3817">
        <v>410</v>
      </c>
      <c r="I580" s="3817">
        <v>66066</v>
      </c>
    </row>
    <row r="581" spans="1:9" hidden="1">
      <c r="A581" s="3819">
        <v>44055</v>
      </c>
      <c r="B581" s="3817" t="s">
        <v>3444</v>
      </c>
      <c r="C581" s="3817">
        <v>54</v>
      </c>
      <c r="D581" s="3817" t="s">
        <v>3490</v>
      </c>
      <c r="E581" s="3817" t="s">
        <v>3453</v>
      </c>
      <c r="F581" s="3817">
        <v>320</v>
      </c>
      <c r="G581" s="3819">
        <v>44040</v>
      </c>
      <c r="H581" s="3817">
        <v>316</v>
      </c>
      <c r="I581" s="3817">
        <v>57693</v>
      </c>
    </row>
    <row r="582" spans="1:9" hidden="1">
      <c r="A582" s="3819">
        <v>44053</v>
      </c>
      <c r="B582" s="3817" t="s">
        <v>3449</v>
      </c>
      <c r="C582" s="3817">
        <v>91</v>
      </c>
      <c r="D582" s="3817" t="s">
        <v>3532</v>
      </c>
      <c r="E582" s="3817" t="s">
        <v>3464</v>
      </c>
      <c r="F582" s="3817">
        <v>469</v>
      </c>
      <c r="G582" s="3819">
        <v>43986</v>
      </c>
      <c r="H582" s="3817">
        <v>441</v>
      </c>
      <c r="I582" s="3817">
        <v>48347</v>
      </c>
    </row>
    <row r="583" spans="1:9" hidden="1">
      <c r="A583" s="3819">
        <v>44052</v>
      </c>
      <c r="B583" s="3817" t="s">
        <v>3441</v>
      </c>
      <c r="C583" s="3817">
        <v>64</v>
      </c>
      <c r="D583" s="3817" t="s">
        <v>3495</v>
      </c>
      <c r="E583" s="3817" t="s">
        <v>3429</v>
      </c>
      <c r="F583" s="3817">
        <v>0</v>
      </c>
      <c r="G583" s="3817" t="s">
        <v>3443</v>
      </c>
      <c r="H583" s="3817">
        <v>376</v>
      </c>
      <c r="I583" s="3817">
        <v>58016</v>
      </c>
    </row>
    <row r="584" spans="1:9" hidden="1">
      <c r="A584" s="3819">
        <v>44046</v>
      </c>
      <c r="B584" s="3817" t="s">
        <v>3475</v>
      </c>
      <c r="C584" s="3817">
        <v>69</v>
      </c>
      <c r="D584" s="3817" t="s">
        <v>3490</v>
      </c>
      <c r="E584" s="3817" t="s">
        <v>3505</v>
      </c>
      <c r="F584" s="3817">
        <v>0</v>
      </c>
      <c r="G584" s="3817" t="s">
        <v>3443</v>
      </c>
      <c r="H584" s="3817">
        <v>347</v>
      </c>
      <c r="I584" s="3817">
        <v>50283</v>
      </c>
    </row>
    <row r="585" spans="1:9" hidden="1">
      <c r="A585" s="3819">
        <v>44043</v>
      </c>
      <c r="B585" s="3817" t="s">
        <v>3441</v>
      </c>
      <c r="C585" s="3817">
        <v>62</v>
      </c>
      <c r="D585" s="3817" t="s">
        <v>3495</v>
      </c>
      <c r="E585" s="3817" t="s">
        <v>3464</v>
      </c>
      <c r="F585" s="3817">
        <v>0</v>
      </c>
      <c r="G585" s="3817" t="s">
        <v>3443</v>
      </c>
      <c r="H585" s="3817">
        <v>333</v>
      </c>
      <c r="I585" s="3817">
        <v>53232</v>
      </c>
    </row>
    <row r="586" spans="1:9" hidden="1">
      <c r="A586" s="3819">
        <v>44040</v>
      </c>
      <c r="B586" s="3817" t="s">
        <v>3441</v>
      </c>
      <c r="C586" s="3817">
        <v>55</v>
      </c>
      <c r="D586" s="3817" t="s">
        <v>3497</v>
      </c>
      <c r="E586" s="3817" t="s">
        <v>3512</v>
      </c>
      <c r="F586" s="3817">
        <v>0</v>
      </c>
      <c r="G586" s="3817" t="s">
        <v>3443</v>
      </c>
      <c r="H586" s="3817">
        <v>310</v>
      </c>
      <c r="I586" s="3817">
        <v>56200</v>
      </c>
    </row>
    <row r="587" spans="1:9" hidden="1">
      <c r="A587" s="3819">
        <v>44037</v>
      </c>
      <c r="B587" s="3817" t="s">
        <v>3471</v>
      </c>
      <c r="C587" s="3817">
        <v>42</v>
      </c>
      <c r="D587" s="3817" t="s">
        <v>3491</v>
      </c>
      <c r="E587" s="3817" t="s">
        <v>3429</v>
      </c>
      <c r="F587" s="3817">
        <v>255</v>
      </c>
      <c r="G587" s="3819">
        <v>44026</v>
      </c>
      <c r="H587" s="3817">
        <v>254</v>
      </c>
      <c r="I587" s="3817">
        <v>59906</v>
      </c>
    </row>
    <row r="588" spans="1:9" hidden="1">
      <c r="A588" s="3819">
        <v>44037</v>
      </c>
      <c r="B588" s="3817" t="s">
        <v>3444</v>
      </c>
      <c r="C588" s="3817">
        <v>73</v>
      </c>
      <c r="D588" s="3817" t="s">
        <v>3495</v>
      </c>
      <c r="E588" s="3817" t="s">
        <v>3428</v>
      </c>
      <c r="F588" s="3817">
        <v>386</v>
      </c>
      <c r="G588" s="3819">
        <v>43707</v>
      </c>
      <c r="H588" s="3817">
        <v>371</v>
      </c>
      <c r="I588" s="3817">
        <v>50388</v>
      </c>
    </row>
    <row r="589" spans="1:9" hidden="1">
      <c r="A589" s="3819">
        <v>44028</v>
      </c>
      <c r="B589" s="3817" t="s">
        <v>3444</v>
      </c>
      <c r="C589" s="3817">
        <v>54</v>
      </c>
      <c r="D589" s="3817" t="s">
        <v>3491</v>
      </c>
      <c r="E589" s="3817" t="s">
        <v>3468</v>
      </c>
      <c r="F589" s="3817">
        <v>289</v>
      </c>
      <c r="G589" s="3819">
        <v>43885</v>
      </c>
      <c r="H589" s="3817">
        <v>277</v>
      </c>
      <c r="I589" s="3817">
        <v>51155</v>
      </c>
    </row>
    <row r="590" spans="1:9" hidden="1">
      <c r="A590" s="3819">
        <v>44027</v>
      </c>
      <c r="B590" s="3817" t="s">
        <v>3449</v>
      </c>
      <c r="C590" s="3817">
        <v>76</v>
      </c>
      <c r="D590" s="3817" t="s">
        <v>3533</v>
      </c>
      <c r="E590" s="3817" t="s">
        <v>3498</v>
      </c>
      <c r="F590" s="3817">
        <v>380</v>
      </c>
      <c r="G590" s="3819">
        <v>43820</v>
      </c>
      <c r="H590" s="3817">
        <v>358</v>
      </c>
      <c r="I590" s="3817">
        <v>46554</v>
      </c>
    </row>
    <row r="591" spans="1:9" hidden="1">
      <c r="A591" s="3819">
        <v>44024</v>
      </c>
      <c r="B591" s="3817" t="s">
        <v>3441</v>
      </c>
      <c r="C591" s="3817">
        <v>61</v>
      </c>
      <c r="D591" s="3817" t="s">
        <v>3491</v>
      </c>
      <c r="E591" s="3817" t="s">
        <v>3429</v>
      </c>
      <c r="F591" s="3817">
        <v>0</v>
      </c>
      <c r="G591" s="3817" t="s">
        <v>3443</v>
      </c>
      <c r="H591" s="3817">
        <v>326</v>
      </c>
      <c r="I591" s="3817">
        <v>53181</v>
      </c>
    </row>
    <row r="592" spans="1:9" hidden="1">
      <c r="A592" s="3819">
        <v>44024</v>
      </c>
      <c r="B592" s="3817" t="s">
        <v>3444</v>
      </c>
      <c r="C592" s="3817">
        <v>64</v>
      </c>
      <c r="D592" s="3817" t="s">
        <v>3495</v>
      </c>
      <c r="E592" s="3817" t="s">
        <v>3429</v>
      </c>
      <c r="F592" s="3817">
        <v>383</v>
      </c>
      <c r="G592" s="3819">
        <v>43924</v>
      </c>
      <c r="H592" s="3817">
        <v>377</v>
      </c>
      <c r="I592" s="3817">
        <v>58171</v>
      </c>
    </row>
    <row r="593" spans="1:9" hidden="1">
      <c r="A593" s="3819">
        <v>44018</v>
      </c>
      <c r="B593" s="3817" t="s">
        <v>3444</v>
      </c>
      <c r="C593" s="3817">
        <v>54</v>
      </c>
      <c r="D593" s="3817" t="s">
        <v>3491</v>
      </c>
      <c r="E593" s="3817" t="s">
        <v>3453</v>
      </c>
      <c r="F593" s="3817">
        <v>324</v>
      </c>
      <c r="G593" s="3819">
        <v>44011</v>
      </c>
      <c r="H593" s="3817">
        <v>315</v>
      </c>
      <c r="I593" s="3817">
        <v>58215</v>
      </c>
    </row>
    <row r="594" spans="1:9" hidden="1">
      <c r="A594" s="3819">
        <v>44014</v>
      </c>
      <c r="B594" s="3817" t="s">
        <v>3444</v>
      </c>
      <c r="C594" s="3817">
        <v>57</v>
      </c>
      <c r="D594" s="3817" t="s">
        <v>3491</v>
      </c>
      <c r="E594" s="3817" t="s">
        <v>3453</v>
      </c>
      <c r="F594" s="3817">
        <v>309</v>
      </c>
      <c r="G594" s="3819">
        <v>43914</v>
      </c>
      <c r="H594" s="3817">
        <v>304</v>
      </c>
      <c r="I594" s="3817">
        <v>53235</v>
      </c>
    </row>
    <row r="595" spans="1:9" hidden="1">
      <c r="A595" s="3819">
        <v>44006</v>
      </c>
      <c r="B595" s="3817" t="s">
        <v>3441</v>
      </c>
      <c r="C595" s="3817">
        <v>54</v>
      </c>
      <c r="D595" s="3817" t="s">
        <v>3490</v>
      </c>
      <c r="E595" s="3817" t="s">
        <v>3505</v>
      </c>
      <c r="F595" s="3817">
        <v>0</v>
      </c>
      <c r="G595" s="3817" t="s">
        <v>3443</v>
      </c>
      <c r="H595" s="3817">
        <v>315</v>
      </c>
      <c r="I595" s="3817">
        <v>58215</v>
      </c>
    </row>
    <row r="596" spans="1:9" hidden="1">
      <c r="A596" s="3819">
        <v>43997</v>
      </c>
      <c r="B596" s="3817" t="s">
        <v>3449</v>
      </c>
      <c r="C596" s="3817">
        <v>69</v>
      </c>
      <c r="D596" s="3817" t="s">
        <v>3490</v>
      </c>
      <c r="E596" s="3817" t="s">
        <v>3453</v>
      </c>
      <c r="F596" s="3817">
        <v>405</v>
      </c>
      <c r="G596" s="3819">
        <v>43934</v>
      </c>
      <c r="H596" s="3817">
        <v>385</v>
      </c>
      <c r="I596" s="3817">
        <v>55790</v>
      </c>
    </row>
    <row r="597" spans="1:9" hidden="1">
      <c r="A597" s="3819">
        <v>43996</v>
      </c>
      <c r="B597" s="3817" t="s">
        <v>3444</v>
      </c>
      <c r="C597" s="3817">
        <v>73</v>
      </c>
      <c r="D597" s="3817" t="s">
        <v>3495</v>
      </c>
      <c r="E597" s="3817" t="s">
        <v>3477</v>
      </c>
      <c r="F597" s="3817">
        <v>380</v>
      </c>
      <c r="G597" s="3819">
        <v>43545</v>
      </c>
      <c r="H597" s="3817">
        <v>360</v>
      </c>
      <c r="I597" s="3817">
        <v>48894</v>
      </c>
    </row>
    <row r="598" spans="1:9" hidden="1">
      <c r="A598" s="3819">
        <v>43989</v>
      </c>
      <c r="B598" s="3817" t="s">
        <v>3449</v>
      </c>
      <c r="C598" s="3817">
        <v>67</v>
      </c>
      <c r="D598" s="3817" t="s">
        <v>3490</v>
      </c>
      <c r="E598" s="3817" t="s">
        <v>3453</v>
      </c>
      <c r="F598" s="3817">
        <v>418</v>
      </c>
      <c r="G598" s="3819">
        <v>43980</v>
      </c>
      <c r="H598" s="3817">
        <v>406</v>
      </c>
      <c r="I598" s="3817">
        <v>59759</v>
      </c>
    </row>
    <row r="599" spans="1:9" hidden="1">
      <c r="A599" s="3819">
        <v>43989</v>
      </c>
      <c r="B599" s="3817" t="s">
        <v>3444</v>
      </c>
      <c r="C599" s="3817">
        <v>62</v>
      </c>
      <c r="D599" s="3817" t="s">
        <v>3491</v>
      </c>
      <c r="E599" s="3817" t="s">
        <v>3453</v>
      </c>
      <c r="F599" s="3817">
        <v>339</v>
      </c>
      <c r="G599" s="3819">
        <v>43947</v>
      </c>
      <c r="H599" s="3817">
        <v>331</v>
      </c>
      <c r="I599" s="3817">
        <v>52708</v>
      </c>
    </row>
    <row r="600" spans="1:9" hidden="1">
      <c r="A600" s="3819">
        <v>43988</v>
      </c>
      <c r="B600" s="3817" t="s">
        <v>3444</v>
      </c>
      <c r="C600" s="3817">
        <v>57</v>
      </c>
      <c r="D600" s="3817" t="s">
        <v>3497</v>
      </c>
      <c r="E600" s="3817" t="s">
        <v>3453</v>
      </c>
      <c r="F600" s="3817">
        <v>318</v>
      </c>
      <c r="G600" s="3819">
        <v>43981</v>
      </c>
      <c r="H600" s="3817">
        <v>309</v>
      </c>
      <c r="I600" s="3817">
        <v>53833</v>
      </c>
    </row>
    <row r="601" spans="1:9" hidden="1">
      <c r="A601" s="3819">
        <v>43986</v>
      </c>
      <c r="B601" s="3817" t="s">
        <v>3441</v>
      </c>
      <c r="C601" s="3817">
        <v>62</v>
      </c>
      <c r="D601" s="3817" t="s">
        <v>3525</v>
      </c>
      <c r="E601" s="3817" t="s">
        <v>3464</v>
      </c>
      <c r="F601" s="3817">
        <v>0</v>
      </c>
      <c r="G601" s="3817" t="s">
        <v>3443</v>
      </c>
      <c r="H601" s="3817">
        <v>343</v>
      </c>
      <c r="I601" s="3817">
        <v>54749</v>
      </c>
    </row>
    <row r="602" spans="1:9" hidden="1">
      <c r="A602" s="3819">
        <v>43982</v>
      </c>
      <c r="B602" s="3817" t="s">
        <v>3471</v>
      </c>
      <c r="C602" s="3817">
        <v>41</v>
      </c>
      <c r="D602" s="3817" t="s">
        <v>3491</v>
      </c>
      <c r="E602" s="3817" t="s">
        <v>3429</v>
      </c>
      <c r="F602" s="3817">
        <v>233</v>
      </c>
      <c r="G602" s="3819">
        <v>43602</v>
      </c>
      <c r="H602" s="3817">
        <v>230</v>
      </c>
      <c r="I602" s="3817">
        <v>55156</v>
      </c>
    </row>
    <row r="603" spans="1:9" hidden="1">
      <c r="A603" s="3819">
        <v>43981</v>
      </c>
      <c r="B603" s="3817" t="s">
        <v>3444</v>
      </c>
      <c r="C603" s="3817">
        <v>54</v>
      </c>
      <c r="D603" s="3817" t="s">
        <v>3490</v>
      </c>
      <c r="E603" s="3817" t="s">
        <v>3453</v>
      </c>
      <c r="F603" s="3817">
        <v>324</v>
      </c>
      <c r="G603" s="3819">
        <v>43968</v>
      </c>
      <c r="H603" s="3817">
        <v>322</v>
      </c>
      <c r="I603" s="3817">
        <v>59657</v>
      </c>
    </row>
    <row r="604" spans="1:9" hidden="1">
      <c r="A604" s="3819">
        <v>43979</v>
      </c>
      <c r="B604" s="3817" t="s">
        <v>3441</v>
      </c>
      <c r="C604" s="3817">
        <v>62</v>
      </c>
      <c r="D604" s="3817" t="s">
        <v>3518</v>
      </c>
      <c r="E604" s="3817" t="s">
        <v>3468</v>
      </c>
      <c r="F604" s="3817">
        <v>0</v>
      </c>
      <c r="G604" s="3817" t="s">
        <v>3443</v>
      </c>
      <c r="H604" s="3817">
        <v>340</v>
      </c>
      <c r="I604" s="3817">
        <v>54270</v>
      </c>
    </row>
    <row r="605" spans="1:9" hidden="1">
      <c r="A605" s="3819">
        <v>43976</v>
      </c>
      <c r="B605" s="3817" t="s">
        <v>3449</v>
      </c>
      <c r="C605" s="3817">
        <v>67</v>
      </c>
      <c r="D605" s="3817" t="s">
        <v>3497</v>
      </c>
      <c r="E605" s="3817" t="s">
        <v>3453</v>
      </c>
      <c r="F605" s="3817">
        <v>415</v>
      </c>
      <c r="G605" s="3819">
        <v>43791</v>
      </c>
      <c r="H605" s="3817">
        <v>406</v>
      </c>
      <c r="I605" s="3817">
        <v>59759</v>
      </c>
    </row>
    <row r="606" spans="1:9" hidden="1">
      <c r="A606" s="3819">
        <v>43975</v>
      </c>
      <c r="B606" s="3817" t="s">
        <v>3444</v>
      </c>
      <c r="C606" s="3817">
        <v>71</v>
      </c>
      <c r="D606" s="3817" t="s">
        <v>3494</v>
      </c>
      <c r="E606" s="3817" t="s">
        <v>3429</v>
      </c>
      <c r="F606" s="3817">
        <v>390</v>
      </c>
      <c r="G606" s="3819">
        <v>43835</v>
      </c>
      <c r="H606" s="3817">
        <v>382</v>
      </c>
      <c r="I606" s="3817">
        <v>53449</v>
      </c>
    </row>
    <row r="607" spans="1:9" hidden="1">
      <c r="A607" s="3819">
        <v>43969</v>
      </c>
      <c r="B607" s="3817" t="s">
        <v>3441</v>
      </c>
      <c r="C607" s="3817">
        <v>64</v>
      </c>
      <c r="D607" s="3817" t="s">
        <v>3525</v>
      </c>
      <c r="E607" s="3817" t="s">
        <v>3429</v>
      </c>
      <c r="F607" s="3817">
        <v>0</v>
      </c>
      <c r="G607" s="3817" t="s">
        <v>3443</v>
      </c>
      <c r="H607" s="3817">
        <v>356</v>
      </c>
      <c r="I607" s="3817">
        <v>54930</v>
      </c>
    </row>
    <row r="608" spans="1:9" hidden="1">
      <c r="A608" s="3819">
        <v>43969</v>
      </c>
      <c r="B608" s="3817" t="s">
        <v>3444</v>
      </c>
      <c r="C608" s="3817">
        <v>58</v>
      </c>
      <c r="D608" s="3817" t="s">
        <v>3490</v>
      </c>
      <c r="E608" s="3817" t="s">
        <v>3453</v>
      </c>
      <c r="F608" s="3817">
        <v>311</v>
      </c>
      <c r="G608" s="3819">
        <v>43183</v>
      </c>
      <c r="H608" s="3817">
        <v>304</v>
      </c>
      <c r="I608" s="3817">
        <v>52500</v>
      </c>
    </row>
    <row r="609" spans="1:9" hidden="1">
      <c r="A609" s="3819">
        <v>43968</v>
      </c>
      <c r="B609" s="3817" t="s">
        <v>3449</v>
      </c>
      <c r="C609" s="3817">
        <v>81</v>
      </c>
      <c r="D609" s="3817" t="s">
        <v>3495</v>
      </c>
      <c r="E609" s="3817" t="s">
        <v>3464</v>
      </c>
      <c r="F609" s="3817">
        <v>405</v>
      </c>
      <c r="G609" s="3819">
        <v>43932</v>
      </c>
      <c r="H609" s="3817">
        <v>390</v>
      </c>
      <c r="I609" s="3817">
        <v>47859</v>
      </c>
    </row>
    <row r="610" spans="1:9" hidden="1">
      <c r="A610" s="3819">
        <v>43967</v>
      </c>
      <c r="B610" s="3817" t="s">
        <v>3441</v>
      </c>
      <c r="C610" s="3817">
        <v>57</v>
      </c>
      <c r="D610" s="3817" t="s">
        <v>3491</v>
      </c>
      <c r="E610" s="3817" t="s">
        <v>3505</v>
      </c>
      <c r="F610" s="3817">
        <v>0</v>
      </c>
      <c r="G610" s="3817" t="s">
        <v>3443</v>
      </c>
      <c r="H610" s="3817">
        <v>305</v>
      </c>
      <c r="I610" s="3817">
        <v>53322</v>
      </c>
    </row>
    <row r="611" spans="1:9" hidden="1">
      <c r="A611" s="3819">
        <v>43963</v>
      </c>
      <c r="B611" s="3817" t="s">
        <v>3449</v>
      </c>
      <c r="C611" s="3817">
        <v>69</v>
      </c>
      <c r="D611" s="3817" t="s">
        <v>3491</v>
      </c>
      <c r="E611" s="3817" t="s">
        <v>3453</v>
      </c>
      <c r="F611" s="3817">
        <v>398</v>
      </c>
      <c r="G611" s="3819">
        <v>43580</v>
      </c>
      <c r="H611" s="3817">
        <v>383</v>
      </c>
      <c r="I611" s="3817">
        <v>55500</v>
      </c>
    </row>
    <row r="612" spans="1:9" hidden="1">
      <c r="A612" s="3819">
        <v>43961</v>
      </c>
      <c r="B612" s="3817" t="s">
        <v>3444</v>
      </c>
      <c r="C612" s="3817">
        <v>57</v>
      </c>
      <c r="D612" s="3817" t="s">
        <v>3491</v>
      </c>
      <c r="E612" s="3817" t="s">
        <v>3453</v>
      </c>
      <c r="F612" s="3817">
        <v>317</v>
      </c>
      <c r="G612" s="3819">
        <v>43738</v>
      </c>
      <c r="H612" s="3817">
        <v>309</v>
      </c>
      <c r="I612" s="3817">
        <v>54021</v>
      </c>
    </row>
    <row r="613" spans="1:9" hidden="1">
      <c r="A613" s="3819">
        <v>43960</v>
      </c>
      <c r="B613" s="3817" t="s">
        <v>3444</v>
      </c>
      <c r="C613" s="3817">
        <v>54</v>
      </c>
      <c r="D613" s="3817" t="s">
        <v>3490</v>
      </c>
      <c r="E613" s="3817" t="s">
        <v>3512</v>
      </c>
      <c r="F613" s="3817">
        <v>287</v>
      </c>
      <c r="G613" s="3819">
        <v>43788</v>
      </c>
      <c r="H613" s="3817">
        <v>290</v>
      </c>
      <c r="I613" s="3817">
        <v>52920</v>
      </c>
    </row>
    <row r="614" spans="1:9" hidden="1">
      <c r="A614" s="3819">
        <v>43959</v>
      </c>
      <c r="B614" s="3817" t="s">
        <v>3441</v>
      </c>
      <c r="C614" s="3817">
        <v>77</v>
      </c>
      <c r="D614" s="3817" t="s">
        <v>3494</v>
      </c>
      <c r="E614" s="3817" t="s">
        <v>3442</v>
      </c>
      <c r="F614" s="3817">
        <v>0</v>
      </c>
      <c r="G614" s="3817" t="s">
        <v>3443</v>
      </c>
      <c r="H614" s="3817">
        <v>377</v>
      </c>
      <c r="I614" s="3817">
        <v>48683</v>
      </c>
    </row>
    <row r="615" spans="1:9" hidden="1">
      <c r="A615" s="3819">
        <v>43956</v>
      </c>
      <c r="B615" s="3817" t="s">
        <v>3444</v>
      </c>
      <c r="C615" s="3817">
        <v>51</v>
      </c>
      <c r="D615" s="3817" t="s">
        <v>3491</v>
      </c>
      <c r="E615" s="3817" t="s">
        <v>3470</v>
      </c>
      <c r="F615" s="3817">
        <v>286</v>
      </c>
      <c r="G615" s="3819">
        <v>43951</v>
      </c>
      <c r="H615" s="3817">
        <v>281</v>
      </c>
      <c r="I615" s="3817">
        <v>54101</v>
      </c>
    </row>
    <row r="616" spans="1:9" hidden="1">
      <c r="A616" s="3819">
        <v>43954</v>
      </c>
      <c r="B616" s="3817" t="s">
        <v>3444</v>
      </c>
      <c r="C616" s="3817">
        <v>52</v>
      </c>
      <c r="D616" s="3817" t="s">
        <v>3452</v>
      </c>
      <c r="E616" s="3817" t="s">
        <v>3453</v>
      </c>
      <c r="F616" s="3817">
        <v>330</v>
      </c>
      <c r="G616" s="3819">
        <v>43906</v>
      </c>
      <c r="H616" s="3817">
        <v>309</v>
      </c>
      <c r="I616" s="3817">
        <v>58857</v>
      </c>
    </row>
    <row r="617" spans="1:9" hidden="1">
      <c r="A617" s="3819">
        <v>43954</v>
      </c>
      <c r="B617" s="3817" t="s">
        <v>3441</v>
      </c>
      <c r="C617" s="3817">
        <v>57</v>
      </c>
      <c r="D617" s="3817" t="s">
        <v>3497</v>
      </c>
      <c r="E617" s="3817" t="s">
        <v>3505</v>
      </c>
      <c r="F617" s="3817">
        <v>0</v>
      </c>
      <c r="G617" s="3817" t="s">
        <v>3443</v>
      </c>
      <c r="H617" s="3817">
        <v>315</v>
      </c>
      <c r="I617" s="3817">
        <v>55070</v>
      </c>
    </row>
    <row r="618" spans="1:9" hidden="1">
      <c r="A618" s="3819">
        <v>43954</v>
      </c>
      <c r="B618" s="3817" t="s">
        <v>3444</v>
      </c>
      <c r="C618" s="3817">
        <v>73</v>
      </c>
      <c r="D618" s="3817" t="s">
        <v>3495</v>
      </c>
      <c r="E618" s="3817" t="s">
        <v>3458</v>
      </c>
      <c r="F618" s="3817">
        <v>370</v>
      </c>
      <c r="G618" s="3819">
        <v>43948</v>
      </c>
      <c r="H618" s="3817">
        <v>357</v>
      </c>
      <c r="I618" s="3817">
        <v>48554</v>
      </c>
    </row>
    <row r="619" spans="1:9" hidden="1">
      <c r="A619" s="3819">
        <v>43952</v>
      </c>
      <c r="B619" s="3817" t="s">
        <v>3444</v>
      </c>
      <c r="C619" s="3817">
        <v>56</v>
      </c>
      <c r="D619" s="3817" t="s">
        <v>3530</v>
      </c>
      <c r="E619" s="3817" t="s">
        <v>3512</v>
      </c>
      <c r="F619" s="3817">
        <v>309</v>
      </c>
      <c r="G619" s="3819">
        <v>43735</v>
      </c>
      <c r="H619" s="3817">
        <v>300</v>
      </c>
      <c r="I619" s="3817">
        <v>52911</v>
      </c>
    </row>
    <row r="620" spans="1:9" hidden="1">
      <c r="A620" s="3819">
        <v>43948</v>
      </c>
      <c r="B620" s="3817" t="s">
        <v>3441</v>
      </c>
      <c r="C620" s="3817">
        <v>73</v>
      </c>
      <c r="D620" s="3817" t="s">
        <v>3536</v>
      </c>
      <c r="E620" s="3817" t="s">
        <v>3428</v>
      </c>
      <c r="F620" s="3817">
        <v>0</v>
      </c>
      <c r="G620" s="3817" t="s">
        <v>3443</v>
      </c>
      <c r="H620" s="3817">
        <v>364</v>
      </c>
      <c r="I620" s="3817">
        <v>49436</v>
      </c>
    </row>
    <row r="621" spans="1:9" hidden="1">
      <c r="A621" s="3819">
        <v>43948</v>
      </c>
      <c r="B621" s="3817" t="s">
        <v>3471</v>
      </c>
      <c r="C621" s="3817">
        <v>43</v>
      </c>
      <c r="D621" s="3817" t="s">
        <v>3491</v>
      </c>
      <c r="E621" s="3817" t="s">
        <v>3442</v>
      </c>
      <c r="F621" s="3817">
        <v>255</v>
      </c>
      <c r="G621" s="3819">
        <v>43929</v>
      </c>
      <c r="H621" s="3817">
        <v>246</v>
      </c>
      <c r="I621" s="3817">
        <v>57084</v>
      </c>
    </row>
    <row r="622" spans="1:9" hidden="1">
      <c r="A622" s="3819">
        <v>43947</v>
      </c>
      <c r="B622" s="3817" t="s">
        <v>3444</v>
      </c>
      <c r="C622" s="3817">
        <v>57</v>
      </c>
      <c r="D622" s="3817" t="s">
        <v>3497</v>
      </c>
      <c r="E622" s="3817" t="s">
        <v>3453</v>
      </c>
      <c r="F622" s="3817">
        <v>306</v>
      </c>
      <c r="G622" s="3819">
        <v>43769</v>
      </c>
      <c r="H622" s="3817">
        <v>298</v>
      </c>
      <c r="I622" s="3817">
        <v>52098</v>
      </c>
    </row>
    <row r="623" spans="1:9" hidden="1">
      <c r="A623" s="3819">
        <v>43947</v>
      </c>
      <c r="B623" s="3817" t="s">
        <v>3444</v>
      </c>
      <c r="C623" s="3817">
        <v>59</v>
      </c>
      <c r="D623" s="3817" t="s">
        <v>3491</v>
      </c>
      <c r="E623" s="3817" t="s">
        <v>3453</v>
      </c>
      <c r="F623" s="3817">
        <v>312</v>
      </c>
      <c r="G623" s="3819">
        <v>43615</v>
      </c>
      <c r="H623" s="3817">
        <v>304</v>
      </c>
      <c r="I623" s="3817">
        <v>51007</v>
      </c>
    </row>
    <row r="624" spans="1:9" hidden="1">
      <c r="A624" s="3819">
        <v>43947</v>
      </c>
      <c r="B624" s="3817" t="s">
        <v>3444</v>
      </c>
      <c r="C624" s="3817">
        <v>54</v>
      </c>
      <c r="D624" s="3817" t="s">
        <v>3533</v>
      </c>
      <c r="E624" s="3817" t="s">
        <v>3512</v>
      </c>
      <c r="F624" s="3817">
        <v>299</v>
      </c>
      <c r="G624" s="3819">
        <v>43592</v>
      </c>
      <c r="H624" s="3817">
        <v>285</v>
      </c>
      <c r="I624" s="3817">
        <v>52671</v>
      </c>
    </row>
    <row r="625" spans="1:9" hidden="1">
      <c r="A625" s="3819">
        <v>43946</v>
      </c>
      <c r="B625" s="3817" t="s">
        <v>3444</v>
      </c>
      <c r="C625" s="3817">
        <v>54</v>
      </c>
      <c r="D625" s="3817" t="s">
        <v>3490</v>
      </c>
      <c r="E625" s="3817" t="s">
        <v>3453</v>
      </c>
      <c r="F625" s="3817">
        <v>314</v>
      </c>
      <c r="G625" s="3819">
        <v>43847</v>
      </c>
      <c r="H625" s="3817">
        <v>305</v>
      </c>
      <c r="I625" s="3817">
        <v>55861</v>
      </c>
    </row>
    <row r="626" spans="1:9" hidden="1">
      <c r="A626" s="3819">
        <v>43944</v>
      </c>
      <c r="B626" s="3817" t="s">
        <v>3441</v>
      </c>
      <c r="C626" s="3817">
        <v>52</v>
      </c>
      <c r="D626" s="3817" t="s">
        <v>3537</v>
      </c>
      <c r="E626" s="3817" t="s">
        <v>3505</v>
      </c>
      <c r="F626" s="3817">
        <v>0</v>
      </c>
      <c r="G626" s="3817" t="s">
        <v>3443</v>
      </c>
      <c r="H626" s="3817">
        <v>308</v>
      </c>
      <c r="I626" s="3817">
        <v>58667</v>
      </c>
    </row>
    <row r="627" spans="1:9" hidden="1">
      <c r="A627" s="3819">
        <v>43940</v>
      </c>
      <c r="B627" s="3817" t="s">
        <v>3448</v>
      </c>
      <c r="C627" s="3817">
        <v>77</v>
      </c>
      <c r="D627" s="3817" t="s">
        <v>3494</v>
      </c>
      <c r="E627" s="3817" t="s">
        <v>3442</v>
      </c>
      <c r="F627" s="3817">
        <v>0</v>
      </c>
      <c r="G627" s="3817" t="s">
        <v>3443</v>
      </c>
      <c r="H627" s="3817">
        <v>358</v>
      </c>
      <c r="I627" s="3817">
        <v>46229</v>
      </c>
    </row>
    <row r="628" spans="1:9" hidden="1">
      <c r="A628" s="3819">
        <v>43940</v>
      </c>
      <c r="B628" s="3817" t="s">
        <v>3449</v>
      </c>
      <c r="C628" s="3817">
        <v>76</v>
      </c>
      <c r="D628" s="3817" t="s">
        <v>3490</v>
      </c>
      <c r="E628" s="3817" t="s">
        <v>3498</v>
      </c>
      <c r="F628" s="3817">
        <v>399</v>
      </c>
      <c r="G628" s="3819">
        <v>43876</v>
      </c>
      <c r="H628" s="3817">
        <v>390</v>
      </c>
      <c r="I628" s="3817">
        <v>50716</v>
      </c>
    </row>
    <row r="629" spans="1:9" hidden="1">
      <c r="A629" s="3819">
        <v>43940</v>
      </c>
      <c r="B629" s="3817" t="s">
        <v>3444</v>
      </c>
      <c r="C629" s="3817">
        <v>53</v>
      </c>
      <c r="D629" s="3817" t="s">
        <v>3497</v>
      </c>
      <c r="E629" s="3817" t="s">
        <v>3512</v>
      </c>
      <c r="F629" s="3817">
        <v>305</v>
      </c>
      <c r="G629" s="3819">
        <v>43716</v>
      </c>
      <c r="H629" s="3817">
        <v>297</v>
      </c>
      <c r="I629" s="3817">
        <v>55442</v>
      </c>
    </row>
    <row r="630" spans="1:9" hidden="1">
      <c r="A630" s="3819">
        <v>43938</v>
      </c>
      <c r="B630" s="3817" t="s">
        <v>3471</v>
      </c>
      <c r="C630" s="3817">
        <v>40</v>
      </c>
      <c r="D630" s="3817" t="s">
        <v>3497</v>
      </c>
      <c r="E630" s="3817" t="s">
        <v>3429</v>
      </c>
      <c r="F630" s="3817">
        <v>218</v>
      </c>
      <c r="G630" s="3819">
        <v>43796</v>
      </c>
      <c r="H630" s="3817">
        <v>208</v>
      </c>
      <c r="I630" s="3817">
        <v>51106</v>
      </c>
    </row>
    <row r="631" spans="1:9" hidden="1">
      <c r="A631" s="3819">
        <v>43933</v>
      </c>
      <c r="B631" s="3817" t="s">
        <v>3441</v>
      </c>
      <c r="C631" s="3817">
        <v>61</v>
      </c>
      <c r="D631" s="3817" t="s">
        <v>3490</v>
      </c>
      <c r="E631" s="3817" t="s">
        <v>3429</v>
      </c>
      <c r="F631" s="3817">
        <v>0</v>
      </c>
      <c r="G631" s="3817" t="s">
        <v>3443</v>
      </c>
      <c r="H631" s="3817">
        <v>298</v>
      </c>
      <c r="I631" s="3817">
        <v>48613</v>
      </c>
    </row>
    <row r="632" spans="1:9" hidden="1">
      <c r="A632" s="3819">
        <v>43933</v>
      </c>
      <c r="B632" s="3817" t="s">
        <v>3444</v>
      </c>
      <c r="C632" s="3817">
        <v>54</v>
      </c>
      <c r="D632" s="3817" t="s">
        <v>3533</v>
      </c>
      <c r="E632" s="3817" t="s">
        <v>3453</v>
      </c>
      <c r="F632" s="3817">
        <v>298</v>
      </c>
      <c r="G632" s="3819">
        <v>43775</v>
      </c>
      <c r="H632" s="3817">
        <v>290</v>
      </c>
      <c r="I632" s="3817">
        <v>53704</v>
      </c>
    </row>
    <row r="633" spans="1:9" hidden="1">
      <c r="A633" s="3819">
        <v>43930</v>
      </c>
      <c r="B633" s="3817" t="s">
        <v>3448</v>
      </c>
      <c r="C633" s="3817">
        <v>41</v>
      </c>
      <c r="D633" s="3817" t="s">
        <v>3490</v>
      </c>
      <c r="E633" s="3817" t="s">
        <v>3429</v>
      </c>
      <c r="F633" s="3817">
        <v>0</v>
      </c>
      <c r="G633" s="3817" t="s">
        <v>3443</v>
      </c>
      <c r="H633" s="3817">
        <v>208</v>
      </c>
      <c r="I633" s="3817">
        <v>49880</v>
      </c>
    </row>
    <row r="634" spans="1:9" hidden="1">
      <c r="A634" s="3819">
        <v>43928</v>
      </c>
      <c r="B634" s="3817" t="s">
        <v>3444</v>
      </c>
      <c r="C634" s="3817">
        <v>54</v>
      </c>
      <c r="D634" s="3817" t="s">
        <v>3491</v>
      </c>
      <c r="E634" s="3817" t="s">
        <v>3512</v>
      </c>
      <c r="F634" s="3817">
        <v>293</v>
      </c>
      <c r="G634" s="3819">
        <v>43921</v>
      </c>
      <c r="H634" s="3817">
        <v>287</v>
      </c>
      <c r="I634" s="3817">
        <v>53041</v>
      </c>
    </row>
    <row r="635" spans="1:9" hidden="1">
      <c r="A635" s="3819">
        <v>43925</v>
      </c>
      <c r="B635" s="3817" t="s">
        <v>3449</v>
      </c>
      <c r="C635" s="3817">
        <v>73</v>
      </c>
      <c r="D635" s="3817" t="s">
        <v>3496</v>
      </c>
      <c r="E635" s="3817" t="s">
        <v>3428</v>
      </c>
      <c r="F635" s="3817">
        <v>362</v>
      </c>
      <c r="G635" s="3819">
        <v>43890</v>
      </c>
      <c r="H635" s="3817">
        <v>362</v>
      </c>
      <c r="I635" s="3817">
        <v>49165</v>
      </c>
    </row>
    <row r="636" spans="1:9" hidden="1">
      <c r="A636" s="3819">
        <v>43925</v>
      </c>
      <c r="B636" s="3817" t="s">
        <v>3444</v>
      </c>
      <c r="C636" s="3817">
        <v>52</v>
      </c>
      <c r="D636" s="3817" t="s">
        <v>3530</v>
      </c>
      <c r="E636" s="3817" t="s">
        <v>3453</v>
      </c>
      <c r="F636" s="3817">
        <v>295</v>
      </c>
      <c r="G636" s="3819">
        <v>43870</v>
      </c>
      <c r="H636" s="3817">
        <v>285</v>
      </c>
      <c r="I636" s="3817">
        <v>54286</v>
      </c>
    </row>
    <row r="637" spans="1:9" hidden="1">
      <c r="A637" s="3819">
        <v>43922</v>
      </c>
      <c r="B637" s="3817" t="s">
        <v>3444</v>
      </c>
      <c r="C637" s="3817">
        <v>73</v>
      </c>
      <c r="D637" s="3817" t="s">
        <v>3496</v>
      </c>
      <c r="E637" s="3817" t="s">
        <v>3460</v>
      </c>
      <c r="F637" s="3817">
        <v>360</v>
      </c>
      <c r="G637" s="3819">
        <v>43770</v>
      </c>
      <c r="H637" s="3817">
        <v>350</v>
      </c>
      <c r="I637" s="3817">
        <v>47490</v>
      </c>
    </row>
    <row r="638" spans="1:9" hidden="1">
      <c r="A638" s="3819">
        <v>43919</v>
      </c>
      <c r="B638" s="3817" t="s">
        <v>3444</v>
      </c>
      <c r="C638" s="3817">
        <v>68</v>
      </c>
      <c r="D638" s="3817" t="s">
        <v>3455</v>
      </c>
      <c r="E638" s="3817" t="s">
        <v>3453</v>
      </c>
      <c r="F638" s="3817">
        <v>123</v>
      </c>
      <c r="G638" s="3819">
        <v>43918</v>
      </c>
      <c r="H638" s="3817">
        <v>123</v>
      </c>
      <c r="I638" s="3817">
        <v>17961</v>
      </c>
    </row>
    <row r="639" spans="1:9" hidden="1">
      <c r="A639" s="3819">
        <v>43919</v>
      </c>
      <c r="B639" s="3817" t="s">
        <v>3441</v>
      </c>
      <c r="C639" s="3817">
        <v>54</v>
      </c>
      <c r="D639" s="3817" t="s">
        <v>3491</v>
      </c>
      <c r="E639" s="3817" t="s">
        <v>3468</v>
      </c>
      <c r="F639" s="3817">
        <v>0</v>
      </c>
      <c r="G639" s="3817" t="s">
        <v>3443</v>
      </c>
      <c r="H639" s="3817">
        <v>302</v>
      </c>
      <c r="I639" s="3817">
        <v>55771</v>
      </c>
    </row>
    <row r="640" spans="1:9" hidden="1">
      <c r="A640" s="3819">
        <v>43919</v>
      </c>
      <c r="B640" s="3817" t="s">
        <v>3444</v>
      </c>
      <c r="C640" s="3817">
        <v>58</v>
      </c>
      <c r="D640" s="3817" t="s">
        <v>3533</v>
      </c>
      <c r="E640" s="3817" t="s">
        <v>3453</v>
      </c>
      <c r="F640" s="3817">
        <v>299</v>
      </c>
      <c r="G640" s="3819">
        <v>43835</v>
      </c>
      <c r="H640" s="3817">
        <v>285</v>
      </c>
      <c r="I640" s="3817">
        <v>48552</v>
      </c>
    </row>
    <row r="641" spans="1:9" hidden="1">
      <c r="A641" s="3819">
        <v>43905</v>
      </c>
      <c r="B641" s="3817" t="s">
        <v>3449</v>
      </c>
      <c r="C641" s="3817">
        <v>70</v>
      </c>
      <c r="D641" s="3817" t="s">
        <v>3456</v>
      </c>
      <c r="E641" s="3817" t="s">
        <v>3457</v>
      </c>
      <c r="F641" s="3817">
        <v>345</v>
      </c>
      <c r="G641" s="3819">
        <v>43763</v>
      </c>
      <c r="H641" s="3817">
        <v>325</v>
      </c>
      <c r="I641" s="3817">
        <v>46415</v>
      </c>
    </row>
    <row r="642" spans="1:9" hidden="1">
      <c r="A642" s="3819">
        <v>43905</v>
      </c>
      <c r="B642" s="3817" t="s">
        <v>3441</v>
      </c>
      <c r="C642" s="3817">
        <v>55</v>
      </c>
      <c r="D642" s="3817" t="s">
        <v>3490</v>
      </c>
      <c r="E642" s="3820"/>
      <c r="F642" s="3817">
        <v>0</v>
      </c>
      <c r="G642" s="3817" t="s">
        <v>3443</v>
      </c>
      <c r="H642" s="3817">
        <v>312</v>
      </c>
      <c r="I642" s="3817">
        <v>56563</v>
      </c>
    </row>
    <row r="643" spans="1:9" hidden="1">
      <c r="A643" s="3819">
        <v>43905</v>
      </c>
      <c r="B643" s="3817" t="s">
        <v>3444</v>
      </c>
      <c r="C643" s="3817">
        <v>55</v>
      </c>
      <c r="D643" s="3817" t="s">
        <v>3491</v>
      </c>
      <c r="E643" s="3817" t="s">
        <v>3512</v>
      </c>
      <c r="F643" s="3817">
        <v>286</v>
      </c>
      <c r="G643" s="3819">
        <v>43805</v>
      </c>
      <c r="H643" s="3817">
        <v>280</v>
      </c>
      <c r="I643" s="3817">
        <v>50910</v>
      </c>
    </row>
    <row r="644" spans="1:9" hidden="1">
      <c r="A644" s="3819">
        <v>43895</v>
      </c>
      <c r="B644" s="3817" t="s">
        <v>3441</v>
      </c>
      <c r="C644" s="3817">
        <v>77</v>
      </c>
      <c r="D644" s="3817" t="s">
        <v>3494</v>
      </c>
      <c r="E644" s="3817" t="s">
        <v>3442</v>
      </c>
      <c r="F644" s="3817">
        <v>0</v>
      </c>
      <c r="G644" s="3817" t="s">
        <v>3443</v>
      </c>
      <c r="H644" s="3817">
        <v>362</v>
      </c>
      <c r="I644" s="3817">
        <v>46746</v>
      </c>
    </row>
    <row r="645" spans="1:9" hidden="1">
      <c r="A645" s="3819">
        <v>43877</v>
      </c>
      <c r="B645" s="3817" t="s">
        <v>3444</v>
      </c>
      <c r="C645" s="3817">
        <v>57</v>
      </c>
      <c r="D645" s="3817" t="s">
        <v>3490</v>
      </c>
      <c r="E645" s="3817" t="s">
        <v>3453</v>
      </c>
      <c r="F645" s="3817">
        <v>275</v>
      </c>
      <c r="G645" s="3819">
        <v>43597</v>
      </c>
      <c r="H645" s="3817">
        <v>268</v>
      </c>
      <c r="I645" s="3817">
        <v>46854</v>
      </c>
    </row>
    <row r="646" spans="1:9" hidden="1">
      <c r="A646" s="3819">
        <v>43847</v>
      </c>
      <c r="B646" s="3817" t="s">
        <v>3444</v>
      </c>
      <c r="C646" s="3817">
        <v>64</v>
      </c>
      <c r="D646" s="3817" t="s">
        <v>3496</v>
      </c>
      <c r="E646" s="3817" t="s">
        <v>3429</v>
      </c>
      <c r="F646" s="3817">
        <v>385</v>
      </c>
      <c r="G646" s="3819">
        <v>43676</v>
      </c>
      <c r="H646" s="3817">
        <v>376</v>
      </c>
      <c r="I646" s="3817">
        <v>58016</v>
      </c>
    </row>
    <row r="647" spans="1:9" hidden="1">
      <c r="A647" s="3819">
        <v>43841</v>
      </c>
      <c r="B647" s="3817" t="s">
        <v>3441</v>
      </c>
      <c r="C647" s="3817">
        <v>54</v>
      </c>
      <c r="D647" s="3817" t="s">
        <v>3490</v>
      </c>
      <c r="E647" s="3817" t="s">
        <v>3512</v>
      </c>
      <c r="F647" s="3817">
        <v>0</v>
      </c>
      <c r="G647" s="3817" t="s">
        <v>3443</v>
      </c>
      <c r="H647" s="3817">
        <v>282</v>
      </c>
      <c r="I647" s="3817">
        <v>52116</v>
      </c>
    </row>
    <row r="648" spans="1:9" hidden="1">
      <c r="A648" s="3819">
        <v>43838</v>
      </c>
      <c r="B648" s="3817" t="s">
        <v>3444</v>
      </c>
      <c r="C648" s="3817">
        <v>57</v>
      </c>
      <c r="D648" s="3817" t="s">
        <v>3490</v>
      </c>
      <c r="E648" s="3817" t="s">
        <v>3453</v>
      </c>
      <c r="F648" s="3817">
        <v>308</v>
      </c>
      <c r="G648" s="3819">
        <v>43818</v>
      </c>
      <c r="H648" s="3817">
        <v>305</v>
      </c>
      <c r="I648" s="3817">
        <v>53410</v>
      </c>
    </row>
    <row r="649" spans="1:9" hidden="1">
      <c r="A649" s="3819">
        <v>43836</v>
      </c>
      <c r="B649" s="3817" t="s">
        <v>3449</v>
      </c>
      <c r="C649" s="3817">
        <v>69</v>
      </c>
      <c r="D649" s="3817" t="s">
        <v>3491</v>
      </c>
      <c r="E649" s="3817" t="s">
        <v>3453</v>
      </c>
      <c r="F649" s="3817">
        <v>399</v>
      </c>
      <c r="G649" s="3819">
        <v>43788</v>
      </c>
      <c r="H649" s="3817">
        <v>388</v>
      </c>
      <c r="I649" s="3817">
        <v>55445</v>
      </c>
    </row>
    <row r="650" spans="1:9" hidden="1">
      <c r="A650" s="3819">
        <v>43835</v>
      </c>
      <c r="B650" s="3817" t="s">
        <v>3441</v>
      </c>
      <c r="C650" s="3817">
        <v>59</v>
      </c>
      <c r="D650" s="3817" t="s">
        <v>3491</v>
      </c>
      <c r="E650" s="3817" t="s">
        <v>3505</v>
      </c>
      <c r="F650" s="3817">
        <v>0</v>
      </c>
      <c r="G650" s="3817" t="s">
        <v>3443</v>
      </c>
      <c r="H650" s="3817">
        <v>296</v>
      </c>
      <c r="I650" s="3817">
        <v>49765</v>
      </c>
    </row>
    <row r="651" spans="1:9" hidden="1">
      <c r="A651" s="3819">
        <v>43834</v>
      </c>
      <c r="B651" s="3817" t="s">
        <v>3449</v>
      </c>
      <c r="C651" s="3817">
        <v>69</v>
      </c>
      <c r="D651" s="3817" t="s">
        <v>3497</v>
      </c>
      <c r="E651" s="3817" t="s">
        <v>3453</v>
      </c>
      <c r="F651" s="3817">
        <v>385</v>
      </c>
      <c r="G651" s="3819">
        <v>43814</v>
      </c>
      <c r="H651" s="3817">
        <v>376</v>
      </c>
      <c r="I651" s="3817">
        <v>54414</v>
      </c>
    </row>
    <row r="652" spans="1:9" hidden="1">
      <c r="A652" s="3819">
        <v>43830</v>
      </c>
      <c r="B652" s="3817" t="s">
        <v>3444</v>
      </c>
      <c r="C652" s="3817">
        <v>54</v>
      </c>
      <c r="D652" s="3817" t="s">
        <v>3491</v>
      </c>
      <c r="E652" s="3817" t="s">
        <v>3453</v>
      </c>
      <c r="F652" s="3817">
        <v>316</v>
      </c>
      <c r="G652" s="3819">
        <v>43754</v>
      </c>
      <c r="H652" s="3817">
        <v>310</v>
      </c>
      <c r="I652" s="3817">
        <v>57291</v>
      </c>
    </row>
    <row r="653" spans="1:9" hidden="1">
      <c r="A653" s="3819">
        <v>43830</v>
      </c>
      <c r="B653" s="3817" t="s">
        <v>3444</v>
      </c>
      <c r="C653" s="3817">
        <v>61</v>
      </c>
      <c r="D653" s="3817" t="s">
        <v>3518</v>
      </c>
      <c r="E653" s="3817" t="s">
        <v>3464</v>
      </c>
      <c r="F653" s="3817">
        <v>400</v>
      </c>
      <c r="G653" s="3819">
        <v>43744</v>
      </c>
      <c r="H653" s="3817">
        <v>389</v>
      </c>
      <c r="I653" s="3817">
        <v>63048</v>
      </c>
    </row>
    <row r="654" spans="1:9" hidden="1">
      <c r="A654" s="3819">
        <v>43830</v>
      </c>
      <c r="B654" s="3817" t="s">
        <v>3449</v>
      </c>
      <c r="C654" s="3817">
        <v>76</v>
      </c>
      <c r="D654" s="3817" t="s">
        <v>3490</v>
      </c>
      <c r="E654" s="3817" t="s">
        <v>3453</v>
      </c>
      <c r="F654" s="3817">
        <v>365</v>
      </c>
      <c r="G654" s="3819">
        <v>43822</v>
      </c>
      <c r="H654" s="3817">
        <v>360</v>
      </c>
      <c r="I654" s="3817">
        <v>46815</v>
      </c>
    </row>
    <row r="655" spans="1:9" hidden="1">
      <c r="A655" s="3819">
        <v>43829</v>
      </c>
      <c r="B655" s="3817" t="s">
        <v>3441</v>
      </c>
      <c r="C655" s="3817">
        <v>77</v>
      </c>
      <c r="D655" s="3817" t="s">
        <v>3532</v>
      </c>
      <c r="E655" s="3817" t="s">
        <v>3463</v>
      </c>
      <c r="F655" s="3817">
        <v>0</v>
      </c>
      <c r="G655" s="3820"/>
      <c r="H655" s="3817">
        <v>333</v>
      </c>
      <c r="I655" s="3817">
        <v>43001</v>
      </c>
    </row>
    <row r="656" spans="1:9" hidden="1">
      <c r="A656" s="3819">
        <v>43829</v>
      </c>
      <c r="B656" s="3817" t="s">
        <v>3444</v>
      </c>
      <c r="C656" s="3817">
        <v>54</v>
      </c>
      <c r="D656" s="3817" t="s">
        <v>3533</v>
      </c>
      <c r="E656" s="3817" t="s">
        <v>3453</v>
      </c>
      <c r="F656" s="3817">
        <v>298</v>
      </c>
      <c r="G656" s="3819">
        <v>43725</v>
      </c>
      <c r="H656" s="3817">
        <v>288</v>
      </c>
      <c r="I656" s="3817">
        <v>52858</v>
      </c>
    </row>
    <row r="657" spans="1:9" hidden="1">
      <c r="A657" s="3819">
        <v>43819</v>
      </c>
      <c r="B657" s="3817" t="s">
        <v>3444</v>
      </c>
      <c r="C657" s="3817">
        <v>56</v>
      </c>
      <c r="D657" s="3817" t="s">
        <v>3490</v>
      </c>
      <c r="E657" s="3817" t="s">
        <v>3453</v>
      </c>
      <c r="F657" s="3817">
        <v>318</v>
      </c>
      <c r="G657" s="3819">
        <v>43751</v>
      </c>
      <c r="H657" s="3817">
        <v>300</v>
      </c>
      <c r="I657" s="3817">
        <v>53381</v>
      </c>
    </row>
    <row r="658" spans="1:9" hidden="1">
      <c r="A658" s="3819">
        <v>43817</v>
      </c>
      <c r="B658" s="3817" t="s">
        <v>3444</v>
      </c>
      <c r="C658" s="3817">
        <v>62</v>
      </c>
      <c r="D658" s="3817" t="s">
        <v>3496</v>
      </c>
      <c r="E658" s="3817" t="s">
        <v>3469</v>
      </c>
      <c r="F658" s="3817">
        <v>360</v>
      </c>
      <c r="G658" s="3819">
        <v>43800</v>
      </c>
      <c r="H658" s="3817">
        <v>348</v>
      </c>
      <c r="I658" s="3817">
        <v>55547</v>
      </c>
    </row>
    <row r="659" spans="1:9" hidden="1">
      <c r="A659" s="3819">
        <v>43816</v>
      </c>
      <c r="B659" s="3817" t="s">
        <v>3444</v>
      </c>
      <c r="C659" s="3817">
        <v>62</v>
      </c>
      <c r="D659" s="3817" t="s">
        <v>3496</v>
      </c>
      <c r="E659" s="3817" t="s">
        <v>3464</v>
      </c>
      <c r="F659" s="3817">
        <v>388</v>
      </c>
      <c r="G659" s="3819">
        <v>43786</v>
      </c>
      <c r="H659" s="3817">
        <v>376</v>
      </c>
      <c r="I659" s="3817">
        <v>60587</v>
      </c>
    </row>
    <row r="660" spans="1:9" hidden="1">
      <c r="A660" s="3819">
        <v>43811</v>
      </c>
      <c r="B660" s="3817" t="s">
        <v>3441</v>
      </c>
      <c r="C660" s="3817">
        <v>69</v>
      </c>
      <c r="D660" s="3817" t="s">
        <v>3490</v>
      </c>
      <c r="E660" s="3817" t="s">
        <v>3460</v>
      </c>
      <c r="F660" s="3817">
        <v>0</v>
      </c>
      <c r="G660" s="3820"/>
      <c r="H660" s="3817">
        <v>305</v>
      </c>
      <c r="I660" s="3817">
        <v>43734</v>
      </c>
    </row>
    <row r="661" spans="1:9" hidden="1">
      <c r="A661" s="3819">
        <v>43811</v>
      </c>
      <c r="B661" s="3817" t="s">
        <v>3444</v>
      </c>
      <c r="C661" s="3817">
        <v>49</v>
      </c>
      <c r="D661" s="3817" t="s">
        <v>3530</v>
      </c>
      <c r="E661" s="3817" t="s">
        <v>3453</v>
      </c>
      <c r="F661" s="3817">
        <v>318</v>
      </c>
      <c r="G661" s="3819">
        <v>43603</v>
      </c>
      <c r="H661" s="3817">
        <v>300</v>
      </c>
      <c r="I661" s="3817">
        <v>60472</v>
      </c>
    </row>
    <row r="662" spans="1:9" hidden="1">
      <c r="A662" s="3819">
        <v>43810</v>
      </c>
      <c r="B662" s="3817" t="s">
        <v>3444</v>
      </c>
      <c r="C662" s="3817">
        <v>58</v>
      </c>
      <c r="D662" s="3817" t="s">
        <v>3533</v>
      </c>
      <c r="E662" s="3817" t="s">
        <v>3453</v>
      </c>
      <c r="F662" s="3817">
        <v>298</v>
      </c>
      <c r="G662" s="3819">
        <v>43533</v>
      </c>
      <c r="H662" s="3817">
        <v>280</v>
      </c>
      <c r="I662" s="3817">
        <v>47620</v>
      </c>
    </row>
    <row r="663" spans="1:9" hidden="1">
      <c r="A663" s="3819">
        <v>43809</v>
      </c>
      <c r="B663" s="3817" t="s">
        <v>3471</v>
      </c>
      <c r="C663" s="3817">
        <v>42</v>
      </c>
      <c r="D663" s="3817" t="s">
        <v>3533</v>
      </c>
      <c r="E663" s="3817" t="s">
        <v>3453</v>
      </c>
      <c r="F663" s="3817">
        <v>235</v>
      </c>
      <c r="G663" s="3819">
        <v>43694</v>
      </c>
      <c r="H663" s="3817">
        <v>228</v>
      </c>
      <c r="I663" s="3817">
        <v>53147</v>
      </c>
    </row>
    <row r="664" spans="1:9" hidden="1">
      <c r="A664" s="3819">
        <v>43808</v>
      </c>
      <c r="B664" s="3817" t="s">
        <v>3444</v>
      </c>
      <c r="C664" s="3817">
        <v>64</v>
      </c>
      <c r="D664" s="3817" t="s">
        <v>3518</v>
      </c>
      <c r="E664" s="3817" t="s">
        <v>3429</v>
      </c>
      <c r="F664" s="3817">
        <v>375</v>
      </c>
      <c r="G664" s="3819">
        <v>43594</v>
      </c>
      <c r="H664" s="3817">
        <v>367</v>
      </c>
      <c r="I664" s="3817">
        <v>56628</v>
      </c>
    </row>
    <row r="665" spans="1:9" hidden="1">
      <c r="A665" s="3819">
        <v>43808</v>
      </c>
      <c r="B665" s="3817" t="s">
        <v>3449</v>
      </c>
      <c r="C665" s="3817">
        <v>69</v>
      </c>
      <c r="D665" s="3817" t="s">
        <v>3497</v>
      </c>
      <c r="E665" s="3817" t="s">
        <v>3453</v>
      </c>
      <c r="F665" s="3817">
        <v>399</v>
      </c>
      <c r="G665" s="3819">
        <v>43667</v>
      </c>
      <c r="H665" s="3817">
        <v>383</v>
      </c>
      <c r="I665" s="3817">
        <v>55275</v>
      </c>
    </row>
    <row r="666" spans="1:9" hidden="1">
      <c r="A666" s="3819">
        <v>43807</v>
      </c>
      <c r="B666" s="3817" t="s">
        <v>3444</v>
      </c>
      <c r="C666" s="3817">
        <v>57</v>
      </c>
      <c r="D666" s="3817" t="s">
        <v>3491</v>
      </c>
      <c r="E666" s="3817" t="s">
        <v>3453</v>
      </c>
      <c r="F666" s="3817">
        <v>328</v>
      </c>
      <c r="G666" s="3819">
        <v>43789</v>
      </c>
      <c r="H666" s="3817">
        <v>306</v>
      </c>
      <c r="I666" s="3817">
        <v>53311</v>
      </c>
    </row>
    <row r="667" spans="1:9" hidden="1">
      <c r="A667" s="3819">
        <v>43807</v>
      </c>
      <c r="B667" s="3817" t="s">
        <v>3444</v>
      </c>
      <c r="C667" s="3817">
        <v>62</v>
      </c>
      <c r="D667" s="3817" t="s">
        <v>3490</v>
      </c>
      <c r="E667" s="3817" t="s">
        <v>3492</v>
      </c>
      <c r="F667" s="3817">
        <v>285</v>
      </c>
      <c r="G667" s="3819">
        <v>43741</v>
      </c>
      <c r="H667" s="3817">
        <v>268</v>
      </c>
      <c r="I667" s="3817">
        <v>42791</v>
      </c>
    </row>
    <row r="668" spans="1:9" hidden="1">
      <c r="A668" s="3819">
        <v>43799</v>
      </c>
      <c r="B668" s="3817" t="s">
        <v>3441</v>
      </c>
      <c r="C668" s="3817">
        <v>49</v>
      </c>
      <c r="D668" s="3817" t="s">
        <v>3491</v>
      </c>
      <c r="E668" s="3817" t="s">
        <v>3460</v>
      </c>
      <c r="F668" s="3817">
        <v>0</v>
      </c>
      <c r="G668" s="3820"/>
      <c r="H668" s="3817">
        <v>265</v>
      </c>
      <c r="I668" s="3817">
        <v>53492</v>
      </c>
    </row>
    <row r="669" spans="1:9" hidden="1">
      <c r="A669" s="3819">
        <v>43787</v>
      </c>
      <c r="B669" s="3817" t="s">
        <v>3449</v>
      </c>
      <c r="C669" s="3817">
        <v>69</v>
      </c>
      <c r="D669" s="3817" t="s">
        <v>3490</v>
      </c>
      <c r="E669" s="3817" t="s">
        <v>3453</v>
      </c>
      <c r="F669" s="3817">
        <v>384</v>
      </c>
      <c r="G669" s="3819">
        <v>43724</v>
      </c>
      <c r="H669" s="3817">
        <v>376</v>
      </c>
      <c r="I669" s="3817">
        <v>54493</v>
      </c>
    </row>
    <row r="670" spans="1:9" hidden="1">
      <c r="A670" s="3819">
        <v>43779</v>
      </c>
      <c r="B670" s="3817" t="s">
        <v>3449</v>
      </c>
      <c r="C670" s="3817">
        <v>76</v>
      </c>
      <c r="D670" s="3817" t="s">
        <v>3491</v>
      </c>
      <c r="E670" s="3817" t="s">
        <v>3453</v>
      </c>
      <c r="F670" s="3817">
        <v>380</v>
      </c>
      <c r="G670" s="3819">
        <v>43524</v>
      </c>
      <c r="H670" s="3817">
        <v>368</v>
      </c>
      <c r="I670" s="3817">
        <v>47855</v>
      </c>
    </row>
    <row r="671" spans="1:9" hidden="1">
      <c r="A671" s="3819">
        <v>43771</v>
      </c>
      <c r="B671" s="3817" t="s">
        <v>3444</v>
      </c>
      <c r="C671" s="3817">
        <v>57</v>
      </c>
      <c r="D671" s="3817" t="s">
        <v>3490</v>
      </c>
      <c r="E671" s="3817" t="s">
        <v>3453</v>
      </c>
      <c r="F671" s="3817">
        <v>286</v>
      </c>
      <c r="G671" s="3819">
        <v>43584</v>
      </c>
      <c r="H671" s="3817">
        <v>275</v>
      </c>
      <c r="I671" s="3817">
        <v>47910</v>
      </c>
    </row>
    <row r="672" spans="1:9" hidden="1">
      <c r="A672" s="3819">
        <v>43768</v>
      </c>
      <c r="B672" s="3817" t="s">
        <v>3471</v>
      </c>
      <c r="C672" s="3817">
        <v>44</v>
      </c>
      <c r="D672" s="3817" t="s">
        <v>3530</v>
      </c>
      <c r="E672" s="3817" t="s">
        <v>3429</v>
      </c>
      <c r="F672" s="3817">
        <v>257</v>
      </c>
      <c r="G672" s="3819">
        <v>43761</v>
      </c>
      <c r="H672" s="3817">
        <v>235</v>
      </c>
      <c r="I672" s="3817">
        <v>52940</v>
      </c>
    </row>
    <row r="673" spans="1:9" hidden="1">
      <c r="A673" s="3819">
        <v>43765</v>
      </c>
      <c r="B673" s="3817" t="s">
        <v>3471</v>
      </c>
      <c r="C673" s="3817">
        <v>42</v>
      </c>
      <c r="D673" s="3817" t="s">
        <v>3491</v>
      </c>
      <c r="E673" s="3817" t="s">
        <v>3429</v>
      </c>
      <c r="F673" s="3817">
        <v>260</v>
      </c>
      <c r="G673" s="3819">
        <v>43752</v>
      </c>
      <c r="H673" s="3817">
        <v>248</v>
      </c>
      <c r="I673" s="3817">
        <v>57809</v>
      </c>
    </row>
    <row r="674" spans="1:9" hidden="1">
      <c r="A674" s="3819">
        <v>43765</v>
      </c>
      <c r="B674" s="3817" t="s">
        <v>3441</v>
      </c>
      <c r="C674" s="3817">
        <v>64</v>
      </c>
      <c r="D674" s="3817" t="s">
        <v>3496</v>
      </c>
      <c r="E674" s="3817" t="s">
        <v>3429</v>
      </c>
      <c r="F674" s="3817">
        <v>0</v>
      </c>
      <c r="G674" s="3820"/>
      <c r="H674" s="3817">
        <v>405</v>
      </c>
      <c r="I674" s="3817">
        <v>62490</v>
      </c>
    </row>
    <row r="675" spans="1:9" hidden="1">
      <c r="A675" s="3819">
        <v>43764</v>
      </c>
      <c r="B675" s="3817" t="s">
        <v>3444</v>
      </c>
      <c r="C675" s="3817">
        <v>56</v>
      </c>
      <c r="D675" s="3817" t="s">
        <v>3490</v>
      </c>
      <c r="E675" s="3817" t="s">
        <v>3453</v>
      </c>
      <c r="F675" s="3817">
        <v>330</v>
      </c>
      <c r="G675" s="3819">
        <v>43706</v>
      </c>
      <c r="H675" s="3817">
        <v>315</v>
      </c>
      <c r="I675" s="3817">
        <v>55390</v>
      </c>
    </row>
    <row r="676" spans="1:9" hidden="1">
      <c r="A676" s="3819">
        <v>43762</v>
      </c>
      <c r="B676" s="3817" t="s">
        <v>3449</v>
      </c>
      <c r="C676" s="3817">
        <v>77</v>
      </c>
      <c r="D676" s="3817" t="s">
        <v>3497</v>
      </c>
      <c r="E676" s="3817" t="s">
        <v>3458</v>
      </c>
      <c r="F676" s="3817">
        <v>400</v>
      </c>
      <c r="G676" s="3819">
        <v>43584</v>
      </c>
      <c r="H676" s="3817">
        <v>370</v>
      </c>
      <c r="I676" s="3817">
        <v>47681</v>
      </c>
    </row>
    <row r="677" spans="1:9" hidden="1">
      <c r="A677" s="3819">
        <v>43753</v>
      </c>
      <c r="B677" s="3817" t="s">
        <v>3444</v>
      </c>
      <c r="C677" s="3817">
        <v>69</v>
      </c>
      <c r="D677" s="3817" t="s">
        <v>3496</v>
      </c>
      <c r="E677" s="3817" t="s">
        <v>3464</v>
      </c>
      <c r="F677" s="3817">
        <v>399</v>
      </c>
      <c r="G677" s="3819">
        <v>43706</v>
      </c>
      <c r="H677" s="3817">
        <v>376</v>
      </c>
      <c r="I677" s="3817">
        <v>54462</v>
      </c>
    </row>
    <row r="678" spans="1:9" hidden="1">
      <c r="A678" s="3819">
        <v>43746</v>
      </c>
      <c r="B678" s="3817" t="s">
        <v>3444</v>
      </c>
      <c r="C678" s="3817">
        <v>57</v>
      </c>
      <c r="D678" s="3817" t="s">
        <v>3491</v>
      </c>
      <c r="E678" s="3817" t="s">
        <v>3453</v>
      </c>
      <c r="F678" s="3817">
        <v>335</v>
      </c>
      <c r="G678" s="3819">
        <v>43697</v>
      </c>
      <c r="H678" s="3817">
        <v>317</v>
      </c>
      <c r="I678" s="3817">
        <v>55035</v>
      </c>
    </row>
    <row r="679" spans="1:9" hidden="1">
      <c r="A679" s="3819">
        <v>43737</v>
      </c>
      <c r="B679" s="3817" t="s">
        <v>3441</v>
      </c>
      <c r="C679" s="3817">
        <v>77</v>
      </c>
      <c r="D679" s="3817" t="s">
        <v>3532</v>
      </c>
      <c r="E679" s="3817" t="s">
        <v>3442</v>
      </c>
      <c r="F679" s="3817">
        <v>0</v>
      </c>
      <c r="G679" s="3820"/>
      <c r="H679" s="3817">
        <v>330</v>
      </c>
      <c r="I679" s="3817">
        <v>42614</v>
      </c>
    </row>
    <row r="680" spans="1:9" hidden="1">
      <c r="A680" s="3819">
        <v>43733</v>
      </c>
      <c r="B680" s="3817" t="s">
        <v>3444</v>
      </c>
      <c r="C680" s="3817">
        <v>54</v>
      </c>
      <c r="D680" s="3817" t="s">
        <v>3533</v>
      </c>
      <c r="E680" s="3817" t="s">
        <v>3453</v>
      </c>
      <c r="F680" s="3817">
        <v>288</v>
      </c>
      <c r="G680" s="3819">
        <v>43716</v>
      </c>
      <c r="H680" s="3817">
        <v>280</v>
      </c>
      <c r="I680" s="3817">
        <v>51217</v>
      </c>
    </row>
    <row r="681" spans="1:9" hidden="1">
      <c r="A681" s="3819">
        <v>43716</v>
      </c>
      <c r="B681" s="3817" t="s">
        <v>3444</v>
      </c>
      <c r="C681" s="3817">
        <v>73</v>
      </c>
      <c r="D681" s="3817" t="s">
        <v>3538</v>
      </c>
      <c r="E681" s="3817" t="s">
        <v>3428</v>
      </c>
      <c r="F681" s="3817">
        <v>325</v>
      </c>
      <c r="G681" s="3819">
        <v>43553</v>
      </c>
      <c r="H681" s="3817">
        <v>303</v>
      </c>
      <c r="I681" s="3817">
        <v>41220</v>
      </c>
    </row>
    <row r="682" spans="1:9" hidden="1">
      <c r="A682" s="3819">
        <v>43712</v>
      </c>
      <c r="B682" s="3817" t="s">
        <v>3444</v>
      </c>
      <c r="C682" s="3817">
        <v>57</v>
      </c>
      <c r="D682" s="3817" t="s">
        <v>3497</v>
      </c>
      <c r="E682" s="3817" t="s">
        <v>3453</v>
      </c>
      <c r="F682" s="3817">
        <v>325</v>
      </c>
      <c r="G682" s="3819">
        <v>43695</v>
      </c>
      <c r="H682" s="3817">
        <v>320</v>
      </c>
      <c r="I682" s="3817">
        <v>55750</v>
      </c>
    </row>
    <row r="683" spans="1:9" hidden="1">
      <c r="A683" s="3819">
        <v>43702</v>
      </c>
      <c r="B683" s="3817" t="s">
        <v>3441</v>
      </c>
      <c r="C683" s="3817">
        <v>55</v>
      </c>
      <c r="D683" s="3817" t="s">
        <v>3491</v>
      </c>
      <c r="E683" s="3817" t="s">
        <v>3505</v>
      </c>
      <c r="F683" s="3817">
        <v>0</v>
      </c>
      <c r="G683" s="3820"/>
      <c r="H683" s="3817">
        <v>310</v>
      </c>
      <c r="I683" s="3817">
        <v>55957</v>
      </c>
    </row>
    <row r="684" spans="1:9" hidden="1">
      <c r="A684" s="3819">
        <v>43698</v>
      </c>
      <c r="B684" s="3817" t="s">
        <v>3449</v>
      </c>
      <c r="C684" s="3817">
        <v>69</v>
      </c>
      <c r="D684" s="3817" t="s">
        <v>3491</v>
      </c>
      <c r="E684" s="3817" t="s">
        <v>3453</v>
      </c>
      <c r="F684" s="3817">
        <v>412</v>
      </c>
      <c r="G684" s="3819">
        <v>43623</v>
      </c>
      <c r="H684" s="3817">
        <v>399</v>
      </c>
      <c r="I684" s="3817">
        <v>57295</v>
      </c>
    </row>
    <row r="685" spans="1:9" hidden="1">
      <c r="A685" s="3819">
        <v>43696</v>
      </c>
      <c r="B685" s="3817" t="s">
        <v>3444</v>
      </c>
      <c r="C685" s="3817">
        <v>57</v>
      </c>
      <c r="D685" s="3817" t="s">
        <v>3490</v>
      </c>
      <c r="E685" s="3817" t="s">
        <v>3453</v>
      </c>
      <c r="F685" s="3817">
        <v>319</v>
      </c>
      <c r="G685" s="3819">
        <v>43662</v>
      </c>
      <c r="H685" s="3817">
        <v>306</v>
      </c>
      <c r="I685" s="3817">
        <v>53311</v>
      </c>
    </row>
    <row r="686" spans="1:9" hidden="1">
      <c r="A686" s="3819">
        <v>43696</v>
      </c>
      <c r="B686" s="3817" t="s">
        <v>3449</v>
      </c>
      <c r="C686" s="3817">
        <v>68</v>
      </c>
      <c r="D686" s="3817" t="s">
        <v>3530</v>
      </c>
      <c r="E686" s="3817" t="s">
        <v>3453</v>
      </c>
      <c r="F686" s="3817">
        <v>450</v>
      </c>
      <c r="G686" s="3819">
        <v>43682</v>
      </c>
      <c r="H686" s="3817">
        <v>428</v>
      </c>
      <c r="I686" s="3817">
        <v>62877</v>
      </c>
    </row>
    <row r="687" spans="1:9" hidden="1">
      <c r="A687" s="3819">
        <v>43694</v>
      </c>
      <c r="B687" s="3817" t="s">
        <v>3448</v>
      </c>
      <c r="C687" s="3817">
        <v>57</v>
      </c>
      <c r="D687" s="3817" t="s">
        <v>3494</v>
      </c>
      <c r="E687" s="3817" t="s">
        <v>3463</v>
      </c>
      <c r="F687" s="3817">
        <v>0</v>
      </c>
      <c r="G687" s="3820"/>
      <c r="H687" s="3817">
        <v>267</v>
      </c>
      <c r="I687" s="3817">
        <v>46330</v>
      </c>
    </row>
    <row r="688" spans="1:9" hidden="1">
      <c r="A688" s="3819">
        <v>43681</v>
      </c>
      <c r="B688" s="3817" t="s">
        <v>3449</v>
      </c>
      <c r="C688" s="3817">
        <v>69</v>
      </c>
      <c r="D688" s="3817" t="s">
        <v>3491</v>
      </c>
      <c r="E688" s="3817" t="s">
        <v>3453</v>
      </c>
      <c r="F688" s="3817">
        <v>419</v>
      </c>
      <c r="G688" s="3819">
        <v>43662</v>
      </c>
      <c r="H688" s="3817">
        <v>408</v>
      </c>
      <c r="I688" s="3817">
        <v>59045</v>
      </c>
    </row>
    <row r="689" spans="1:9" hidden="1">
      <c r="A689" s="3819">
        <v>43680</v>
      </c>
      <c r="B689" s="3817" t="s">
        <v>3444</v>
      </c>
      <c r="C689" s="3817">
        <v>77</v>
      </c>
      <c r="D689" s="3817" t="s">
        <v>3499</v>
      </c>
      <c r="E689" s="3817" t="s">
        <v>3442</v>
      </c>
      <c r="F689" s="3817">
        <v>358</v>
      </c>
      <c r="G689" s="3819">
        <v>43043</v>
      </c>
      <c r="H689" s="3817">
        <v>340</v>
      </c>
      <c r="I689" s="3817">
        <v>43905</v>
      </c>
    </row>
    <row r="690" spans="1:9" hidden="1">
      <c r="A690" s="3819">
        <v>43675</v>
      </c>
      <c r="B690" s="3817" t="s">
        <v>3444</v>
      </c>
      <c r="C690" s="3817">
        <v>57</v>
      </c>
      <c r="D690" s="3817" t="s">
        <v>3533</v>
      </c>
      <c r="E690" s="3817" t="s">
        <v>3453</v>
      </c>
      <c r="F690" s="3817">
        <v>296</v>
      </c>
      <c r="G690" s="3819">
        <v>43578</v>
      </c>
      <c r="H690" s="3817">
        <v>291</v>
      </c>
      <c r="I690" s="3817">
        <v>50875</v>
      </c>
    </row>
    <row r="691" spans="1:9" hidden="1">
      <c r="A691" s="3819">
        <v>43673</v>
      </c>
      <c r="B691" s="3817" t="s">
        <v>3444</v>
      </c>
      <c r="C691" s="3817">
        <v>52</v>
      </c>
      <c r="D691" s="3817" t="s">
        <v>3530</v>
      </c>
      <c r="E691" s="3817" t="s">
        <v>3453</v>
      </c>
      <c r="F691" s="3817">
        <v>318</v>
      </c>
      <c r="G691" s="3819">
        <v>43628</v>
      </c>
      <c r="H691" s="3817">
        <v>300</v>
      </c>
      <c r="I691" s="3817">
        <v>57143</v>
      </c>
    </row>
    <row r="692" spans="1:9" hidden="1">
      <c r="A692" s="3819">
        <v>43655</v>
      </c>
      <c r="B692" s="3817" t="s">
        <v>3441</v>
      </c>
      <c r="C692" s="3817">
        <v>77</v>
      </c>
      <c r="D692" s="3817" t="s">
        <v>3539</v>
      </c>
      <c r="E692" s="3817" t="s">
        <v>3463</v>
      </c>
      <c r="F692" s="3817">
        <v>0</v>
      </c>
      <c r="G692" s="3820"/>
      <c r="H692" s="3817">
        <v>349</v>
      </c>
      <c r="I692" s="3817">
        <v>45067</v>
      </c>
    </row>
    <row r="693" spans="1:9" hidden="1">
      <c r="A693" s="3819">
        <v>43650</v>
      </c>
      <c r="B693" s="3817" t="s">
        <v>3444</v>
      </c>
      <c r="C693" s="3817">
        <v>62</v>
      </c>
      <c r="D693" s="3817" t="s">
        <v>3518</v>
      </c>
      <c r="E693" s="3817" t="s">
        <v>3464</v>
      </c>
      <c r="F693" s="3817">
        <v>405</v>
      </c>
      <c r="G693" s="3819">
        <v>43594</v>
      </c>
      <c r="H693" s="3817">
        <v>390</v>
      </c>
      <c r="I693" s="3817">
        <v>62843</v>
      </c>
    </row>
    <row r="694" spans="1:9" hidden="1">
      <c r="A694" s="3819">
        <v>43647</v>
      </c>
      <c r="B694" s="3817" t="s">
        <v>3444</v>
      </c>
      <c r="C694" s="3817">
        <v>57</v>
      </c>
      <c r="D694" s="3817" t="s">
        <v>3491</v>
      </c>
      <c r="E694" s="3817" t="s">
        <v>3453</v>
      </c>
      <c r="F694" s="3817">
        <v>330</v>
      </c>
      <c r="G694" s="3819">
        <v>43634</v>
      </c>
      <c r="H694" s="3817">
        <v>320</v>
      </c>
      <c r="I694" s="3817">
        <v>55750</v>
      </c>
    </row>
    <row r="695" spans="1:9" hidden="1">
      <c r="A695" s="3819">
        <v>43644</v>
      </c>
      <c r="B695" s="3817" t="s">
        <v>3448</v>
      </c>
      <c r="C695" s="3817">
        <v>57</v>
      </c>
      <c r="D695" s="3817" t="s">
        <v>3539</v>
      </c>
      <c r="E695" s="3817" t="s">
        <v>3463</v>
      </c>
      <c r="F695" s="3817">
        <v>0</v>
      </c>
      <c r="G695" s="3820"/>
      <c r="H695" s="3817">
        <v>264</v>
      </c>
      <c r="I695" s="3817">
        <v>45809</v>
      </c>
    </row>
    <row r="696" spans="1:9" hidden="1">
      <c r="A696" s="3819">
        <v>43640</v>
      </c>
      <c r="B696" s="3817" t="s">
        <v>3441</v>
      </c>
      <c r="C696" s="3817">
        <v>62</v>
      </c>
      <c r="D696" s="3817" t="s">
        <v>3518</v>
      </c>
      <c r="E696" s="3817" t="s">
        <v>3442</v>
      </c>
      <c r="F696" s="3817">
        <v>0</v>
      </c>
      <c r="G696" s="3820"/>
      <c r="H696" s="3817">
        <v>419</v>
      </c>
      <c r="I696" s="3817">
        <v>67523</v>
      </c>
    </row>
    <row r="697" spans="1:9" hidden="1">
      <c r="A697" s="3819">
        <v>43639</v>
      </c>
      <c r="B697" s="3817" t="s">
        <v>3444</v>
      </c>
      <c r="C697" s="3817">
        <v>61</v>
      </c>
      <c r="D697" s="3817" t="s">
        <v>3496</v>
      </c>
      <c r="E697" s="3817" t="s">
        <v>3464</v>
      </c>
      <c r="F697" s="3817">
        <v>408</v>
      </c>
      <c r="G697" s="3819">
        <v>43612</v>
      </c>
      <c r="H697" s="3817">
        <v>400</v>
      </c>
      <c r="I697" s="3817">
        <v>64830</v>
      </c>
    </row>
    <row r="698" spans="1:9" hidden="1">
      <c r="A698" s="3819">
        <v>43634</v>
      </c>
      <c r="B698" s="3817" t="s">
        <v>3441</v>
      </c>
      <c r="C698" s="3817">
        <v>58</v>
      </c>
      <c r="D698" s="3817" t="s">
        <v>3490</v>
      </c>
      <c r="E698" s="3817" t="s">
        <v>3429</v>
      </c>
      <c r="F698" s="3817">
        <v>0</v>
      </c>
      <c r="G698" s="3820"/>
      <c r="H698" s="3817">
        <v>296</v>
      </c>
      <c r="I698" s="3817">
        <v>50426</v>
      </c>
    </row>
    <row r="699" spans="1:9" hidden="1">
      <c r="A699" s="3819">
        <v>43630</v>
      </c>
      <c r="B699" s="3817" t="s">
        <v>3441</v>
      </c>
      <c r="C699" s="3817">
        <v>54</v>
      </c>
      <c r="D699" s="3817" t="s">
        <v>3490</v>
      </c>
      <c r="E699" s="3817" t="s">
        <v>3429</v>
      </c>
      <c r="F699" s="3817">
        <v>0</v>
      </c>
      <c r="G699" s="3820"/>
      <c r="H699" s="3817">
        <v>301</v>
      </c>
      <c r="I699" s="3817">
        <v>55058</v>
      </c>
    </row>
    <row r="700" spans="1:9" hidden="1">
      <c r="A700" s="3819">
        <v>43626</v>
      </c>
      <c r="B700" s="3817" t="s">
        <v>3441</v>
      </c>
      <c r="C700" s="3817">
        <v>58</v>
      </c>
      <c r="D700" s="3817" t="s">
        <v>3490</v>
      </c>
      <c r="E700" s="3817" t="s">
        <v>3429</v>
      </c>
      <c r="F700" s="3817">
        <v>0</v>
      </c>
      <c r="G700" s="3820"/>
      <c r="H700" s="3817">
        <v>298</v>
      </c>
      <c r="I700" s="3817">
        <v>50680</v>
      </c>
    </row>
    <row r="701" spans="1:9" hidden="1">
      <c r="A701" s="3819">
        <v>43618</v>
      </c>
      <c r="B701" s="3817" t="s">
        <v>3444</v>
      </c>
      <c r="C701" s="3817">
        <v>57</v>
      </c>
      <c r="D701" s="3817" t="s">
        <v>3490</v>
      </c>
      <c r="E701" s="3817" t="s">
        <v>3453</v>
      </c>
      <c r="F701" s="3817">
        <v>319</v>
      </c>
      <c r="G701" s="3819">
        <v>43555</v>
      </c>
      <c r="H701" s="3817">
        <v>314</v>
      </c>
      <c r="I701" s="3817">
        <v>54791</v>
      </c>
    </row>
    <row r="702" spans="1:9" hidden="1">
      <c r="A702" s="3819">
        <v>43616</v>
      </c>
      <c r="B702" s="3817" t="s">
        <v>3449</v>
      </c>
      <c r="C702" s="3817">
        <v>68</v>
      </c>
      <c r="D702" s="3817" t="s">
        <v>3497</v>
      </c>
      <c r="E702" s="3817" t="s">
        <v>3453</v>
      </c>
      <c r="F702" s="3817">
        <v>425</v>
      </c>
      <c r="G702" s="3819">
        <v>43559</v>
      </c>
      <c r="H702" s="3817">
        <v>416</v>
      </c>
      <c r="I702" s="3817">
        <v>60748</v>
      </c>
    </row>
    <row r="703" spans="1:9" hidden="1">
      <c r="A703" s="3819">
        <v>43612</v>
      </c>
      <c r="B703" s="3817" t="s">
        <v>3448</v>
      </c>
      <c r="C703" s="3817">
        <v>44</v>
      </c>
      <c r="D703" s="3817" t="s">
        <v>3490</v>
      </c>
      <c r="E703" s="3817" t="s">
        <v>3442</v>
      </c>
      <c r="F703" s="3817">
        <v>0</v>
      </c>
      <c r="G703" s="3820"/>
      <c r="H703" s="3817">
        <v>220</v>
      </c>
      <c r="I703" s="3817">
        <v>49561</v>
      </c>
    </row>
    <row r="704" spans="1:9" hidden="1">
      <c r="A704" s="3819">
        <v>43609</v>
      </c>
      <c r="B704" s="3817" t="s">
        <v>3475</v>
      </c>
      <c r="C704" s="3817">
        <v>72</v>
      </c>
      <c r="D704" s="3817" t="s">
        <v>3497</v>
      </c>
      <c r="E704" s="3817" t="s">
        <v>3429</v>
      </c>
      <c r="F704" s="3817">
        <v>0</v>
      </c>
      <c r="G704" s="3820"/>
      <c r="H704" s="3817">
        <v>395</v>
      </c>
      <c r="I704" s="3817">
        <v>54558</v>
      </c>
    </row>
    <row r="705" spans="1:9" hidden="1">
      <c r="A705" s="3819">
        <v>43604</v>
      </c>
      <c r="B705" s="3817" t="s">
        <v>3444</v>
      </c>
      <c r="C705" s="3817">
        <v>49</v>
      </c>
      <c r="D705" s="3817" t="s">
        <v>3490</v>
      </c>
      <c r="E705" s="3817" t="s">
        <v>3470</v>
      </c>
      <c r="F705" s="3817">
        <v>299</v>
      </c>
      <c r="G705" s="3819">
        <v>43534</v>
      </c>
      <c r="H705" s="3817">
        <v>289</v>
      </c>
      <c r="I705" s="3817">
        <v>58297</v>
      </c>
    </row>
    <row r="706" spans="1:9" hidden="1">
      <c r="A706" s="3819">
        <v>43602</v>
      </c>
      <c r="B706" s="3817" t="s">
        <v>3471</v>
      </c>
      <c r="C706" s="3817">
        <v>47</v>
      </c>
      <c r="D706" s="3817" t="s">
        <v>3491</v>
      </c>
      <c r="E706" s="3817" t="s">
        <v>3466</v>
      </c>
      <c r="F706" s="3817">
        <v>275</v>
      </c>
      <c r="G706" s="3819">
        <v>43449</v>
      </c>
      <c r="H706" s="3817">
        <v>270</v>
      </c>
      <c r="I706" s="3817">
        <v>57131</v>
      </c>
    </row>
    <row r="707" spans="1:9" hidden="1">
      <c r="A707" s="3819">
        <v>43599</v>
      </c>
      <c r="B707" s="3817" t="s">
        <v>3441</v>
      </c>
      <c r="C707" s="3817">
        <v>71</v>
      </c>
      <c r="D707" s="3817" t="s">
        <v>3491</v>
      </c>
      <c r="E707" s="3817" t="s">
        <v>3442</v>
      </c>
      <c r="F707" s="3817">
        <v>0</v>
      </c>
      <c r="G707" s="3820"/>
      <c r="H707" s="3817">
        <v>365</v>
      </c>
      <c r="I707" s="3817">
        <v>51408</v>
      </c>
    </row>
    <row r="708" spans="1:9" hidden="1">
      <c r="A708" s="3819">
        <v>43598</v>
      </c>
      <c r="B708" s="3817" t="s">
        <v>3444</v>
      </c>
      <c r="C708" s="3817">
        <v>64</v>
      </c>
      <c r="D708" s="3817" t="s">
        <v>3495</v>
      </c>
      <c r="E708" s="3817" t="s">
        <v>3429</v>
      </c>
      <c r="F708" s="3817">
        <v>425</v>
      </c>
      <c r="G708" s="3819">
        <v>43521</v>
      </c>
      <c r="H708" s="3817">
        <v>413</v>
      </c>
      <c r="I708" s="3817">
        <v>64502</v>
      </c>
    </row>
    <row r="709" spans="1:9" hidden="1">
      <c r="A709" s="3819">
        <v>43598</v>
      </c>
      <c r="B709" s="3817" t="s">
        <v>3444</v>
      </c>
      <c r="C709" s="3817">
        <v>56</v>
      </c>
      <c r="D709" s="3817" t="s">
        <v>3491</v>
      </c>
      <c r="E709" s="3817" t="s">
        <v>3453</v>
      </c>
      <c r="F709" s="3817">
        <v>352</v>
      </c>
      <c r="G709" s="3819">
        <v>43520</v>
      </c>
      <c r="H709" s="3817">
        <v>340</v>
      </c>
      <c r="I709" s="3817">
        <v>60071</v>
      </c>
    </row>
    <row r="710" spans="1:9" hidden="1">
      <c r="A710" s="3819">
        <v>43590</v>
      </c>
      <c r="B710" s="3817" t="s">
        <v>3444</v>
      </c>
      <c r="C710" s="3817">
        <v>55</v>
      </c>
      <c r="D710" s="3817" t="s">
        <v>3490</v>
      </c>
      <c r="E710" s="3817" t="s">
        <v>3453</v>
      </c>
      <c r="F710" s="3817">
        <v>310</v>
      </c>
      <c r="G710" s="3819">
        <v>43586</v>
      </c>
      <c r="H710" s="3817">
        <v>310</v>
      </c>
      <c r="I710" s="3817">
        <v>56201</v>
      </c>
    </row>
    <row r="711" spans="1:9" hidden="1">
      <c r="A711" s="3819">
        <v>43590</v>
      </c>
      <c r="B711" s="3817" t="s">
        <v>3444</v>
      </c>
      <c r="C711" s="3817">
        <v>73</v>
      </c>
      <c r="D711" s="3817" t="s">
        <v>3496</v>
      </c>
      <c r="E711" s="3817" t="s">
        <v>3460</v>
      </c>
      <c r="F711" s="3817">
        <v>380</v>
      </c>
      <c r="G711" s="3819">
        <v>43573</v>
      </c>
      <c r="H711" s="3817">
        <v>365</v>
      </c>
      <c r="I711" s="3817">
        <v>49573</v>
      </c>
    </row>
    <row r="712" spans="1:9" hidden="1">
      <c r="A712" s="3819">
        <v>43582</v>
      </c>
      <c r="B712" s="3817" t="s">
        <v>3441</v>
      </c>
      <c r="C712" s="3817">
        <v>62</v>
      </c>
      <c r="D712" s="3817" t="s">
        <v>3496</v>
      </c>
      <c r="E712" s="3817" t="s">
        <v>3463</v>
      </c>
      <c r="F712" s="3817">
        <v>0</v>
      </c>
      <c r="G712" s="3820"/>
      <c r="H712" s="3817">
        <v>410</v>
      </c>
      <c r="I712" s="3817">
        <v>66065</v>
      </c>
    </row>
    <row r="713" spans="1:9" hidden="1">
      <c r="A713" s="3819">
        <v>43578</v>
      </c>
      <c r="B713" s="3817" t="s">
        <v>3448</v>
      </c>
      <c r="C713" s="3817">
        <v>41</v>
      </c>
      <c r="D713" s="3817" t="s">
        <v>3540</v>
      </c>
      <c r="E713" s="3817" t="s">
        <v>3429</v>
      </c>
      <c r="F713" s="3817">
        <v>0</v>
      </c>
      <c r="G713" s="3820"/>
      <c r="H713" s="3817">
        <v>227</v>
      </c>
      <c r="I713" s="3817">
        <v>54436</v>
      </c>
    </row>
    <row r="714" spans="1:9" hidden="1">
      <c r="A714" s="3819">
        <v>43576</v>
      </c>
      <c r="B714" s="3817" t="s">
        <v>3444</v>
      </c>
      <c r="C714" s="3817">
        <v>60</v>
      </c>
      <c r="D714" s="3817" t="s">
        <v>3534</v>
      </c>
      <c r="E714" s="3817" t="s">
        <v>3429</v>
      </c>
      <c r="F714" s="3817">
        <v>360</v>
      </c>
      <c r="G714" s="3819">
        <v>43566</v>
      </c>
      <c r="H714" s="3817">
        <v>348</v>
      </c>
      <c r="I714" s="3817">
        <v>57303</v>
      </c>
    </row>
    <row r="715" spans="1:9" hidden="1">
      <c r="A715" s="3819">
        <v>43575</v>
      </c>
      <c r="B715" s="3817" t="s">
        <v>3444</v>
      </c>
      <c r="C715" s="3817">
        <v>64</v>
      </c>
      <c r="D715" s="3817" t="s">
        <v>3518</v>
      </c>
      <c r="E715" s="3817" t="s">
        <v>3429</v>
      </c>
      <c r="F715" s="3817">
        <v>415</v>
      </c>
      <c r="G715" s="3819">
        <v>43371</v>
      </c>
      <c r="H715" s="3817">
        <v>406</v>
      </c>
      <c r="I715" s="3817">
        <v>62732</v>
      </c>
    </row>
    <row r="716" spans="1:9" hidden="1">
      <c r="A716" s="3819">
        <v>43572</v>
      </c>
      <c r="B716" s="3817" t="s">
        <v>3444</v>
      </c>
      <c r="C716" s="3817">
        <v>73</v>
      </c>
      <c r="D716" s="3817" t="s">
        <v>3538</v>
      </c>
      <c r="E716" s="3817" t="s">
        <v>3477</v>
      </c>
      <c r="F716" s="3817">
        <v>410</v>
      </c>
      <c r="G716" s="3819">
        <v>43488</v>
      </c>
      <c r="H716" s="3817">
        <v>396</v>
      </c>
      <c r="I716" s="3817">
        <v>53732</v>
      </c>
    </row>
    <row r="717" spans="1:9" hidden="1">
      <c r="A717" s="3819">
        <v>43569</v>
      </c>
      <c r="B717" s="3817" t="s">
        <v>3444</v>
      </c>
      <c r="C717" s="3817">
        <v>64</v>
      </c>
      <c r="D717" s="3817" t="s">
        <v>3518</v>
      </c>
      <c r="E717" s="3817" t="s">
        <v>3429</v>
      </c>
      <c r="F717" s="3817">
        <v>405</v>
      </c>
      <c r="G717" s="3819">
        <v>43566</v>
      </c>
      <c r="H717" s="3817">
        <v>390</v>
      </c>
      <c r="I717" s="3817">
        <v>60176</v>
      </c>
    </row>
    <row r="718" spans="1:9" hidden="1">
      <c r="A718" s="3819">
        <v>43568</v>
      </c>
      <c r="B718" s="3817" t="s">
        <v>3444</v>
      </c>
      <c r="C718" s="3817">
        <v>58</v>
      </c>
      <c r="D718" s="3817" t="s">
        <v>3533</v>
      </c>
      <c r="E718" s="3817" t="s">
        <v>3453</v>
      </c>
      <c r="F718" s="3817">
        <v>319</v>
      </c>
      <c r="G718" s="3819">
        <v>43555</v>
      </c>
      <c r="H718" s="3817">
        <v>303</v>
      </c>
      <c r="I718" s="3817">
        <v>51619</v>
      </c>
    </row>
    <row r="719" spans="1:9" hidden="1">
      <c r="A719" s="3819">
        <v>43566</v>
      </c>
      <c r="B719" s="3817" t="s">
        <v>3444</v>
      </c>
      <c r="C719" s="3817">
        <v>71</v>
      </c>
      <c r="D719" s="3817" t="s">
        <v>3499</v>
      </c>
      <c r="E719" s="3817" t="s">
        <v>3429</v>
      </c>
      <c r="F719" s="3817">
        <v>390</v>
      </c>
      <c r="G719" s="3819">
        <v>43405</v>
      </c>
      <c r="H719" s="3817">
        <v>368</v>
      </c>
      <c r="I719" s="3817">
        <v>51491</v>
      </c>
    </row>
    <row r="720" spans="1:9" hidden="1">
      <c r="A720" s="3819">
        <v>43565</v>
      </c>
      <c r="B720" s="3817" t="s">
        <v>3444</v>
      </c>
      <c r="C720" s="3817">
        <v>54</v>
      </c>
      <c r="D720" s="3817" t="s">
        <v>3491</v>
      </c>
      <c r="E720" s="3817" t="s">
        <v>3512</v>
      </c>
      <c r="F720" s="3817">
        <v>328</v>
      </c>
      <c r="G720" s="3819">
        <v>43544</v>
      </c>
      <c r="H720" s="3817">
        <v>318</v>
      </c>
      <c r="I720" s="3817">
        <v>58030</v>
      </c>
    </row>
    <row r="721" spans="1:9" hidden="1">
      <c r="A721" s="3819">
        <v>43565</v>
      </c>
      <c r="B721" s="3817" t="s">
        <v>3444</v>
      </c>
      <c r="C721" s="3817">
        <v>64</v>
      </c>
      <c r="D721" s="3817" t="s">
        <v>3496</v>
      </c>
      <c r="E721" s="3817" t="s">
        <v>3429</v>
      </c>
      <c r="F721" s="3817">
        <v>399</v>
      </c>
      <c r="G721" s="3819">
        <v>43441</v>
      </c>
      <c r="H721" s="3817">
        <v>380</v>
      </c>
      <c r="I721" s="3817">
        <v>58633</v>
      </c>
    </row>
    <row r="722" spans="1:9" hidden="1">
      <c r="A722" s="3819">
        <v>43562</v>
      </c>
      <c r="B722" s="3817" t="s">
        <v>3441</v>
      </c>
      <c r="C722" s="3817">
        <v>69</v>
      </c>
      <c r="D722" s="3817" t="s">
        <v>3497</v>
      </c>
      <c r="E722" s="3817" t="s">
        <v>3505</v>
      </c>
      <c r="F722" s="3817">
        <v>0</v>
      </c>
      <c r="G722" s="3820"/>
      <c r="H722" s="3817">
        <v>430</v>
      </c>
      <c r="I722" s="3817">
        <v>62229</v>
      </c>
    </row>
    <row r="723" spans="1:9" hidden="1">
      <c r="A723" s="3819">
        <v>43560</v>
      </c>
      <c r="B723" s="3817" t="s">
        <v>3441</v>
      </c>
      <c r="C723" s="3817">
        <v>58</v>
      </c>
      <c r="D723" s="3817" t="s">
        <v>3490</v>
      </c>
      <c r="E723" s="3817" t="s">
        <v>3505</v>
      </c>
      <c r="F723" s="3817">
        <v>0</v>
      </c>
      <c r="G723" s="3820"/>
      <c r="H723" s="3817">
        <v>280</v>
      </c>
      <c r="I723" s="3817">
        <v>47700</v>
      </c>
    </row>
    <row r="724" spans="1:9" hidden="1">
      <c r="A724" s="3819">
        <v>43556</v>
      </c>
      <c r="B724" s="3817" t="s">
        <v>3449</v>
      </c>
      <c r="C724" s="3817">
        <v>91</v>
      </c>
      <c r="D724" s="3817" t="s">
        <v>3532</v>
      </c>
      <c r="E724" s="3817" t="s">
        <v>3468</v>
      </c>
      <c r="F724" s="3817">
        <v>490</v>
      </c>
      <c r="G724" s="3819">
        <v>43541</v>
      </c>
      <c r="H724" s="3817">
        <v>475</v>
      </c>
      <c r="I724" s="3817">
        <v>52015</v>
      </c>
    </row>
    <row r="725" spans="1:9" hidden="1">
      <c r="A725" s="3819">
        <v>43555</v>
      </c>
      <c r="B725" s="3817" t="s">
        <v>3444</v>
      </c>
      <c r="C725" s="3817">
        <v>57</v>
      </c>
      <c r="D725" s="3817" t="s">
        <v>3497</v>
      </c>
      <c r="E725" s="3817" t="s">
        <v>3453</v>
      </c>
      <c r="F725" s="3817">
        <v>343</v>
      </c>
      <c r="G725" s="3819">
        <v>43517</v>
      </c>
      <c r="H725" s="3817">
        <v>332</v>
      </c>
      <c r="I725" s="3817">
        <v>58042</v>
      </c>
    </row>
    <row r="726" spans="1:9" hidden="1">
      <c r="A726" s="3819">
        <v>43554</v>
      </c>
      <c r="B726" s="3817" t="s">
        <v>3441</v>
      </c>
      <c r="C726" s="3817">
        <v>54</v>
      </c>
      <c r="D726" s="3817" t="s">
        <v>3540</v>
      </c>
      <c r="E726" s="3817" t="s">
        <v>3505</v>
      </c>
      <c r="F726" s="3817">
        <v>0</v>
      </c>
      <c r="G726" s="3820"/>
      <c r="H726" s="3817">
        <v>275</v>
      </c>
      <c r="I726" s="3817">
        <v>50274</v>
      </c>
    </row>
    <row r="727" spans="1:9" hidden="1">
      <c r="A727" s="3819">
        <v>43553</v>
      </c>
      <c r="B727" s="3817" t="s">
        <v>3444</v>
      </c>
      <c r="C727" s="3817">
        <v>56</v>
      </c>
      <c r="D727" s="3817" t="s">
        <v>3533</v>
      </c>
      <c r="E727" s="3817" t="s">
        <v>3453</v>
      </c>
      <c r="F727" s="3817">
        <v>298</v>
      </c>
      <c r="G727" s="3819">
        <v>43371</v>
      </c>
      <c r="H727" s="3817">
        <v>289</v>
      </c>
      <c r="I727" s="3817">
        <v>51424</v>
      </c>
    </row>
    <row r="728" spans="1:9" hidden="1">
      <c r="A728" s="3819">
        <v>43549</v>
      </c>
      <c r="B728" s="3817" t="s">
        <v>3444</v>
      </c>
      <c r="C728" s="3817">
        <v>58</v>
      </c>
      <c r="D728" s="3817" t="s">
        <v>3533</v>
      </c>
      <c r="E728" s="3817" t="s">
        <v>3453</v>
      </c>
      <c r="F728" s="3817">
        <v>320</v>
      </c>
      <c r="G728" s="3819">
        <v>43449</v>
      </c>
      <c r="H728" s="3817">
        <v>309</v>
      </c>
      <c r="I728" s="3817">
        <v>52552</v>
      </c>
    </row>
    <row r="729" spans="1:9" hidden="1">
      <c r="A729" s="3819">
        <v>43545</v>
      </c>
      <c r="B729" s="3817" t="s">
        <v>3441</v>
      </c>
      <c r="C729" s="3817">
        <v>57</v>
      </c>
      <c r="D729" s="3817" t="s">
        <v>3491</v>
      </c>
      <c r="E729" s="3817" t="s">
        <v>3505</v>
      </c>
      <c r="F729" s="3817">
        <v>0</v>
      </c>
      <c r="G729" s="3820"/>
      <c r="H729" s="3817">
        <v>336</v>
      </c>
      <c r="I729" s="3817">
        <v>58741</v>
      </c>
    </row>
    <row r="730" spans="1:9" hidden="1">
      <c r="A730" s="3819">
        <v>43542</v>
      </c>
      <c r="B730" s="3817" t="s">
        <v>3444</v>
      </c>
      <c r="C730" s="3817">
        <v>62</v>
      </c>
      <c r="D730" s="3817" t="s">
        <v>3518</v>
      </c>
      <c r="E730" s="3817" t="s">
        <v>3468</v>
      </c>
      <c r="F730" s="3817">
        <v>380</v>
      </c>
      <c r="G730" s="3819">
        <v>42599</v>
      </c>
      <c r="H730" s="3817">
        <v>375</v>
      </c>
      <c r="I730" s="3817">
        <v>59857</v>
      </c>
    </row>
    <row r="731" spans="1:9" hidden="1">
      <c r="A731" s="3819">
        <v>43541</v>
      </c>
      <c r="B731" s="3817" t="s">
        <v>3471</v>
      </c>
      <c r="C731" s="3817">
        <v>43</v>
      </c>
      <c r="D731" s="3817" t="s">
        <v>3497</v>
      </c>
      <c r="E731" s="3817" t="s">
        <v>3429</v>
      </c>
      <c r="F731" s="3817">
        <v>260</v>
      </c>
      <c r="G731" s="3819">
        <v>43540</v>
      </c>
      <c r="H731" s="3817">
        <v>249</v>
      </c>
      <c r="I731" s="3817">
        <v>57755</v>
      </c>
    </row>
    <row r="732" spans="1:9" hidden="1">
      <c r="A732" s="3819">
        <v>43538</v>
      </c>
      <c r="B732" s="3817" t="s">
        <v>3444</v>
      </c>
      <c r="C732" s="3817">
        <v>49</v>
      </c>
      <c r="D732" s="3817" t="s">
        <v>3497</v>
      </c>
      <c r="E732" s="3817" t="s">
        <v>3460</v>
      </c>
      <c r="F732" s="3817">
        <v>308</v>
      </c>
      <c r="G732" s="3819">
        <v>43526</v>
      </c>
      <c r="H732" s="3817">
        <v>300</v>
      </c>
      <c r="I732" s="3817">
        <v>60290</v>
      </c>
    </row>
    <row r="733" spans="1:9" hidden="1">
      <c r="A733" s="3819">
        <v>43534</v>
      </c>
      <c r="B733" s="3817" t="s">
        <v>3444</v>
      </c>
      <c r="C733" s="3817">
        <v>62</v>
      </c>
      <c r="D733" s="3817" t="s">
        <v>3518</v>
      </c>
      <c r="E733" s="3817" t="s">
        <v>3468</v>
      </c>
      <c r="F733" s="3817">
        <v>385</v>
      </c>
      <c r="G733" s="3819">
        <v>43516</v>
      </c>
      <c r="H733" s="3817">
        <v>375</v>
      </c>
      <c r="I733" s="3817">
        <v>59857</v>
      </c>
    </row>
    <row r="734" spans="1:9" hidden="1">
      <c r="A734" s="3819">
        <v>43526</v>
      </c>
      <c r="B734" s="3817" t="s">
        <v>3441</v>
      </c>
      <c r="C734" s="3817">
        <v>53</v>
      </c>
      <c r="D734" s="3817" t="s">
        <v>3491</v>
      </c>
      <c r="E734" s="3817" t="s">
        <v>3468</v>
      </c>
      <c r="F734" s="3817">
        <v>0</v>
      </c>
      <c r="G734" s="3820"/>
      <c r="H734" s="3817">
        <v>344</v>
      </c>
      <c r="I734" s="3817">
        <v>63739</v>
      </c>
    </row>
    <row r="735" spans="1:9" hidden="1">
      <c r="A735" s="3819">
        <v>43522</v>
      </c>
      <c r="B735" s="3817" t="s">
        <v>3441</v>
      </c>
      <c r="C735" s="3817">
        <v>54</v>
      </c>
      <c r="D735" s="3817" t="s">
        <v>3490</v>
      </c>
      <c r="E735" s="3817" t="s">
        <v>3505</v>
      </c>
      <c r="F735" s="3817">
        <v>0</v>
      </c>
      <c r="G735" s="3820"/>
      <c r="H735" s="3817">
        <v>338</v>
      </c>
      <c r="I735" s="3817">
        <v>61611</v>
      </c>
    </row>
    <row r="736" spans="1:9" hidden="1">
      <c r="A736" s="3819">
        <v>43521</v>
      </c>
      <c r="B736" s="3817" t="s">
        <v>3441</v>
      </c>
      <c r="C736" s="3817">
        <v>54</v>
      </c>
      <c r="D736" s="3817" t="s">
        <v>3490</v>
      </c>
      <c r="E736" s="3817" t="s">
        <v>3505</v>
      </c>
      <c r="F736" s="3817">
        <v>0</v>
      </c>
      <c r="G736" s="3820"/>
      <c r="H736" s="3817">
        <v>298</v>
      </c>
      <c r="I736" s="3817">
        <v>55165</v>
      </c>
    </row>
    <row r="737" spans="1:9" hidden="1">
      <c r="A737" s="3819">
        <v>43514</v>
      </c>
      <c r="B737" s="3817" t="s">
        <v>3444</v>
      </c>
      <c r="C737" s="3817">
        <v>55</v>
      </c>
      <c r="D737" s="3817" t="s">
        <v>3533</v>
      </c>
      <c r="E737" s="3817" t="s">
        <v>3453</v>
      </c>
      <c r="F737" s="3817">
        <v>308</v>
      </c>
      <c r="G737" s="3819">
        <v>43508</v>
      </c>
      <c r="H737" s="3817">
        <v>297</v>
      </c>
      <c r="I737" s="3817">
        <v>53844</v>
      </c>
    </row>
    <row r="738" spans="1:9" hidden="1">
      <c r="A738" s="3819">
        <v>43507</v>
      </c>
      <c r="B738" s="3817" t="s">
        <v>3444</v>
      </c>
      <c r="C738" s="3817">
        <v>91</v>
      </c>
      <c r="D738" s="3817" t="s">
        <v>3541</v>
      </c>
      <c r="E738" s="3817" t="s">
        <v>3468</v>
      </c>
      <c r="F738" s="3817">
        <v>480</v>
      </c>
      <c r="G738" s="3819">
        <v>43467</v>
      </c>
      <c r="H738" s="3817">
        <v>470</v>
      </c>
      <c r="I738" s="3817">
        <v>51468</v>
      </c>
    </row>
    <row r="739" spans="1:9" hidden="1">
      <c r="A739" s="3819">
        <v>43493</v>
      </c>
      <c r="B739" s="3817" t="s">
        <v>3444</v>
      </c>
      <c r="C739" s="3817">
        <v>62</v>
      </c>
      <c r="D739" s="3817" t="s">
        <v>3495</v>
      </c>
      <c r="E739" s="3817" t="s">
        <v>3468</v>
      </c>
      <c r="F739" s="3817">
        <v>398</v>
      </c>
      <c r="G739" s="3819">
        <v>43302</v>
      </c>
      <c r="H739" s="3817">
        <v>388</v>
      </c>
      <c r="I739" s="3817">
        <v>62521</v>
      </c>
    </row>
    <row r="740" spans="1:9" hidden="1">
      <c r="A740" s="3819">
        <v>43492</v>
      </c>
      <c r="B740" s="3817" t="s">
        <v>3444</v>
      </c>
      <c r="C740" s="3817">
        <v>57</v>
      </c>
      <c r="D740" s="3817" t="s">
        <v>3491</v>
      </c>
      <c r="E740" s="3817" t="s">
        <v>3453</v>
      </c>
      <c r="F740" s="3817">
        <v>350</v>
      </c>
      <c r="G740" s="3819">
        <v>43458</v>
      </c>
      <c r="H740" s="3817">
        <v>331</v>
      </c>
      <c r="I740" s="3817">
        <v>57868</v>
      </c>
    </row>
    <row r="741" spans="1:9" hidden="1">
      <c r="A741" s="3819">
        <v>43487</v>
      </c>
      <c r="B741" s="3817" t="s">
        <v>3471</v>
      </c>
      <c r="C741" s="3817">
        <v>40</v>
      </c>
      <c r="D741" s="3817" t="s">
        <v>3491</v>
      </c>
      <c r="E741" s="3817" t="s">
        <v>3429</v>
      </c>
      <c r="F741" s="3817">
        <v>255</v>
      </c>
      <c r="G741" s="3819">
        <v>43480</v>
      </c>
      <c r="H741" s="3817">
        <v>248</v>
      </c>
      <c r="I741" s="3817">
        <v>60934</v>
      </c>
    </row>
    <row r="742" spans="1:9" hidden="1">
      <c r="A742" s="3819">
        <v>43482</v>
      </c>
      <c r="B742" s="3817" t="s">
        <v>3441</v>
      </c>
      <c r="C742" s="3817">
        <v>68</v>
      </c>
      <c r="D742" s="3817" t="s">
        <v>3491</v>
      </c>
      <c r="E742" s="3817" t="s">
        <v>3505</v>
      </c>
      <c r="F742" s="3817">
        <v>0</v>
      </c>
      <c r="G742" s="3820"/>
      <c r="H742" s="3817">
        <v>407</v>
      </c>
      <c r="I742" s="3817">
        <v>59209</v>
      </c>
    </row>
    <row r="743" spans="1:9" hidden="1">
      <c r="A743" s="3819">
        <v>43475</v>
      </c>
      <c r="B743" s="3817" t="s">
        <v>3444</v>
      </c>
      <c r="C743" s="3817">
        <v>56</v>
      </c>
      <c r="D743" s="3817" t="s">
        <v>3497</v>
      </c>
      <c r="E743" s="3817" t="s">
        <v>3453</v>
      </c>
      <c r="F743" s="3817">
        <v>345</v>
      </c>
      <c r="G743" s="3819">
        <v>43471</v>
      </c>
      <c r="H743" s="3817">
        <v>340</v>
      </c>
      <c r="I743" s="3817">
        <v>60715</v>
      </c>
    </row>
    <row r="744" spans="1:9" hidden="1">
      <c r="A744" s="3819">
        <v>43474</v>
      </c>
      <c r="B744" s="3817" t="s">
        <v>3444</v>
      </c>
      <c r="C744" s="3817">
        <v>54</v>
      </c>
      <c r="D744" s="3817" t="s">
        <v>3491</v>
      </c>
      <c r="E744" s="3817" t="s">
        <v>3453</v>
      </c>
      <c r="F744" s="3817">
        <v>350</v>
      </c>
      <c r="G744" s="3819">
        <v>43409</v>
      </c>
      <c r="H744" s="3817">
        <v>338</v>
      </c>
      <c r="I744" s="3817">
        <v>61612</v>
      </c>
    </row>
    <row r="745" spans="1:9" hidden="1">
      <c r="A745" s="3819">
        <v>43472</v>
      </c>
      <c r="B745" s="3817" t="s">
        <v>3444</v>
      </c>
      <c r="C745" s="3817">
        <v>69</v>
      </c>
      <c r="D745" s="3817" t="s">
        <v>3533</v>
      </c>
      <c r="E745" s="3817" t="s">
        <v>3453</v>
      </c>
      <c r="F745" s="3817">
        <v>386</v>
      </c>
      <c r="G745" s="3819">
        <v>43402</v>
      </c>
      <c r="H745" s="3817">
        <v>376</v>
      </c>
      <c r="I745" s="3817">
        <v>54454</v>
      </c>
    </row>
    <row r="746" spans="1:9" hidden="1">
      <c r="A746" s="3819">
        <v>43460</v>
      </c>
      <c r="B746" s="3817" t="s">
        <v>3444</v>
      </c>
      <c r="C746" s="3817">
        <v>54</v>
      </c>
      <c r="D746" s="3817" t="s">
        <v>3491</v>
      </c>
      <c r="E746" s="3817" t="s">
        <v>3453</v>
      </c>
      <c r="F746" s="3817">
        <v>360</v>
      </c>
      <c r="G746" s="3819">
        <v>43405</v>
      </c>
      <c r="H746" s="3817">
        <v>330</v>
      </c>
      <c r="I746" s="3817">
        <v>61112</v>
      </c>
    </row>
    <row r="747" spans="1:9" hidden="1">
      <c r="A747" s="3819">
        <v>43459</v>
      </c>
      <c r="B747" s="3817" t="s">
        <v>3444</v>
      </c>
      <c r="C747" s="3817">
        <v>71</v>
      </c>
      <c r="D747" s="3817" t="s">
        <v>3499</v>
      </c>
      <c r="E747" s="3817" t="s">
        <v>3429</v>
      </c>
      <c r="F747" s="3817">
        <v>363</v>
      </c>
      <c r="G747" s="3819">
        <v>43238</v>
      </c>
      <c r="H747" s="3817">
        <v>355</v>
      </c>
      <c r="I747" s="3817">
        <v>49672</v>
      </c>
    </row>
    <row r="748" spans="1:9" hidden="1">
      <c r="A748" s="3819">
        <v>43458</v>
      </c>
      <c r="B748" s="3817" t="s">
        <v>3444</v>
      </c>
      <c r="C748" s="3817">
        <v>57</v>
      </c>
      <c r="D748" s="3817" t="s">
        <v>3491</v>
      </c>
      <c r="E748" s="3817" t="s">
        <v>3453</v>
      </c>
      <c r="F748" s="3817">
        <v>330</v>
      </c>
      <c r="G748" s="3819">
        <v>43396</v>
      </c>
      <c r="H748" s="3817">
        <v>317</v>
      </c>
      <c r="I748" s="3817">
        <v>55227</v>
      </c>
    </row>
    <row r="749" spans="1:9" hidden="1">
      <c r="A749" s="3819">
        <v>43452</v>
      </c>
      <c r="B749" s="3817" t="s">
        <v>3444</v>
      </c>
      <c r="C749" s="3817">
        <v>69</v>
      </c>
      <c r="D749" s="3817" t="s">
        <v>3533</v>
      </c>
      <c r="E749" s="3817" t="s">
        <v>3453</v>
      </c>
      <c r="F749" s="3817">
        <v>390</v>
      </c>
      <c r="G749" s="3819">
        <v>43267</v>
      </c>
      <c r="H749" s="3817">
        <v>370</v>
      </c>
      <c r="I749" s="3817">
        <v>53546</v>
      </c>
    </row>
    <row r="750" spans="1:9" hidden="1">
      <c r="A750" s="3819">
        <v>43451</v>
      </c>
      <c r="B750" s="3817" t="s">
        <v>3441</v>
      </c>
      <c r="C750" s="3817">
        <v>52</v>
      </c>
      <c r="D750" s="3817" t="s">
        <v>3497</v>
      </c>
      <c r="E750" s="3817" t="s">
        <v>3505</v>
      </c>
      <c r="F750" s="3817">
        <v>0</v>
      </c>
      <c r="G750" s="3820"/>
      <c r="H750" s="3817">
        <v>299</v>
      </c>
      <c r="I750" s="3817">
        <v>56952</v>
      </c>
    </row>
    <row r="751" spans="1:9" hidden="1">
      <c r="A751" s="3819">
        <v>43445</v>
      </c>
      <c r="B751" s="3817" t="s">
        <v>3444</v>
      </c>
      <c r="C751" s="3817">
        <v>62</v>
      </c>
      <c r="D751" s="3817" t="s">
        <v>3518</v>
      </c>
      <c r="E751" s="3817" t="s">
        <v>3468</v>
      </c>
      <c r="F751" s="3817">
        <v>380</v>
      </c>
      <c r="G751" s="3819">
        <v>43323</v>
      </c>
      <c r="H751" s="3817">
        <v>370</v>
      </c>
      <c r="I751" s="3817">
        <v>59059</v>
      </c>
    </row>
    <row r="752" spans="1:9" hidden="1">
      <c r="A752" s="3819">
        <v>43432</v>
      </c>
      <c r="B752" s="3817" t="s">
        <v>3444</v>
      </c>
      <c r="C752" s="3817">
        <v>71</v>
      </c>
      <c r="D752" s="3817" t="s">
        <v>3532</v>
      </c>
      <c r="E752" s="3817" t="s">
        <v>3429</v>
      </c>
      <c r="F752" s="3817">
        <v>385</v>
      </c>
      <c r="G752" s="3819">
        <v>43347</v>
      </c>
      <c r="H752" s="3817">
        <v>360</v>
      </c>
      <c r="I752" s="3817">
        <v>50371</v>
      </c>
    </row>
    <row r="753" spans="1:9" hidden="1">
      <c r="A753" s="3819">
        <v>43431</v>
      </c>
      <c r="B753" s="3817" t="s">
        <v>3441</v>
      </c>
      <c r="C753" s="3817">
        <v>58</v>
      </c>
      <c r="D753" s="3817" t="s">
        <v>3490</v>
      </c>
      <c r="E753" s="3817" t="s">
        <v>3505</v>
      </c>
      <c r="F753" s="3817">
        <v>0</v>
      </c>
      <c r="G753" s="3820"/>
      <c r="H753" s="3817">
        <v>297</v>
      </c>
      <c r="I753" s="3817">
        <v>50510</v>
      </c>
    </row>
    <row r="754" spans="1:9" hidden="1">
      <c r="A754" s="3819">
        <v>43419</v>
      </c>
      <c r="B754" s="3817" t="s">
        <v>3444</v>
      </c>
      <c r="C754" s="3817">
        <v>54</v>
      </c>
      <c r="D754" s="3817" t="s">
        <v>3491</v>
      </c>
      <c r="E754" s="3817" t="s">
        <v>3453</v>
      </c>
      <c r="F754" s="3817">
        <v>346</v>
      </c>
      <c r="G754" s="3819">
        <v>43393</v>
      </c>
      <c r="H754" s="3817">
        <v>335</v>
      </c>
      <c r="I754" s="3817">
        <v>62015</v>
      </c>
    </row>
    <row r="755" spans="1:9" hidden="1">
      <c r="A755" s="3819">
        <v>43415</v>
      </c>
      <c r="B755" s="3817" t="s">
        <v>3441</v>
      </c>
      <c r="C755" s="3817">
        <v>62</v>
      </c>
      <c r="D755" s="3817" t="s">
        <v>3525</v>
      </c>
      <c r="E755" s="3817" t="s">
        <v>3468</v>
      </c>
      <c r="F755" s="3817">
        <v>0</v>
      </c>
      <c r="G755" s="3820"/>
      <c r="H755" s="3817">
        <v>349</v>
      </c>
      <c r="I755" s="3817">
        <v>55706</v>
      </c>
    </row>
    <row r="756" spans="1:9" hidden="1">
      <c r="A756" s="3819">
        <v>43402</v>
      </c>
      <c r="B756" s="3817" t="s">
        <v>3444</v>
      </c>
      <c r="C756" s="3817">
        <v>56</v>
      </c>
      <c r="D756" s="3817" t="s">
        <v>3490</v>
      </c>
      <c r="E756" s="3817" t="s">
        <v>3453</v>
      </c>
      <c r="F756" s="3817">
        <v>345</v>
      </c>
      <c r="G756" s="3819">
        <v>43322</v>
      </c>
      <c r="H756" s="3817">
        <v>329</v>
      </c>
      <c r="I756" s="3817">
        <v>57852</v>
      </c>
    </row>
    <row r="757" spans="1:9" hidden="1">
      <c r="A757" s="3819">
        <v>43399</v>
      </c>
      <c r="B757" s="3817" t="s">
        <v>3444</v>
      </c>
      <c r="C757" s="3817">
        <v>63</v>
      </c>
      <c r="D757" s="3817" t="s">
        <v>3452</v>
      </c>
      <c r="E757" s="3817" t="s">
        <v>3429</v>
      </c>
      <c r="F757" s="3817">
        <v>160</v>
      </c>
      <c r="G757" s="3819">
        <v>43396</v>
      </c>
      <c r="H757" s="3817">
        <v>160</v>
      </c>
      <c r="I757" s="3817">
        <v>25253</v>
      </c>
    </row>
    <row r="758" spans="1:9" hidden="1">
      <c r="A758" s="3819">
        <v>43399</v>
      </c>
      <c r="B758" s="3817" t="s">
        <v>3441</v>
      </c>
      <c r="C758" s="3817">
        <v>58</v>
      </c>
      <c r="D758" s="3817" t="s">
        <v>3490</v>
      </c>
      <c r="E758" s="3817" t="s">
        <v>3505</v>
      </c>
      <c r="F758" s="3817">
        <v>0</v>
      </c>
      <c r="G758" s="3820"/>
      <c r="H758" s="3817">
        <v>302</v>
      </c>
      <c r="I758" s="3817">
        <v>51448</v>
      </c>
    </row>
    <row r="759" spans="1:9" hidden="1">
      <c r="A759" s="3819">
        <v>43394</v>
      </c>
      <c r="B759" s="3817" t="s">
        <v>3471</v>
      </c>
      <c r="C759" s="3817">
        <v>43</v>
      </c>
      <c r="D759" s="3817" t="s">
        <v>3491</v>
      </c>
      <c r="E759" s="3817" t="s">
        <v>3442</v>
      </c>
      <c r="F759" s="3817">
        <v>260</v>
      </c>
      <c r="G759" s="3819">
        <v>43360</v>
      </c>
      <c r="H759" s="3817">
        <v>249</v>
      </c>
      <c r="I759" s="3817">
        <v>57639</v>
      </c>
    </row>
    <row r="760" spans="1:9" hidden="1">
      <c r="A760" s="3819">
        <v>43392</v>
      </c>
      <c r="B760" s="3817" t="s">
        <v>3444</v>
      </c>
      <c r="C760" s="3817">
        <v>62</v>
      </c>
      <c r="D760" s="3817" t="s">
        <v>3518</v>
      </c>
      <c r="E760" s="3817" t="s">
        <v>3468</v>
      </c>
      <c r="F760" s="3817">
        <v>380</v>
      </c>
      <c r="G760" s="3819">
        <v>43389</v>
      </c>
      <c r="H760" s="3817">
        <v>372</v>
      </c>
      <c r="I760" s="3817">
        <v>59331</v>
      </c>
    </row>
    <row r="761" spans="1:9" hidden="1">
      <c r="A761" s="3819">
        <v>43391</v>
      </c>
      <c r="B761" s="3817" t="s">
        <v>3444</v>
      </c>
      <c r="C761" s="3817">
        <v>62</v>
      </c>
      <c r="D761" s="3817" t="s">
        <v>3518</v>
      </c>
      <c r="E761" s="3817" t="s">
        <v>3468</v>
      </c>
      <c r="F761" s="3817">
        <v>380</v>
      </c>
      <c r="G761" s="3819">
        <v>43214</v>
      </c>
      <c r="H761" s="3817">
        <v>375</v>
      </c>
      <c r="I761" s="3817">
        <v>59809</v>
      </c>
    </row>
    <row r="762" spans="1:9" hidden="1">
      <c r="A762" s="3819">
        <v>43390</v>
      </c>
      <c r="B762" s="3817" t="s">
        <v>3444</v>
      </c>
      <c r="C762" s="3817">
        <v>54</v>
      </c>
      <c r="D762" s="3817" t="s">
        <v>3491</v>
      </c>
      <c r="E762" s="3817" t="s">
        <v>3453</v>
      </c>
      <c r="F762" s="3817">
        <v>350</v>
      </c>
      <c r="G762" s="3819">
        <v>43196</v>
      </c>
      <c r="H762" s="3817">
        <v>344</v>
      </c>
      <c r="I762" s="3817">
        <v>63267</v>
      </c>
    </row>
    <row r="763" spans="1:9" hidden="1">
      <c r="A763" s="3819">
        <v>43385</v>
      </c>
      <c r="B763" s="3817" t="s">
        <v>3441</v>
      </c>
      <c r="C763" s="3817">
        <v>62</v>
      </c>
      <c r="D763" s="3817" t="s">
        <v>3495</v>
      </c>
      <c r="E763" s="3817" t="s">
        <v>3464</v>
      </c>
      <c r="F763" s="3817">
        <v>0</v>
      </c>
      <c r="G763" s="3820"/>
      <c r="H763" s="3817">
        <v>384</v>
      </c>
      <c r="I763" s="3817">
        <v>61876</v>
      </c>
    </row>
    <row r="764" spans="1:9" hidden="1">
      <c r="A764" s="3819">
        <v>43381</v>
      </c>
      <c r="B764" s="3817" t="s">
        <v>3444</v>
      </c>
      <c r="C764" s="3817">
        <v>64</v>
      </c>
      <c r="D764" s="3817" t="s">
        <v>3518</v>
      </c>
      <c r="E764" s="3817" t="s">
        <v>3429</v>
      </c>
      <c r="F764" s="3817">
        <v>410</v>
      </c>
      <c r="G764" s="3819">
        <v>43325</v>
      </c>
      <c r="H764" s="3817">
        <v>398</v>
      </c>
      <c r="I764" s="3817">
        <v>61411</v>
      </c>
    </row>
    <row r="765" spans="1:9" hidden="1">
      <c r="A765" s="3819">
        <v>43380</v>
      </c>
      <c r="B765" s="3817" t="s">
        <v>3444</v>
      </c>
      <c r="C765" s="3817">
        <v>62</v>
      </c>
      <c r="D765" s="3817" t="s">
        <v>3518</v>
      </c>
      <c r="E765" s="3817" t="s">
        <v>3447</v>
      </c>
      <c r="F765" s="3817">
        <v>390</v>
      </c>
      <c r="G765" s="3819">
        <v>43350</v>
      </c>
      <c r="H765" s="3817">
        <v>380</v>
      </c>
      <c r="I765" s="3817">
        <v>61232</v>
      </c>
    </row>
    <row r="766" spans="1:9" hidden="1">
      <c r="A766" s="3819">
        <v>43380</v>
      </c>
      <c r="B766" s="3817" t="s">
        <v>3444</v>
      </c>
      <c r="C766" s="3817">
        <v>54</v>
      </c>
      <c r="D766" s="3817" t="s">
        <v>3491</v>
      </c>
      <c r="E766" s="3817" t="s">
        <v>3512</v>
      </c>
      <c r="F766" s="3817">
        <v>315</v>
      </c>
      <c r="G766" s="3819">
        <v>43376</v>
      </c>
      <c r="H766" s="3817">
        <v>307</v>
      </c>
      <c r="I766" s="3817">
        <v>56737</v>
      </c>
    </row>
    <row r="767" spans="1:9" hidden="1">
      <c r="A767" s="3819">
        <v>43379</v>
      </c>
      <c r="B767" s="3817" t="s">
        <v>3448</v>
      </c>
      <c r="C767" s="3817">
        <v>44</v>
      </c>
      <c r="D767" s="3817" t="s">
        <v>3497</v>
      </c>
      <c r="E767" s="3817" t="s">
        <v>3505</v>
      </c>
      <c r="F767" s="3817">
        <v>0</v>
      </c>
      <c r="G767" s="3820"/>
      <c r="H767" s="3817">
        <v>242</v>
      </c>
      <c r="I767" s="3817">
        <v>54517</v>
      </c>
    </row>
    <row r="768" spans="1:9" hidden="1">
      <c r="A768" s="3819">
        <v>43373</v>
      </c>
      <c r="B768" s="3817" t="s">
        <v>3444</v>
      </c>
      <c r="C768" s="3817">
        <v>54</v>
      </c>
      <c r="D768" s="3817" t="s">
        <v>3491</v>
      </c>
      <c r="E768" s="3817" t="s">
        <v>3512</v>
      </c>
      <c r="F768" s="3817">
        <v>328</v>
      </c>
      <c r="G768" s="3819">
        <v>43358</v>
      </c>
      <c r="H768" s="3817">
        <v>312</v>
      </c>
      <c r="I768" s="3817">
        <v>57026</v>
      </c>
    </row>
    <row r="769" spans="1:9" hidden="1">
      <c r="A769" s="3819">
        <v>43369</v>
      </c>
      <c r="B769" s="3817" t="s">
        <v>3444</v>
      </c>
      <c r="C769" s="3817">
        <v>57</v>
      </c>
      <c r="D769" s="3817" t="s">
        <v>3497</v>
      </c>
      <c r="E769" s="3817" t="s">
        <v>3453</v>
      </c>
      <c r="F769" s="3817">
        <v>346</v>
      </c>
      <c r="G769" s="3819">
        <v>43302</v>
      </c>
      <c r="H769" s="3817">
        <v>338</v>
      </c>
      <c r="I769" s="3817">
        <v>58886</v>
      </c>
    </row>
    <row r="770" spans="1:9" hidden="1">
      <c r="A770" s="3819">
        <v>43369</v>
      </c>
      <c r="B770" s="3817" t="s">
        <v>3449</v>
      </c>
      <c r="C770" s="3817">
        <v>69</v>
      </c>
      <c r="D770" s="3817" t="s">
        <v>3491</v>
      </c>
      <c r="E770" s="3817" t="s">
        <v>3512</v>
      </c>
      <c r="F770" s="3817">
        <v>375</v>
      </c>
      <c r="G770" s="3819">
        <v>43338</v>
      </c>
      <c r="H770" s="3817">
        <v>370</v>
      </c>
      <c r="I770" s="3817">
        <v>53616</v>
      </c>
    </row>
    <row r="771" spans="1:9" hidden="1">
      <c r="A771" s="3819">
        <v>43364</v>
      </c>
      <c r="B771" s="3817" t="s">
        <v>3444</v>
      </c>
      <c r="C771" s="3817">
        <v>58</v>
      </c>
      <c r="D771" s="3817" t="s">
        <v>3533</v>
      </c>
      <c r="E771" s="3817" t="s">
        <v>3453</v>
      </c>
      <c r="F771" s="3817">
        <v>315</v>
      </c>
      <c r="G771" s="3819">
        <v>43296</v>
      </c>
      <c r="H771" s="3817">
        <v>305</v>
      </c>
      <c r="I771" s="3817">
        <v>51871</v>
      </c>
    </row>
    <row r="772" spans="1:9" hidden="1">
      <c r="A772" s="3819">
        <v>43363</v>
      </c>
      <c r="B772" s="3817" t="s">
        <v>3444</v>
      </c>
      <c r="C772" s="3817">
        <v>62</v>
      </c>
      <c r="D772" s="3817" t="s">
        <v>3534</v>
      </c>
      <c r="E772" s="3817" t="s">
        <v>3464</v>
      </c>
      <c r="F772" s="3817">
        <v>375</v>
      </c>
      <c r="G772" s="3819">
        <v>43345</v>
      </c>
      <c r="H772" s="3817">
        <v>360</v>
      </c>
      <c r="I772" s="3817">
        <v>58009</v>
      </c>
    </row>
    <row r="773" spans="1:9" hidden="1">
      <c r="A773" s="3819">
        <v>43363</v>
      </c>
      <c r="B773" s="3817" t="s">
        <v>3444</v>
      </c>
      <c r="C773" s="3817">
        <v>54</v>
      </c>
      <c r="D773" s="3817" t="s">
        <v>3533</v>
      </c>
      <c r="E773" s="3817" t="s">
        <v>3512</v>
      </c>
      <c r="F773" s="3817">
        <v>306</v>
      </c>
      <c r="G773" s="3819">
        <v>43339</v>
      </c>
      <c r="H773" s="3817">
        <v>299</v>
      </c>
      <c r="I773" s="3817">
        <v>55258</v>
      </c>
    </row>
    <row r="774" spans="1:9" hidden="1">
      <c r="A774" s="3819">
        <v>43358</v>
      </c>
      <c r="B774" s="3817" t="s">
        <v>3448</v>
      </c>
      <c r="C774" s="3817">
        <v>37</v>
      </c>
      <c r="D774" s="3817" t="s">
        <v>3497</v>
      </c>
      <c r="E774" s="3817" t="s">
        <v>3429</v>
      </c>
      <c r="F774" s="3817">
        <v>0</v>
      </c>
      <c r="G774" s="3820"/>
      <c r="H774" s="3817">
        <v>270</v>
      </c>
      <c r="I774" s="3817">
        <v>71618</v>
      </c>
    </row>
    <row r="775" spans="1:9" hidden="1">
      <c r="A775" s="3819">
        <v>43355</v>
      </c>
      <c r="B775" s="3817" t="s">
        <v>3444</v>
      </c>
      <c r="C775" s="3817">
        <v>54</v>
      </c>
      <c r="D775" s="3817" t="s">
        <v>3533</v>
      </c>
      <c r="E775" s="3817" t="s">
        <v>3512</v>
      </c>
      <c r="F775" s="3817">
        <v>313</v>
      </c>
      <c r="G775" s="3819">
        <v>43330</v>
      </c>
      <c r="H775" s="3817">
        <v>300</v>
      </c>
      <c r="I775" s="3817">
        <v>54745</v>
      </c>
    </row>
    <row r="776" spans="1:9" hidden="1">
      <c r="A776" s="3819">
        <v>43343</v>
      </c>
      <c r="B776" s="3817" t="s">
        <v>3444</v>
      </c>
      <c r="C776" s="3817">
        <v>58</v>
      </c>
      <c r="D776" s="3817" t="s">
        <v>3533</v>
      </c>
      <c r="E776" s="3817" t="s">
        <v>3453</v>
      </c>
      <c r="F776" s="3817">
        <v>320</v>
      </c>
      <c r="G776" s="3819">
        <v>43181</v>
      </c>
      <c r="H776" s="3817">
        <v>308</v>
      </c>
      <c r="I776" s="3817">
        <v>52471</v>
      </c>
    </row>
    <row r="777" spans="1:9" hidden="1">
      <c r="A777" s="3819">
        <v>43342</v>
      </c>
      <c r="B777" s="3817" t="s">
        <v>3444</v>
      </c>
      <c r="C777" s="3817">
        <v>59</v>
      </c>
      <c r="D777" s="3817" t="s">
        <v>3490</v>
      </c>
      <c r="E777" s="3817" t="s">
        <v>3453</v>
      </c>
      <c r="F777" s="3817">
        <v>345</v>
      </c>
      <c r="G777" s="3819">
        <v>43254</v>
      </c>
      <c r="H777" s="3817">
        <v>338</v>
      </c>
      <c r="I777" s="3817">
        <v>56712</v>
      </c>
    </row>
    <row r="778" spans="1:9" hidden="1">
      <c r="A778" s="3819">
        <v>43341</v>
      </c>
      <c r="B778" s="3817" t="s">
        <v>3444</v>
      </c>
      <c r="C778" s="3817">
        <v>54</v>
      </c>
      <c r="D778" s="3817" t="s">
        <v>3533</v>
      </c>
      <c r="E778" s="3817" t="s">
        <v>3453</v>
      </c>
      <c r="F778" s="3817">
        <v>320</v>
      </c>
      <c r="G778" s="3819">
        <v>43215</v>
      </c>
      <c r="H778" s="3817">
        <v>305</v>
      </c>
      <c r="I778" s="3817">
        <v>55964</v>
      </c>
    </row>
    <row r="779" spans="1:9" hidden="1">
      <c r="A779" s="3819">
        <v>43336</v>
      </c>
      <c r="B779" s="3817" t="s">
        <v>3449</v>
      </c>
      <c r="C779" s="3817">
        <v>68</v>
      </c>
      <c r="D779" s="3817" t="s">
        <v>3533</v>
      </c>
      <c r="E779" s="3817" t="s">
        <v>3453</v>
      </c>
      <c r="F779" s="3817">
        <v>390</v>
      </c>
      <c r="G779" s="3819">
        <v>43329</v>
      </c>
      <c r="H779" s="3817">
        <v>377</v>
      </c>
      <c r="I779" s="3817">
        <v>54678</v>
      </c>
    </row>
    <row r="780" spans="1:9" hidden="1">
      <c r="A780" s="3819">
        <v>43334</v>
      </c>
      <c r="B780" s="3817" t="s">
        <v>3444</v>
      </c>
      <c r="C780" s="3817">
        <v>49</v>
      </c>
      <c r="D780" s="3817" t="s">
        <v>3497</v>
      </c>
      <c r="E780" s="3817" t="s">
        <v>3460</v>
      </c>
      <c r="F780" s="3817">
        <v>310</v>
      </c>
      <c r="G780" s="3819">
        <v>43312</v>
      </c>
      <c r="H780" s="3817">
        <v>300</v>
      </c>
      <c r="I780" s="3817">
        <v>60558</v>
      </c>
    </row>
    <row r="781" spans="1:9" hidden="1">
      <c r="A781" s="3819">
        <v>43330</v>
      </c>
      <c r="B781" s="3817" t="s">
        <v>3444</v>
      </c>
      <c r="C781" s="3817">
        <v>55</v>
      </c>
      <c r="D781" s="3817" t="s">
        <v>3530</v>
      </c>
      <c r="E781" s="3817" t="s">
        <v>3453</v>
      </c>
      <c r="F781" s="3817">
        <v>340</v>
      </c>
      <c r="G781" s="3819">
        <v>43321</v>
      </c>
      <c r="H781" s="3817">
        <v>312</v>
      </c>
      <c r="I781" s="3817">
        <v>56708</v>
      </c>
    </row>
    <row r="782" spans="1:9" hidden="1">
      <c r="A782" s="3819">
        <v>43321</v>
      </c>
      <c r="B782" s="3817" t="s">
        <v>3449</v>
      </c>
      <c r="C782" s="3817">
        <v>69</v>
      </c>
      <c r="D782" s="3817" t="s">
        <v>3490</v>
      </c>
      <c r="E782" s="3817" t="s">
        <v>3453</v>
      </c>
      <c r="F782" s="3817">
        <v>410</v>
      </c>
      <c r="G782" s="3819">
        <v>43250</v>
      </c>
      <c r="H782" s="3817">
        <v>399</v>
      </c>
      <c r="I782" s="3817">
        <v>57818</v>
      </c>
    </row>
    <row r="783" spans="1:9" hidden="1">
      <c r="A783" s="3819">
        <v>43315</v>
      </c>
      <c r="B783" s="3817" t="s">
        <v>3444</v>
      </c>
      <c r="C783" s="3817">
        <v>59</v>
      </c>
      <c r="D783" s="3817" t="s">
        <v>3518</v>
      </c>
      <c r="E783" s="3817" t="s">
        <v>3429</v>
      </c>
      <c r="F783" s="3817">
        <v>370</v>
      </c>
      <c r="G783" s="3819">
        <v>43314</v>
      </c>
      <c r="H783" s="3817">
        <v>381</v>
      </c>
      <c r="I783" s="3817">
        <v>64712</v>
      </c>
    </row>
    <row r="784" spans="1:9" hidden="1">
      <c r="A784" s="3819">
        <v>43315</v>
      </c>
      <c r="B784" s="3817" t="s">
        <v>3449</v>
      </c>
      <c r="C784" s="3817">
        <v>69</v>
      </c>
      <c r="D784" s="3817" t="s">
        <v>3446</v>
      </c>
      <c r="E784" s="3817" t="s">
        <v>3453</v>
      </c>
      <c r="F784" s="3817">
        <v>440</v>
      </c>
      <c r="G784" s="3819">
        <v>43313</v>
      </c>
      <c r="H784" s="3817">
        <v>420</v>
      </c>
      <c r="I784" s="3817">
        <v>60189</v>
      </c>
    </row>
    <row r="785" spans="1:9" hidden="1">
      <c r="A785" s="3819">
        <v>43312</v>
      </c>
      <c r="B785" s="3817" t="s">
        <v>3444</v>
      </c>
      <c r="C785" s="3817">
        <v>55</v>
      </c>
      <c r="D785" s="3817" t="s">
        <v>3491</v>
      </c>
      <c r="E785" s="3817" t="s">
        <v>3429</v>
      </c>
      <c r="F785" s="3817">
        <v>338</v>
      </c>
      <c r="G785" s="3819">
        <v>43263</v>
      </c>
      <c r="H785" s="3817">
        <v>328</v>
      </c>
      <c r="I785" s="3817">
        <v>58677</v>
      </c>
    </row>
    <row r="786" spans="1:9" hidden="1">
      <c r="A786" s="3819">
        <v>43311</v>
      </c>
      <c r="B786" s="3817" t="s">
        <v>3449</v>
      </c>
      <c r="C786" s="3817">
        <v>67</v>
      </c>
      <c r="D786" s="3817" t="s">
        <v>3533</v>
      </c>
      <c r="E786" s="3817" t="s">
        <v>3453</v>
      </c>
      <c r="F786" s="3817">
        <v>386</v>
      </c>
      <c r="G786" s="3819">
        <v>43269</v>
      </c>
      <c r="H786" s="3817">
        <v>370</v>
      </c>
      <c r="I786" s="3817">
        <v>54605</v>
      </c>
    </row>
    <row r="787" spans="1:9" hidden="1">
      <c r="A787" s="3819">
        <v>43311</v>
      </c>
      <c r="B787" s="3817" t="s">
        <v>3449</v>
      </c>
      <c r="C787" s="3817">
        <v>68</v>
      </c>
      <c r="D787" s="3817" t="s">
        <v>3533</v>
      </c>
      <c r="E787" s="3817" t="s">
        <v>3453</v>
      </c>
      <c r="F787" s="3817">
        <v>400</v>
      </c>
      <c r="G787" s="3819">
        <v>43286</v>
      </c>
      <c r="H787" s="3817">
        <v>376</v>
      </c>
      <c r="I787" s="3817">
        <v>54533</v>
      </c>
    </row>
    <row r="788" spans="1:9" hidden="1">
      <c r="A788" s="3819">
        <v>43304</v>
      </c>
      <c r="B788" s="3817" t="s">
        <v>3444</v>
      </c>
      <c r="C788" s="3817">
        <v>57</v>
      </c>
      <c r="D788" s="3817" t="s">
        <v>3497</v>
      </c>
      <c r="E788" s="3817" t="s">
        <v>3453</v>
      </c>
      <c r="F788" s="3817">
        <v>345</v>
      </c>
      <c r="G788" s="3819">
        <v>43301</v>
      </c>
      <c r="H788" s="3817">
        <v>342</v>
      </c>
      <c r="I788" s="3817">
        <v>59582</v>
      </c>
    </row>
    <row r="789" spans="1:9" hidden="1">
      <c r="A789" s="3819">
        <v>43303</v>
      </c>
      <c r="B789" s="3817" t="s">
        <v>3441</v>
      </c>
      <c r="C789" s="3817">
        <v>54</v>
      </c>
      <c r="D789" s="3817" t="s">
        <v>3490</v>
      </c>
      <c r="E789" s="3817" t="s">
        <v>3505</v>
      </c>
      <c r="F789" s="3817">
        <v>0</v>
      </c>
      <c r="G789" s="3820"/>
      <c r="H789" s="3817">
        <v>328</v>
      </c>
      <c r="I789" s="3817">
        <v>60710</v>
      </c>
    </row>
    <row r="790" spans="1:9" hidden="1">
      <c r="A790" s="3819">
        <v>43301</v>
      </c>
      <c r="B790" s="3817" t="s">
        <v>3444</v>
      </c>
      <c r="C790" s="3817">
        <v>58</v>
      </c>
      <c r="D790" s="3817" t="s">
        <v>3533</v>
      </c>
      <c r="E790" s="3817" t="s">
        <v>3453</v>
      </c>
      <c r="F790" s="3817">
        <v>319</v>
      </c>
      <c r="G790" s="3819">
        <v>43289</v>
      </c>
      <c r="H790" s="3817">
        <v>316</v>
      </c>
      <c r="I790" s="3817">
        <v>53834</v>
      </c>
    </row>
    <row r="791" spans="1:9" hidden="1">
      <c r="A791" s="3819">
        <v>43300</v>
      </c>
      <c r="B791" s="3817" t="s">
        <v>3449</v>
      </c>
      <c r="C791" s="3817">
        <v>52</v>
      </c>
      <c r="D791" s="3817" t="s">
        <v>3530</v>
      </c>
      <c r="E791" s="3817" t="s">
        <v>3453</v>
      </c>
      <c r="F791" s="3817">
        <v>339</v>
      </c>
      <c r="G791" s="3819">
        <v>43065</v>
      </c>
      <c r="H791" s="3817">
        <v>325</v>
      </c>
      <c r="I791" s="3817">
        <v>61905</v>
      </c>
    </row>
    <row r="792" spans="1:9" hidden="1">
      <c r="A792" s="3819">
        <v>43299</v>
      </c>
      <c r="B792" s="3817" t="s">
        <v>3441</v>
      </c>
      <c r="C792" s="3817">
        <v>58</v>
      </c>
      <c r="D792" s="3817" t="s">
        <v>3491</v>
      </c>
      <c r="E792" s="3817" t="s">
        <v>3505</v>
      </c>
      <c r="F792" s="3817">
        <v>0</v>
      </c>
      <c r="G792" s="3820"/>
      <c r="H792" s="3817">
        <v>350</v>
      </c>
      <c r="I792" s="3817">
        <v>59932</v>
      </c>
    </row>
    <row r="793" spans="1:9" hidden="1">
      <c r="A793" s="3819">
        <v>43297</v>
      </c>
      <c r="B793" s="3817" t="s">
        <v>3444</v>
      </c>
      <c r="C793" s="3817">
        <v>56</v>
      </c>
      <c r="D793" s="3817" t="s">
        <v>3491</v>
      </c>
      <c r="E793" s="3817" t="s">
        <v>3453</v>
      </c>
      <c r="F793" s="3817">
        <v>350</v>
      </c>
      <c r="G793" s="3819">
        <v>43292</v>
      </c>
      <c r="H793" s="3817">
        <v>329</v>
      </c>
      <c r="I793" s="3817">
        <v>57852</v>
      </c>
    </row>
    <row r="794" spans="1:9" hidden="1">
      <c r="A794" s="3819">
        <v>43293</v>
      </c>
      <c r="B794" s="3817" t="s">
        <v>3444</v>
      </c>
      <c r="C794" s="3817">
        <v>54</v>
      </c>
      <c r="D794" s="3817" t="s">
        <v>3490</v>
      </c>
      <c r="E794" s="3817" t="s">
        <v>3453</v>
      </c>
      <c r="F794" s="3817">
        <v>320</v>
      </c>
      <c r="G794" s="3819">
        <v>43255</v>
      </c>
      <c r="H794" s="3817">
        <v>309</v>
      </c>
      <c r="I794" s="3817">
        <v>56582</v>
      </c>
    </row>
    <row r="795" spans="1:9" hidden="1">
      <c r="A795" s="3819">
        <v>43292</v>
      </c>
      <c r="B795" s="3817" t="s">
        <v>3441</v>
      </c>
      <c r="C795" s="3817">
        <v>62</v>
      </c>
      <c r="D795" s="3817" t="s">
        <v>3491</v>
      </c>
      <c r="E795" s="3817" t="s">
        <v>3512</v>
      </c>
      <c r="F795" s="3817">
        <v>0</v>
      </c>
      <c r="G795" s="3820"/>
      <c r="H795" s="3817">
        <v>343</v>
      </c>
      <c r="I795" s="3817">
        <v>54766</v>
      </c>
    </row>
    <row r="796" spans="1:9" hidden="1">
      <c r="A796" s="3819">
        <v>43291</v>
      </c>
      <c r="B796" s="3817" t="s">
        <v>3444</v>
      </c>
      <c r="C796" s="3817">
        <v>57</v>
      </c>
      <c r="D796" s="3817" t="s">
        <v>3490</v>
      </c>
      <c r="E796" s="3817" t="s">
        <v>3453</v>
      </c>
      <c r="F796" s="3817">
        <v>345</v>
      </c>
      <c r="G796" s="3819">
        <v>43278</v>
      </c>
      <c r="H796" s="3817">
        <v>339</v>
      </c>
      <c r="I796" s="3817">
        <v>59060</v>
      </c>
    </row>
    <row r="797" spans="1:9" hidden="1">
      <c r="A797" s="3819">
        <v>43291</v>
      </c>
      <c r="B797" s="3817" t="s">
        <v>3441</v>
      </c>
      <c r="C797" s="3817">
        <v>57</v>
      </c>
      <c r="D797" s="3817" t="s">
        <v>3491</v>
      </c>
      <c r="E797" s="3817" t="s">
        <v>3505</v>
      </c>
      <c r="F797" s="3817">
        <v>0</v>
      </c>
      <c r="G797" s="3820"/>
      <c r="H797" s="3817">
        <v>339</v>
      </c>
      <c r="I797" s="3817">
        <v>59059</v>
      </c>
    </row>
    <row r="798" spans="1:9" hidden="1">
      <c r="A798" s="3819">
        <v>43288</v>
      </c>
      <c r="B798" s="3817" t="s">
        <v>3471</v>
      </c>
      <c r="C798" s="3817">
        <v>43</v>
      </c>
      <c r="D798" s="3817" t="s">
        <v>3491</v>
      </c>
      <c r="E798" s="3817" t="s">
        <v>3429</v>
      </c>
      <c r="F798" s="3817">
        <v>265</v>
      </c>
      <c r="G798" s="3819">
        <v>43285</v>
      </c>
      <c r="H798" s="3817">
        <v>250</v>
      </c>
      <c r="I798" s="3817">
        <v>57884</v>
      </c>
    </row>
    <row r="799" spans="1:9" hidden="1">
      <c r="A799" s="3819">
        <v>43286</v>
      </c>
      <c r="B799" s="3817" t="s">
        <v>3471</v>
      </c>
      <c r="C799" s="3817">
        <v>43</v>
      </c>
      <c r="D799" s="3817" t="s">
        <v>3490</v>
      </c>
      <c r="E799" s="3817" t="s">
        <v>3442</v>
      </c>
      <c r="F799" s="3817">
        <v>255</v>
      </c>
      <c r="G799" s="3819">
        <v>43251</v>
      </c>
      <c r="H799" s="3817">
        <v>250</v>
      </c>
      <c r="I799" s="3817">
        <v>57987</v>
      </c>
    </row>
    <row r="800" spans="1:9" hidden="1">
      <c r="A800" s="3819">
        <v>43285</v>
      </c>
      <c r="B800" s="3817" t="s">
        <v>3444</v>
      </c>
      <c r="C800" s="3817">
        <v>73</v>
      </c>
      <c r="D800" s="3817" t="s">
        <v>3518</v>
      </c>
      <c r="E800" s="3817" t="s">
        <v>3470</v>
      </c>
      <c r="F800" s="3817">
        <v>390</v>
      </c>
      <c r="G800" s="3819">
        <v>43283</v>
      </c>
      <c r="H800" s="3817">
        <v>380</v>
      </c>
      <c r="I800" s="3817">
        <v>51631</v>
      </c>
    </row>
    <row r="801" spans="1:9" hidden="1">
      <c r="A801" s="3819">
        <v>43275</v>
      </c>
      <c r="B801" s="3817" t="s">
        <v>3444</v>
      </c>
      <c r="C801" s="3817">
        <v>68</v>
      </c>
      <c r="D801" s="3817" t="s">
        <v>3495</v>
      </c>
      <c r="E801" s="3817" t="s">
        <v>3478</v>
      </c>
      <c r="F801" s="3817">
        <v>388</v>
      </c>
      <c r="G801" s="3819">
        <v>43248</v>
      </c>
      <c r="H801" s="3817">
        <v>380</v>
      </c>
      <c r="I801" s="3817">
        <v>55097</v>
      </c>
    </row>
    <row r="802" spans="1:9" hidden="1">
      <c r="A802" s="3819">
        <v>43271</v>
      </c>
      <c r="B802" s="3817" t="s">
        <v>3471</v>
      </c>
      <c r="C802" s="3817">
        <v>57</v>
      </c>
      <c r="D802" s="3817" t="s">
        <v>3499</v>
      </c>
      <c r="E802" s="3817" t="s">
        <v>3442</v>
      </c>
      <c r="F802" s="3817">
        <v>299</v>
      </c>
      <c r="G802" s="3819">
        <v>43044</v>
      </c>
      <c r="H802" s="3817">
        <v>287</v>
      </c>
      <c r="I802" s="3817">
        <v>49888</v>
      </c>
    </row>
    <row r="803" spans="1:9" hidden="1">
      <c r="A803" s="3819">
        <v>43260</v>
      </c>
      <c r="B803" s="3817" t="s">
        <v>3444</v>
      </c>
      <c r="C803" s="3817">
        <v>55</v>
      </c>
      <c r="D803" s="3817" t="s">
        <v>3533</v>
      </c>
      <c r="E803" s="3817" t="s">
        <v>3512</v>
      </c>
      <c r="F803" s="3817">
        <v>305</v>
      </c>
      <c r="G803" s="3819">
        <v>43190</v>
      </c>
      <c r="H803" s="3817">
        <v>303</v>
      </c>
      <c r="I803" s="3817">
        <v>55237</v>
      </c>
    </row>
    <row r="804" spans="1:9" hidden="1">
      <c r="A804" s="3819">
        <v>43256</v>
      </c>
      <c r="B804" s="3817" t="s">
        <v>3444</v>
      </c>
      <c r="C804" s="3817">
        <v>73</v>
      </c>
      <c r="D804" s="3817" t="s">
        <v>3495</v>
      </c>
      <c r="E804" s="3817" t="s">
        <v>3477</v>
      </c>
      <c r="F804" s="3817">
        <v>370</v>
      </c>
      <c r="G804" s="3819">
        <v>43197</v>
      </c>
      <c r="H804" s="3817">
        <v>356</v>
      </c>
      <c r="I804" s="3817">
        <v>48350</v>
      </c>
    </row>
    <row r="805" spans="1:9" hidden="1">
      <c r="A805" s="3819">
        <v>43251</v>
      </c>
      <c r="B805" s="3817" t="s">
        <v>3444</v>
      </c>
      <c r="C805" s="3817">
        <v>73</v>
      </c>
      <c r="D805" s="3817" t="s">
        <v>3496</v>
      </c>
      <c r="E805" s="3817" t="s">
        <v>3470</v>
      </c>
      <c r="F805" s="3817">
        <v>415</v>
      </c>
      <c r="G805" s="3819">
        <v>43193</v>
      </c>
      <c r="H805" s="3817">
        <v>390</v>
      </c>
      <c r="I805" s="3817">
        <v>52918</v>
      </c>
    </row>
    <row r="806" spans="1:9" hidden="1">
      <c r="A806" s="3819">
        <v>43251</v>
      </c>
      <c r="B806" s="3817" t="s">
        <v>3444</v>
      </c>
      <c r="C806" s="3817">
        <v>73</v>
      </c>
      <c r="D806" s="3817" t="s">
        <v>3496</v>
      </c>
      <c r="E806" s="3817" t="s">
        <v>3428</v>
      </c>
      <c r="F806" s="3817">
        <v>390</v>
      </c>
      <c r="G806" s="3819">
        <v>43142</v>
      </c>
      <c r="H806" s="3817">
        <v>377</v>
      </c>
      <c r="I806" s="3817">
        <v>51202</v>
      </c>
    </row>
    <row r="807" spans="1:9" hidden="1">
      <c r="A807" s="3819">
        <v>43250</v>
      </c>
      <c r="B807" s="3817" t="s">
        <v>3444</v>
      </c>
      <c r="C807" s="3817">
        <v>71</v>
      </c>
      <c r="D807" s="3817" t="s">
        <v>3499</v>
      </c>
      <c r="E807" s="3817" t="s">
        <v>3429</v>
      </c>
      <c r="F807" s="3817">
        <v>370</v>
      </c>
      <c r="G807" s="3819">
        <v>43233</v>
      </c>
      <c r="H807" s="3817">
        <v>364</v>
      </c>
      <c r="I807" s="3817">
        <v>50931</v>
      </c>
    </row>
    <row r="808" spans="1:9" hidden="1">
      <c r="A808" s="3819">
        <v>43250</v>
      </c>
      <c r="B808" s="3817" t="s">
        <v>3444</v>
      </c>
      <c r="C808" s="3817">
        <v>56</v>
      </c>
      <c r="D808" s="3817" t="s">
        <v>3490</v>
      </c>
      <c r="E808" s="3817" t="s">
        <v>3453</v>
      </c>
      <c r="F808" s="3817">
        <v>345</v>
      </c>
      <c r="G808" s="3819">
        <v>43207</v>
      </c>
      <c r="H808" s="3817">
        <v>330</v>
      </c>
      <c r="I808" s="3817">
        <v>58824</v>
      </c>
    </row>
    <row r="809" spans="1:9" hidden="1">
      <c r="A809" s="3819">
        <v>43246</v>
      </c>
      <c r="B809" s="3817" t="s">
        <v>3444</v>
      </c>
      <c r="C809" s="3817">
        <v>67</v>
      </c>
      <c r="D809" s="3817" t="s">
        <v>3533</v>
      </c>
      <c r="E809" s="3817" t="s">
        <v>3453</v>
      </c>
      <c r="F809" s="3817">
        <v>372</v>
      </c>
      <c r="G809" s="3819">
        <v>43062</v>
      </c>
      <c r="H809" s="3817">
        <v>367</v>
      </c>
      <c r="I809" s="3817">
        <v>54162</v>
      </c>
    </row>
    <row r="810" spans="1:9" hidden="1">
      <c r="A810" s="3819">
        <v>43245</v>
      </c>
      <c r="B810" s="3817" t="s">
        <v>3444</v>
      </c>
      <c r="C810" s="3817">
        <v>84</v>
      </c>
      <c r="D810" s="3817" t="s">
        <v>3541</v>
      </c>
      <c r="E810" s="3817" t="s">
        <v>3479</v>
      </c>
      <c r="F810" s="3817">
        <v>425</v>
      </c>
      <c r="G810" s="3819">
        <v>43089</v>
      </c>
      <c r="H810" s="3817">
        <v>419</v>
      </c>
      <c r="I810" s="3817">
        <v>49306</v>
      </c>
    </row>
    <row r="811" spans="1:9" hidden="1">
      <c r="A811" s="3819">
        <v>43237</v>
      </c>
      <c r="B811" s="3817" t="s">
        <v>3444</v>
      </c>
      <c r="C811" s="3817">
        <v>57</v>
      </c>
      <c r="D811" s="3817" t="s">
        <v>3490</v>
      </c>
      <c r="E811" s="3817" t="s">
        <v>3453</v>
      </c>
      <c r="F811" s="3817">
        <v>310</v>
      </c>
      <c r="G811" s="3819">
        <v>43160</v>
      </c>
      <c r="H811" s="3817">
        <v>310</v>
      </c>
      <c r="I811" s="3817">
        <v>54196</v>
      </c>
    </row>
    <row r="812" spans="1:9" hidden="1">
      <c r="A812" s="3819">
        <v>43237</v>
      </c>
      <c r="B812" s="3817" t="s">
        <v>3444</v>
      </c>
      <c r="C812" s="3817">
        <v>57</v>
      </c>
      <c r="D812" s="3817" t="s">
        <v>3533</v>
      </c>
      <c r="E812" s="3817" t="s">
        <v>3453</v>
      </c>
      <c r="F812" s="3817">
        <v>300</v>
      </c>
      <c r="G812" s="3819">
        <v>43216</v>
      </c>
      <c r="H812" s="3817">
        <v>286</v>
      </c>
      <c r="I812" s="3817">
        <v>50088</v>
      </c>
    </row>
    <row r="813" spans="1:9" hidden="1">
      <c r="A813" s="3819">
        <v>43236</v>
      </c>
      <c r="B813" s="3817" t="s">
        <v>3444</v>
      </c>
      <c r="C813" s="3817">
        <v>56</v>
      </c>
      <c r="D813" s="3817" t="s">
        <v>3490</v>
      </c>
      <c r="E813" s="3817" t="s">
        <v>3453</v>
      </c>
      <c r="F813" s="3817">
        <v>329</v>
      </c>
      <c r="G813" s="3819">
        <v>43221</v>
      </c>
      <c r="H813" s="3817">
        <v>320</v>
      </c>
      <c r="I813" s="3817">
        <v>56940</v>
      </c>
    </row>
    <row r="814" spans="1:9" hidden="1">
      <c r="A814" s="3819">
        <v>43236</v>
      </c>
      <c r="B814" s="3817" t="s">
        <v>3444</v>
      </c>
      <c r="C814" s="3817">
        <v>62</v>
      </c>
      <c r="D814" s="3817" t="s">
        <v>3518</v>
      </c>
      <c r="E814" s="3817" t="s">
        <v>3468</v>
      </c>
      <c r="F814" s="3817">
        <v>400</v>
      </c>
      <c r="G814" s="3819">
        <v>43193</v>
      </c>
      <c r="H814" s="3817">
        <v>380</v>
      </c>
      <c r="I814" s="3817">
        <v>61232</v>
      </c>
    </row>
    <row r="815" spans="1:9" hidden="1">
      <c r="A815" s="3819">
        <v>43234</v>
      </c>
      <c r="B815" s="3817" t="s">
        <v>3444</v>
      </c>
      <c r="C815" s="3817">
        <v>54</v>
      </c>
      <c r="D815" s="3817" t="s">
        <v>3533</v>
      </c>
      <c r="E815" s="3817" t="s">
        <v>3453</v>
      </c>
      <c r="F815" s="3817">
        <v>320</v>
      </c>
      <c r="G815" s="3819">
        <v>43048</v>
      </c>
      <c r="H815" s="3817">
        <v>310</v>
      </c>
      <c r="I815" s="3817">
        <v>57291</v>
      </c>
    </row>
    <row r="816" spans="1:9" hidden="1">
      <c r="A816" s="3819">
        <v>43234</v>
      </c>
      <c r="B816" s="3817" t="s">
        <v>3444</v>
      </c>
      <c r="C816" s="3817">
        <v>57</v>
      </c>
      <c r="D816" s="3817" t="s">
        <v>3491</v>
      </c>
      <c r="E816" s="3817" t="s">
        <v>3453</v>
      </c>
      <c r="F816" s="3817">
        <v>331</v>
      </c>
      <c r="G816" s="3819">
        <v>43218</v>
      </c>
      <c r="H816" s="3817">
        <v>305</v>
      </c>
      <c r="I816" s="3817">
        <v>53322</v>
      </c>
    </row>
    <row r="817" spans="1:9" hidden="1">
      <c r="A817" s="3819">
        <v>43233</v>
      </c>
      <c r="B817" s="3817" t="s">
        <v>3449</v>
      </c>
      <c r="C817" s="3817">
        <v>69</v>
      </c>
      <c r="D817" s="3817" t="s">
        <v>3533</v>
      </c>
      <c r="E817" s="3817" t="s">
        <v>3453</v>
      </c>
      <c r="F817" s="3817">
        <v>370</v>
      </c>
      <c r="G817" s="3819">
        <v>43184</v>
      </c>
      <c r="H817" s="3817">
        <v>354</v>
      </c>
      <c r="I817" s="3817">
        <v>50936</v>
      </c>
    </row>
    <row r="818" spans="1:9" hidden="1">
      <c r="A818" s="3819">
        <v>43232</v>
      </c>
      <c r="B818" s="3817" t="s">
        <v>3444</v>
      </c>
      <c r="C818" s="3817">
        <v>73</v>
      </c>
      <c r="D818" s="3817" t="s">
        <v>3496</v>
      </c>
      <c r="E818" s="3817" t="s">
        <v>3478</v>
      </c>
      <c r="F818" s="3817">
        <v>380</v>
      </c>
      <c r="G818" s="3819">
        <v>43023</v>
      </c>
      <c r="H818" s="3817">
        <v>357</v>
      </c>
      <c r="I818" s="3817">
        <v>48486</v>
      </c>
    </row>
    <row r="819" spans="1:9" hidden="1">
      <c r="A819" s="3819">
        <v>43231</v>
      </c>
      <c r="B819" s="3817" t="s">
        <v>3441</v>
      </c>
      <c r="C819" s="3817">
        <v>57</v>
      </c>
      <c r="D819" s="3817" t="s">
        <v>3491</v>
      </c>
      <c r="E819" s="3817" t="s">
        <v>3505</v>
      </c>
      <c r="F819" s="3817">
        <v>0</v>
      </c>
      <c r="G819" s="3820"/>
      <c r="H819" s="3817">
        <v>335</v>
      </c>
      <c r="I819" s="3817">
        <v>58566</v>
      </c>
    </row>
    <row r="820" spans="1:9" hidden="1">
      <c r="A820" s="3819">
        <v>43228</v>
      </c>
      <c r="B820" s="3817" t="s">
        <v>3444</v>
      </c>
      <c r="C820" s="3817">
        <v>57</v>
      </c>
      <c r="D820" s="3817" t="s">
        <v>3491</v>
      </c>
      <c r="E820" s="3817" t="s">
        <v>3453</v>
      </c>
      <c r="F820" s="3817">
        <v>330</v>
      </c>
      <c r="G820" s="3819">
        <v>43221</v>
      </c>
      <c r="H820" s="3817">
        <v>324</v>
      </c>
      <c r="I820" s="3817">
        <v>56446</v>
      </c>
    </row>
    <row r="821" spans="1:9" hidden="1">
      <c r="A821" s="3819">
        <v>43227</v>
      </c>
      <c r="B821" s="3817" t="s">
        <v>3441</v>
      </c>
      <c r="C821" s="3817">
        <v>64</v>
      </c>
      <c r="D821" s="3817" t="s">
        <v>3518</v>
      </c>
      <c r="E821" s="3817" t="s">
        <v>3429</v>
      </c>
      <c r="F821" s="3817">
        <v>0</v>
      </c>
      <c r="G821" s="3820"/>
      <c r="H821" s="3817">
        <v>368</v>
      </c>
      <c r="I821" s="3817">
        <v>56738</v>
      </c>
    </row>
    <row r="822" spans="1:9" hidden="1">
      <c r="A822" s="3819">
        <v>43226</v>
      </c>
      <c r="B822" s="3817" t="s">
        <v>3444</v>
      </c>
      <c r="C822" s="3817">
        <v>62</v>
      </c>
      <c r="D822" s="3817" t="s">
        <v>3518</v>
      </c>
      <c r="E822" s="3817" t="s">
        <v>3464</v>
      </c>
      <c r="F822" s="3817">
        <v>398</v>
      </c>
      <c r="G822" s="3819">
        <v>43137</v>
      </c>
      <c r="H822" s="3817">
        <v>389</v>
      </c>
      <c r="I822" s="3817">
        <v>62682</v>
      </c>
    </row>
    <row r="823" spans="1:9" hidden="1">
      <c r="A823" s="3819">
        <v>43226</v>
      </c>
      <c r="B823" s="3817" t="s">
        <v>3441</v>
      </c>
      <c r="C823" s="3817">
        <v>67</v>
      </c>
      <c r="D823" s="3817" t="s">
        <v>3491</v>
      </c>
      <c r="E823" s="3817" t="s">
        <v>3505</v>
      </c>
      <c r="F823" s="3817">
        <v>0</v>
      </c>
      <c r="G823" s="3820"/>
      <c r="H823" s="3817">
        <v>390</v>
      </c>
      <c r="I823" s="3817">
        <v>57404</v>
      </c>
    </row>
    <row r="824" spans="1:9" hidden="1">
      <c r="A824" s="3819">
        <v>43225</v>
      </c>
      <c r="B824" s="3817" t="s">
        <v>3444</v>
      </c>
      <c r="C824" s="3817">
        <v>53</v>
      </c>
      <c r="D824" s="3817" t="s">
        <v>3530</v>
      </c>
      <c r="E824" s="3817" t="s">
        <v>3453</v>
      </c>
      <c r="F824" s="3817">
        <v>340</v>
      </c>
      <c r="G824" s="3819">
        <v>43186</v>
      </c>
      <c r="H824" s="3817">
        <v>335</v>
      </c>
      <c r="I824" s="3817">
        <v>62500</v>
      </c>
    </row>
    <row r="825" spans="1:9" hidden="1">
      <c r="A825" s="3819">
        <v>43224</v>
      </c>
      <c r="B825" s="3817" t="s">
        <v>3444</v>
      </c>
      <c r="C825" s="3817">
        <v>64</v>
      </c>
      <c r="D825" s="3817" t="s">
        <v>3495</v>
      </c>
      <c r="E825" s="3817" t="s">
        <v>3429</v>
      </c>
      <c r="F825" s="3817">
        <v>380</v>
      </c>
      <c r="G825" s="3819">
        <v>43178</v>
      </c>
      <c r="H825" s="3817">
        <v>380</v>
      </c>
      <c r="I825" s="3817">
        <v>58633</v>
      </c>
    </row>
    <row r="826" spans="1:9" hidden="1">
      <c r="A826" s="3819">
        <v>43224</v>
      </c>
      <c r="B826" s="3817" t="s">
        <v>3441</v>
      </c>
      <c r="C826" s="3817">
        <v>54</v>
      </c>
      <c r="D826" s="3817" t="s">
        <v>3491</v>
      </c>
      <c r="E826" s="3817" t="s">
        <v>3505</v>
      </c>
      <c r="F826" s="3817">
        <v>0</v>
      </c>
      <c r="G826" s="3820"/>
      <c r="H826" s="3817">
        <v>325</v>
      </c>
      <c r="I826" s="3817">
        <v>59448</v>
      </c>
    </row>
    <row r="827" spans="1:9" hidden="1">
      <c r="A827" s="3819">
        <v>43222</v>
      </c>
      <c r="B827" s="3817" t="s">
        <v>3482</v>
      </c>
      <c r="C827" s="3817">
        <v>47</v>
      </c>
      <c r="D827" s="3817" t="s">
        <v>3491</v>
      </c>
      <c r="E827" s="3817" t="s">
        <v>3468</v>
      </c>
      <c r="F827" s="3817">
        <v>249</v>
      </c>
      <c r="G827" s="3819">
        <v>43103</v>
      </c>
      <c r="H827" s="3817">
        <v>245</v>
      </c>
      <c r="I827" s="3817">
        <v>51841</v>
      </c>
    </row>
    <row r="828" spans="1:9" hidden="1">
      <c r="A828" s="3819">
        <v>43220</v>
      </c>
      <c r="B828" s="3817" t="s">
        <v>3444</v>
      </c>
      <c r="C828" s="3817">
        <v>57</v>
      </c>
      <c r="D828" s="3817" t="s">
        <v>3491</v>
      </c>
      <c r="E828" s="3817" t="s">
        <v>3453</v>
      </c>
      <c r="F828" s="3817">
        <v>340</v>
      </c>
      <c r="G828" s="3819">
        <v>43214</v>
      </c>
      <c r="H828" s="3817">
        <v>326</v>
      </c>
      <c r="I828" s="3817">
        <v>56994</v>
      </c>
    </row>
    <row r="829" spans="1:9" hidden="1">
      <c r="A829" s="3819">
        <v>43217</v>
      </c>
      <c r="B829" s="3817" t="s">
        <v>3449</v>
      </c>
      <c r="C829" s="3817">
        <v>91</v>
      </c>
      <c r="D829" s="3817" t="s">
        <v>3541</v>
      </c>
      <c r="E829" s="3817" t="s">
        <v>3468</v>
      </c>
      <c r="F829" s="3817">
        <v>430</v>
      </c>
      <c r="G829" s="3819">
        <v>43064</v>
      </c>
      <c r="H829" s="3817">
        <v>405</v>
      </c>
      <c r="I829" s="3817">
        <v>44350</v>
      </c>
    </row>
    <row r="830" spans="1:9" hidden="1">
      <c r="A830" s="3819">
        <v>43216</v>
      </c>
      <c r="B830" s="3817" t="s">
        <v>3444</v>
      </c>
      <c r="C830" s="3817">
        <v>52</v>
      </c>
      <c r="D830" s="3817" t="s">
        <v>3530</v>
      </c>
      <c r="E830" s="3817" t="s">
        <v>3453</v>
      </c>
      <c r="F830" s="3817">
        <v>310</v>
      </c>
      <c r="G830" s="3819">
        <v>42965</v>
      </c>
      <c r="H830" s="3817">
        <v>307</v>
      </c>
      <c r="I830" s="3817">
        <v>58477</v>
      </c>
    </row>
    <row r="831" spans="1:9" hidden="1">
      <c r="A831" s="3819">
        <v>43216</v>
      </c>
      <c r="B831" s="3817" t="s">
        <v>3471</v>
      </c>
      <c r="C831" s="3817">
        <v>40</v>
      </c>
      <c r="D831" s="3817" t="s">
        <v>3533</v>
      </c>
      <c r="E831" s="3817" t="s">
        <v>3429</v>
      </c>
      <c r="F831" s="3817">
        <v>245</v>
      </c>
      <c r="G831" s="3819">
        <v>43199</v>
      </c>
      <c r="H831" s="3817">
        <v>241</v>
      </c>
      <c r="I831" s="3817">
        <v>59214</v>
      </c>
    </row>
    <row r="832" spans="1:9" hidden="1">
      <c r="A832" s="3819">
        <v>43212</v>
      </c>
      <c r="B832" s="3817" t="s">
        <v>3441</v>
      </c>
      <c r="C832" s="3817">
        <v>54</v>
      </c>
      <c r="D832" s="3817" t="s">
        <v>3490</v>
      </c>
      <c r="E832" s="3817" t="s">
        <v>3505</v>
      </c>
      <c r="F832" s="3817">
        <v>0</v>
      </c>
      <c r="G832" s="3820"/>
      <c r="H832" s="3817">
        <v>302</v>
      </c>
      <c r="I832" s="3817">
        <v>55210</v>
      </c>
    </row>
    <row r="833" spans="1:9" hidden="1">
      <c r="A833" s="3819">
        <v>43211</v>
      </c>
      <c r="B833" s="3817" t="s">
        <v>3449</v>
      </c>
      <c r="C833" s="3817">
        <v>69</v>
      </c>
      <c r="D833" s="3817" t="s">
        <v>3533</v>
      </c>
      <c r="E833" s="3817" t="s">
        <v>3453</v>
      </c>
      <c r="F833" s="3817">
        <v>370</v>
      </c>
      <c r="G833" s="3819">
        <v>43209</v>
      </c>
      <c r="H833" s="3817">
        <v>346</v>
      </c>
      <c r="I833" s="3817">
        <v>50138</v>
      </c>
    </row>
    <row r="834" spans="1:9" hidden="1">
      <c r="A834" s="3819">
        <v>43208</v>
      </c>
      <c r="B834" s="3817" t="s">
        <v>3444</v>
      </c>
      <c r="C834" s="3817">
        <v>84</v>
      </c>
      <c r="D834" s="3817" t="s">
        <v>3499</v>
      </c>
      <c r="E834" s="3817" t="s">
        <v>3460</v>
      </c>
      <c r="F834" s="3817">
        <v>430</v>
      </c>
      <c r="G834" s="3819">
        <v>43182</v>
      </c>
      <c r="H834" s="3817">
        <v>414</v>
      </c>
      <c r="I834" s="3817">
        <v>48796</v>
      </c>
    </row>
    <row r="835" spans="1:9" hidden="1">
      <c r="A835" s="3819">
        <v>43206</v>
      </c>
      <c r="B835" s="3817" t="s">
        <v>3444</v>
      </c>
      <c r="C835" s="3817">
        <v>58</v>
      </c>
      <c r="D835" s="3817" t="s">
        <v>3533</v>
      </c>
      <c r="E835" s="3817" t="s">
        <v>3453</v>
      </c>
      <c r="F835" s="3817">
        <v>320</v>
      </c>
      <c r="G835" s="3819">
        <v>43170</v>
      </c>
      <c r="H835" s="3817">
        <v>313</v>
      </c>
      <c r="I835" s="3817">
        <v>53232</v>
      </c>
    </row>
    <row r="836" spans="1:9" hidden="1">
      <c r="A836" s="3819">
        <v>43205</v>
      </c>
      <c r="B836" s="3817" t="s">
        <v>3444</v>
      </c>
      <c r="C836" s="3817">
        <v>71</v>
      </c>
      <c r="D836" s="3817" t="s">
        <v>3490</v>
      </c>
      <c r="E836" s="3817" t="s">
        <v>3453</v>
      </c>
      <c r="F836" s="3817">
        <v>403</v>
      </c>
      <c r="G836" s="3819">
        <v>43189</v>
      </c>
      <c r="H836" s="3817">
        <v>393</v>
      </c>
      <c r="I836" s="3817">
        <v>55035</v>
      </c>
    </row>
    <row r="837" spans="1:9" hidden="1">
      <c r="A837" s="3819">
        <v>43205</v>
      </c>
      <c r="B837" s="3817" t="s">
        <v>3441</v>
      </c>
      <c r="C837" s="3817">
        <v>57</v>
      </c>
      <c r="D837" s="3817" t="s">
        <v>3491</v>
      </c>
      <c r="E837" s="3817" t="s">
        <v>3505</v>
      </c>
      <c r="F837" s="3817">
        <v>0</v>
      </c>
      <c r="G837" s="3820"/>
      <c r="H837" s="3817">
        <v>323</v>
      </c>
      <c r="I837" s="3817">
        <v>56469</v>
      </c>
    </row>
    <row r="838" spans="1:9" hidden="1">
      <c r="A838" s="3819">
        <v>43205</v>
      </c>
      <c r="B838" s="3817" t="s">
        <v>3448</v>
      </c>
      <c r="C838" s="3817">
        <v>57</v>
      </c>
      <c r="D838" s="3817" t="s">
        <v>3526</v>
      </c>
      <c r="E838" s="3817" t="s">
        <v>3442</v>
      </c>
      <c r="F838" s="3817">
        <v>0</v>
      </c>
      <c r="G838" s="3820"/>
      <c r="H838" s="3817">
        <v>280</v>
      </c>
      <c r="I838" s="3817">
        <v>48586</v>
      </c>
    </row>
    <row r="839" spans="1:9" hidden="1">
      <c r="A839" s="3819">
        <v>43200</v>
      </c>
      <c r="B839" s="3817" t="s">
        <v>3441</v>
      </c>
      <c r="C839" s="3817">
        <v>54</v>
      </c>
      <c r="D839" s="3817" t="s">
        <v>3490</v>
      </c>
      <c r="E839" s="3817" t="s">
        <v>3512</v>
      </c>
      <c r="F839" s="3817">
        <v>0</v>
      </c>
      <c r="G839" s="3820"/>
      <c r="H839" s="3817">
        <v>150</v>
      </c>
      <c r="I839" s="3817">
        <v>27372</v>
      </c>
    </row>
    <row r="840" spans="1:9" hidden="1">
      <c r="A840" s="3819">
        <v>43194</v>
      </c>
      <c r="B840" s="3817" t="s">
        <v>3441</v>
      </c>
      <c r="C840" s="3817">
        <v>62</v>
      </c>
      <c r="D840" s="3817" t="s">
        <v>3495</v>
      </c>
      <c r="E840" s="3817" t="s">
        <v>3464</v>
      </c>
      <c r="F840" s="3817">
        <v>0</v>
      </c>
      <c r="G840" s="3820"/>
      <c r="H840" s="3817">
        <v>353</v>
      </c>
      <c r="I840" s="3817">
        <v>56345</v>
      </c>
    </row>
    <row r="841" spans="1:9" hidden="1">
      <c r="A841" s="3819">
        <v>43192</v>
      </c>
      <c r="B841" s="3817" t="s">
        <v>3475</v>
      </c>
      <c r="C841" s="3817">
        <v>69</v>
      </c>
      <c r="D841" s="3817" t="s">
        <v>3491</v>
      </c>
      <c r="E841" s="3817" t="s">
        <v>3505</v>
      </c>
      <c r="F841" s="3817">
        <v>0</v>
      </c>
      <c r="G841" s="3820"/>
      <c r="H841" s="3817">
        <v>393</v>
      </c>
      <c r="I841" s="3817">
        <v>56948</v>
      </c>
    </row>
    <row r="842" spans="1:9" hidden="1">
      <c r="A842" s="3819">
        <v>43189</v>
      </c>
      <c r="B842" s="3817" t="s">
        <v>3444</v>
      </c>
      <c r="C842" s="3817">
        <v>62</v>
      </c>
      <c r="D842" s="3817" t="s">
        <v>3491</v>
      </c>
      <c r="E842" s="3817" t="s">
        <v>3453</v>
      </c>
      <c r="F842" s="3817">
        <v>388</v>
      </c>
      <c r="G842" s="3819">
        <v>43158</v>
      </c>
      <c r="H842" s="3817">
        <v>346</v>
      </c>
      <c r="I842" s="3817">
        <v>55096</v>
      </c>
    </row>
    <row r="843" spans="1:9" hidden="1">
      <c r="A843" s="3819">
        <v>43187</v>
      </c>
      <c r="B843" s="3817" t="s">
        <v>3475</v>
      </c>
      <c r="C843" s="3817">
        <v>67</v>
      </c>
      <c r="D843" s="3817" t="s">
        <v>3491</v>
      </c>
      <c r="E843" s="3817" t="s">
        <v>3505</v>
      </c>
      <c r="F843" s="3817">
        <v>0</v>
      </c>
      <c r="G843" s="3820"/>
      <c r="H843" s="3817">
        <v>378</v>
      </c>
      <c r="I843" s="3817">
        <v>55637</v>
      </c>
    </row>
    <row r="844" spans="1:9" hidden="1">
      <c r="A844" s="3819">
        <v>43184</v>
      </c>
      <c r="B844" s="3817" t="s">
        <v>3444</v>
      </c>
      <c r="C844" s="3817">
        <v>59</v>
      </c>
      <c r="D844" s="3817" t="s">
        <v>3533</v>
      </c>
      <c r="E844" s="3817" t="s">
        <v>3453</v>
      </c>
      <c r="F844" s="3817">
        <v>320</v>
      </c>
      <c r="G844" s="3819">
        <v>43134</v>
      </c>
      <c r="H844" s="3817">
        <v>310</v>
      </c>
      <c r="I844" s="3817">
        <v>52014</v>
      </c>
    </row>
    <row r="845" spans="1:9" hidden="1">
      <c r="A845" s="3819">
        <v>43184</v>
      </c>
      <c r="B845" s="3817" t="s">
        <v>3444</v>
      </c>
      <c r="C845" s="3817">
        <v>54</v>
      </c>
      <c r="D845" s="3817" t="s">
        <v>3533</v>
      </c>
      <c r="E845" s="3817" t="s">
        <v>3453</v>
      </c>
      <c r="F845" s="3817">
        <v>320</v>
      </c>
      <c r="G845" s="3819">
        <v>43173</v>
      </c>
      <c r="H845" s="3817">
        <v>303</v>
      </c>
      <c r="I845" s="3817">
        <v>55503</v>
      </c>
    </row>
    <row r="846" spans="1:9" hidden="1">
      <c r="A846" s="3819">
        <v>43181</v>
      </c>
      <c r="B846" s="3817" t="s">
        <v>3444</v>
      </c>
      <c r="C846" s="3817">
        <v>58</v>
      </c>
      <c r="D846" s="3817" t="s">
        <v>3533</v>
      </c>
      <c r="E846" s="3817" t="s">
        <v>3453</v>
      </c>
      <c r="F846" s="3817">
        <v>305</v>
      </c>
      <c r="G846" s="3819">
        <v>43158</v>
      </c>
      <c r="H846" s="3817">
        <v>300</v>
      </c>
      <c r="I846" s="3817">
        <v>51108</v>
      </c>
    </row>
    <row r="847" spans="1:9" hidden="1">
      <c r="A847" s="3819">
        <v>43178</v>
      </c>
      <c r="B847" s="3817" t="s">
        <v>3448</v>
      </c>
      <c r="C847" s="3817">
        <v>44</v>
      </c>
      <c r="D847" s="3817" t="s">
        <v>3491</v>
      </c>
      <c r="E847" s="3817" t="s">
        <v>3468</v>
      </c>
      <c r="F847" s="3817">
        <v>0</v>
      </c>
      <c r="G847" s="3820"/>
      <c r="H847" s="3817">
        <v>243</v>
      </c>
      <c r="I847" s="3817">
        <v>54742</v>
      </c>
    </row>
    <row r="848" spans="1:9" hidden="1">
      <c r="A848" s="3819">
        <v>43174</v>
      </c>
      <c r="B848" s="3817" t="s">
        <v>3448</v>
      </c>
      <c r="C848" s="3817">
        <v>37</v>
      </c>
      <c r="D848" s="3817" t="s">
        <v>3497</v>
      </c>
      <c r="E848" s="3817" t="s">
        <v>3429</v>
      </c>
      <c r="F848" s="3817">
        <v>0</v>
      </c>
      <c r="G848" s="3820"/>
      <c r="H848" s="3817">
        <v>262</v>
      </c>
      <c r="I848" s="3817">
        <v>69496</v>
      </c>
    </row>
    <row r="849" spans="1:9" hidden="1">
      <c r="A849" s="3819">
        <v>43172</v>
      </c>
      <c r="B849" s="3817" t="s">
        <v>3444</v>
      </c>
      <c r="C849" s="3817">
        <v>55</v>
      </c>
      <c r="D849" s="3817" t="s">
        <v>3490</v>
      </c>
      <c r="E849" s="3817" t="s">
        <v>3453</v>
      </c>
      <c r="F849" s="3817">
        <v>330</v>
      </c>
      <c r="G849" s="3819">
        <v>43061</v>
      </c>
      <c r="H849" s="3817">
        <v>327</v>
      </c>
      <c r="I849" s="3817">
        <v>59283</v>
      </c>
    </row>
    <row r="850" spans="1:9" hidden="1">
      <c r="A850" s="3819">
        <v>43172</v>
      </c>
      <c r="B850" s="3817" t="s">
        <v>3444</v>
      </c>
      <c r="C850" s="3817">
        <v>58</v>
      </c>
      <c r="D850" s="3817" t="s">
        <v>3533</v>
      </c>
      <c r="E850" s="3817" t="s">
        <v>3453</v>
      </c>
      <c r="F850" s="3817">
        <v>320</v>
      </c>
      <c r="G850" s="3819">
        <v>43164</v>
      </c>
      <c r="H850" s="3817">
        <v>310</v>
      </c>
      <c r="I850" s="3817">
        <v>52722</v>
      </c>
    </row>
    <row r="851" spans="1:9" hidden="1">
      <c r="A851" s="3819">
        <v>43172</v>
      </c>
      <c r="B851" s="3817" t="s">
        <v>3444</v>
      </c>
      <c r="C851" s="3817">
        <v>64</v>
      </c>
      <c r="D851" s="3817" t="s">
        <v>3518</v>
      </c>
      <c r="E851" s="3817" t="s">
        <v>3429</v>
      </c>
      <c r="F851" s="3817">
        <v>390</v>
      </c>
      <c r="G851" s="3819">
        <v>43113</v>
      </c>
      <c r="H851" s="3817">
        <v>383</v>
      </c>
      <c r="I851" s="3817">
        <v>59096</v>
      </c>
    </row>
    <row r="852" spans="1:9" hidden="1">
      <c r="A852" s="3819">
        <v>43170</v>
      </c>
      <c r="B852" s="3817" t="s">
        <v>3444</v>
      </c>
      <c r="C852" s="3817">
        <v>55</v>
      </c>
      <c r="D852" s="3817" t="s">
        <v>3497</v>
      </c>
      <c r="E852" s="3817" t="s">
        <v>3453</v>
      </c>
      <c r="F852" s="3817">
        <v>348</v>
      </c>
      <c r="G852" s="3819">
        <v>43125</v>
      </c>
      <c r="H852" s="3817">
        <v>335</v>
      </c>
      <c r="I852" s="3817">
        <v>60252</v>
      </c>
    </row>
    <row r="853" spans="1:9" hidden="1">
      <c r="A853" s="3819">
        <v>43168</v>
      </c>
      <c r="B853" s="3817" t="s">
        <v>3444</v>
      </c>
      <c r="C853" s="3817">
        <v>54</v>
      </c>
      <c r="D853" s="3817" t="s">
        <v>3490</v>
      </c>
      <c r="E853" s="3817" t="s">
        <v>3453</v>
      </c>
      <c r="F853" s="3817">
        <v>300</v>
      </c>
      <c r="G853" s="3819">
        <v>43167</v>
      </c>
      <c r="H853" s="3817">
        <v>296</v>
      </c>
      <c r="I853" s="3817">
        <v>54563</v>
      </c>
    </row>
    <row r="854" spans="1:9" hidden="1">
      <c r="A854" s="3819">
        <v>43168</v>
      </c>
      <c r="B854" s="3817" t="s">
        <v>3441</v>
      </c>
      <c r="C854" s="3817">
        <v>84</v>
      </c>
      <c r="D854" s="3817" t="s">
        <v>3494</v>
      </c>
      <c r="E854" s="3817" t="s">
        <v>3512</v>
      </c>
      <c r="F854" s="3817">
        <v>0</v>
      </c>
      <c r="G854" s="3820"/>
      <c r="H854" s="3817">
        <v>390</v>
      </c>
      <c r="I854" s="3817">
        <v>45893</v>
      </c>
    </row>
    <row r="855" spans="1:9" hidden="1">
      <c r="A855" s="3819">
        <v>43164</v>
      </c>
      <c r="B855" s="3817" t="s">
        <v>3444</v>
      </c>
      <c r="C855" s="3817">
        <v>69</v>
      </c>
      <c r="D855" s="3817" t="s">
        <v>3533</v>
      </c>
      <c r="E855" s="3817" t="s">
        <v>3453</v>
      </c>
      <c r="F855" s="3817">
        <v>365</v>
      </c>
      <c r="G855" s="3819">
        <v>43161</v>
      </c>
      <c r="H855" s="3817">
        <v>360</v>
      </c>
      <c r="I855" s="3817">
        <v>52099</v>
      </c>
    </row>
    <row r="856" spans="1:9" hidden="1">
      <c r="A856" s="3819">
        <v>43163</v>
      </c>
      <c r="B856" s="3817" t="s">
        <v>3444</v>
      </c>
      <c r="C856" s="3817">
        <v>58</v>
      </c>
      <c r="D856" s="3817" t="s">
        <v>3533</v>
      </c>
      <c r="E856" s="3817" t="s">
        <v>3453</v>
      </c>
      <c r="F856" s="3817">
        <v>330</v>
      </c>
      <c r="G856" s="3819">
        <v>43108</v>
      </c>
      <c r="H856" s="3817">
        <v>301</v>
      </c>
      <c r="I856" s="3817">
        <v>51542</v>
      </c>
    </row>
    <row r="857" spans="1:9" hidden="1">
      <c r="A857" s="3819">
        <v>43159</v>
      </c>
      <c r="B857" s="3817" t="s">
        <v>3444</v>
      </c>
      <c r="C857" s="3817">
        <v>57</v>
      </c>
      <c r="D857" s="3817" t="s">
        <v>3491</v>
      </c>
      <c r="E857" s="3817" t="s">
        <v>3453</v>
      </c>
      <c r="F857" s="3817">
        <v>330</v>
      </c>
      <c r="G857" s="3819">
        <v>43132</v>
      </c>
      <c r="H857" s="3817">
        <v>315</v>
      </c>
      <c r="I857" s="3817">
        <v>55070</v>
      </c>
    </row>
    <row r="858" spans="1:9" hidden="1">
      <c r="A858" s="3819">
        <v>43157</v>
      </c>
      <c r="B858" s="3817" t="s">
        <v>3444</v>
      </c>
      <c r="C858" s="3817">
        <v>57</v>
      </c>
      <c r="D858" s="3817" t="s">
        <v>3491</v>
      </c>
      <c r="E858" s="3817" t="s">
        <v>3453</v>
      </c>
      <c r="F858" s="3817">
        <v>328</v>
      </c>
      <c r="G858" s="3819">
        <v>43154</v>
      </c>
      <c r="H858" s="3817">
        <v>323</v>
      </c>
      <c r="I858" s="3817">
        <v>56469</v>
      </c>
    </row>
    <row r="859" spans="1:9" hidden="1">
      <c r="A859" s="3819">
        <v>43131</v>
      </c>
      <c r="B859" s="3817" t="s">
        <v>3444</v>
      </c>
      <c r="C859" s="3817">
        <v>73</v>
      </c>
      <c r="D859" s="3817" t="s">
        <v>3496</v>
      </c>
      <c r="E859" s="3817" t="s">
        <v>3478</v>
      </c>
      <c r="F859" s="3817">
        <v>430</v>
      </c>
      <c r="G859" s="3819">
        <v>42942</v>
      </c>
      <c r="H859" s="3817">
        <v>395</v>
      </c>
      <c r="I859" s="3817">
        <v>53596</v>
      </c>
    </row>
    <row r="860" spans="1:9" hidden="1">
      <c r="A860" s="3819">
        <v>43130</v>
      </c>
      <c r="B860" s="3817" t="s">
        <v>3475</v>
      </c>
      <c r="C860" s="3817">
        <v>77</v>
      </c>
      <c r="D860" s="3817" t="s">
        <v>3490</v>
      </c>
      <c r="E860" s="3817" t="s">
        <v>3505</v>
      </c>
      <c r="F860" s="3817">
        <v>0</v>
      </c>
      <c r="G860" s="3820"/>
      <c r="H860" s="3817">
        <v>398</v>
      </c>
      <c r="I860" s="3817">
        <v>51289</v>
      </c>
    </row>
    <row r="861" spans="1:9" hidden="1">
      <c r="A861" s="3819">
        <v>43129</v>
      </c>
      <c r="B861" s="3817" t="s">
        <v>3441</v>
      </c>
      <c r="C861" s="3817">
        <v>64</v>
      </c>
      <c r="D861" s="3817" t="s">
        <v>3494</v>
      </c>
      <c r="E861" s="3817" t="s">
        <v>3463</v>
      </c>
      <c r="F861" s="3817">
        <v>0</v>
      </c>
      <c r="G861" s="3820"/>
      <c r="H861" s="3817">
        <v>150</v>
      </c>
      <c r="I861" s="3817">
        <v>23145</v>
      </c>
    </row>
    <row r="862" spans="1:9" hidden="1">
      <c r="A862" s="3819">
        <v>43128</v>
      </c>
      <c r="B862" s="3817" t="s">
        <v>3441</v>
      </c>
      <c r="C862" s="3817">
        <v>59</v>
      </c>
      <c r="D862" s="3817" t="s">
        <v>3491</v>
      </c>
      <c r="E862" s="3817" t="s">
        <v>3505</v>
      </c>
      <c r="F862" s="3817">
        <v>0</v>
      </c>
      <c r="G862" s="3820"/>
      <c r="H862" s="3817">
        <v>325</v>
      </c>
      <c r="I862" s="3817">
        <v>54530</v>
      </c>
    </row>
    <row r="863" spans="1:9" hidden="1">
      <c r="A863" s="3819">
        <v>43123</v>
      </c>
      <c r="B863" s="3817" t="s">
        <v>3441</v>
      </c>
      <c r="C863" s="3817">
        <v>37</v>
      </c>
      <c r="D863" s="3817" t="s">
        <v>3497</v>
      </c>
      <c r="E863" s="3817" t="s">
        <v>3429</v>
      </c>
      <c r="F863" s="3817">
        <v>0</v>
      </c>
      <c r="G863" s="3820"/>
      <c r="H863" s="3817">
        <v>260</v>
      </c>
      <c r="I863" s="3817">
        <v>68966</v>
      </c>
    </row>
    <row r="864" spans="1:9" hidden="1">
      <c r="A864" s="3819">
        <v>43121</v>
      </c>
      <c r="B864" s="3817" t="s">
        <v>3449</v>
      </c>
      <c r="C864" s="3817">
        <v>65</v>
      </c>
      <c r="D864" s="3817" t="s">
        <v>3530</v>
      </c>
      <c r="E864" s="3817" t="s">
        <v>3453</v>
      </c>
      <c r="F864" s="3817">
        <v>410</v>
      </c>
      <c r="G864" s="3819">
        <v>43071</v>
      </c>
      <c r="H864" s="3817">
        <v>378</v>
      </c>
      <c r="I864" s="3817">
        <v>58110</v>
      </c>
    </row>
    <row r="865" spans="1:9" hidden="1">
      <c r="A865" s="3819">
        <v>43121</v>
      </c>
      <c r="B865" s="3817" t="s">
        <v>3449</v>
      </c>
      <c r="C865" s="3817">
        <v>69</v>
      </c>
      <c r="D865" s="3817" t="s">
        <v>3491</v>
      </c>
      <c r="E865" s="3817" t="s">
        <v>3512</v>
      </c>
      <c r="F865" s="3817">
        <v>365</v>
      </c>
      <c r="G865" s="3819">
        <v>43094</v>
      </c>
      <c r="H865" s="3817">
        <v>350</v>
      </c>
      <c r="I865" s="3817">
        <v>50718</v>
      </c>
    </row>
    <row r="866" spans="1:9" hidden="1">
      <c r="A866" s="3819">
        <v>43117</v>
      </c>
      <c r="B866" s="3817" t="s">
        <v>3471</v>
      </c>
      <c r="C866" s="3817">
        <v>41</v>
      </c>
      <c r="D866" s="3817" t="s">
        <v>3491</v>
      </c>
      <c r="E866" s="3817" t="s">
        <v>3429</v>
      </c>
      <c r="F866" s="3817">
        <v>265</v>
      </c>
      <c r="G866" s="3819">
        <v>43101</v>
      </c>
      <c r="H866" s="3817">
        <v>249</v>
      </c>
      <c r="I866" s="3817">
        <v>59905</v>
      </c>
    </row>
    <row r="867" spans="1:9" hidden="1">
      <c r="A867" s="3819">
        <v>43115</v>
      </c>
      <c r="B867" s="3817" t="s">
        <v>3471</v>
      </c>
      <c r="C867" s="3817">
        <v>43</v>
      </c>
      <c r="D867" s="3817" t="s">
        <v>3497</v>
      </c>
      <c r="E867" s="3817" t="s">
        <v>3442</v>
      </c>
      <c r="F867" s="3817">
        <v>255</v>
      </c>
      <c r="G867" s="3819">
        <v>43099</v>
      </c>
      <c r="H867" s="3817">
        <v>245</v>
      </c>
      <c r="I867" s="3817">
        <v>56713</v>
      </c>
    </row>
    <row r="868" spans="1:9" hidden="1">
      <c r="A868" s="3819">
        <v>43114</v>
      </c>
      <c r="B868" s="3817" t="s">
        <v>3444</v>
      </c>
      <c r="C868" s="3817">
        <v>69</v>
      </c>
      <c r="D868" s="3817" t="s">
        <v>3518</v>
      </c>
      <c r="E868" s="3817" t="s">
        <v>3429</v>
      </c>
      <c r="F868" s="3817">
        <v>365</v>
      </c>
      <c r="G868" s="3819">
        <v>43114</v>
      </c>
      <c r="H868" s="3817">
        <v>360</v>
      </c>
      <c r="I868" s="3817">
        <v>51866</v>
      </c>
    </row>
    <row r="869" spans="1:9" hidden="1">
      <c r="A869" s="3819">
        <v>43112</v>
      </c>
      <c r="B869" s="3817" t="s">
        <v>3475</v>
      </c>
      <c r="C869" s="3817">
        <v>69</v>
      </c>
      <c r="D869" s="3817" t="s">
        <v>3490</v>
      </c>
      <c r="E869" s="3817" t="s">
        <v>3505</v>
      </c>
      <c r="F869" s="3817">
        <v>0</v>
      </c>
      <c r="G869" s="3820"/>
      <c r="H869" s="3817">
        <v>341</v>
      </c>
      <c r="I869" s="3817">
        <v>49385</v>
      </c>
    </row>
    <row r="870" spans="1:9" hidden="1">
      <c r="A870" s="3819">
        <v>43110</v>
      </c>
      <c r="B870" s="3817" t="s">
        <v>3444</v>
      </c>
      <c r="C870" s="3817">
        <v>91</v>
      </c>
      <c r="D870" s="3817" t="s">
        <v>3542</v>
      </c>
      <c r="E870" s="3817" t="s">
        <v>3468</v>
      </c>
      <c r="F870" s="3817">
        <v>480</v>
      </c>
      <c r="G870" s="3819">
        <v>43048</v>
      </c>
      <c r="H870" s="3817">
        <v>453</v>
      </c>
      <c r="I870" s="3817">
        <v>49606</v>
      </c>
    </row>
    <row r="871" spans="1:9" hidden="1">
      <c r="A871" s="3819">
        <v>43105</v>
      </c>
      <c r="B871" s="3817" t="s">
        <v>3475</v>
      </c>
      <c r="C871" s="3817">
        <v>91</v>
      </c>
      <c r="D871" s="3817" t="s">
        <v>3532</v>
      </c>
      <c r="E871" s="3817" t="s">
        <v>3464</v>
      </c>
      <c r="F871" s="3817">
        <v>0</v>
      </c>
      <c r="G871" s="3820"/>
      <c r="H871" s="3817">
        <v>395</v>
      </c>
      <c r="I871" s="3817">
        <v>43254</v>
      </c>
    </row>
    <row r="872" spans="1:9" hidden="1">
      <c r="A872" s="3819">
        <v>43096</v>
      </c>
      <c r="B872" s="3817" t="s">
        <v>3444</v>
      </c>
      <c r="C872" s="3817">
        <v>58</v>
      </c>
      <c r="D872" s="3817" t="s">
        <v>3533</v>
      </c>
      <c r="E872" s="3817" t="s">
        <v>3453</v>
      </c>
      <c r="F872" s="3817">
        <v>310</v>
      </c>
      <c r="G872" s="3819">
        <v>43085</v>
      </c>
      <c r="H872" s="3817">
        <v>300</v>
      </c>
      <c r="I872" s="3817">
        <v>51021</v>
      </c>
    </row>
    <row r="873" spans="1:9" hidden="1">
      <c r="A873" s="3819">
        <v>43095</v>
      </c>
      <c r="B873" s="3817" t="s">
        <v>3471</v>
      </c>
      <c r="C873" s="3817">
        <v>40</v>
      </c>
      <c r="D873" s="3817" t="s">
        <v>3490</v>
      </c>
      <c r="E873" s="3817" t="s">
        <v>3429</v>
      </c>
      <c r="F873" s="3817">
        <v>245</v>
      </c>
      <c r="G873" s="3819">
        <v>43037</v>
      </c>
      <c r="H873" s="3817">
        <v>216</v>
      </c>
      <c r="I873" s="3817">
        <v>53121</v>
      </c>
    </row>
    <row r="874" spans="1:9" hidden="1">
      <c r="A874" s="3819">
        <v>43094</v>
      </c>
      <c r="B874" s="3817" t="s">
        <v>3441</v>
      </c>
      <c r="C874" s="3817">
        <v>58</v>
      </c>
      <c r="D874" s="3817" t="s">
        <v>3490</v>
      </c>
      <c r="E874" s="3817" t="s">
        <v>3505</v>
      </c>
      <c r="F874" s="3817">
        <v>0</v>
      </c>
      <c r="G874" s="3820"/>
      <c r="H874" s="3817">
        <v>287</v>
      </c>
      <c r="I874" s="3817">
        <v>48810</v>
      </c>
    </row>
    <row r="875" spans="1:9" hidden="1">
      <c r="A875" s="3819">
        <v>43088</v>
      </c>
      <c r="B875" s="3817" t="s">
        <v>3444</v>
      </c>
      <c r="C875" s="3817">
        <v>71</v>
      </c>
      <c r="D875" s="3817" t="s">
        <v>3495</v>
      </c>
      <c r="E875" s="3817" t="s">
        <v>3429</v>
      </c>
      <c r="F875" s="3817">
        <v>375</v>
      </c>
      <c r="G875" s="3819">
        <v>42893</v>
      </c>
      <c r="H875" s="3817">
        <v>362</v>
      </c>
      <c r="I875" s="3817">
        <v>50594</v>
      </c>
    </row>
    <row r="876" spans="1:9" hidden="1">
      <c r="A876" s="3819">
        <v>43086</v>
      </c>
      <c r="B876" s="3817" t="s">
        <v>3444</v>
      </c>
      <c r="C876" s="3817">
        <v>67</v>
      </c>
      <c r="D876" s="3817" t="s">
        <v>3530</v>
      </c>
      <c r="E876" s="3817" t="s">
        <v>3453</v>
      </c>
      <c r="F876" s="3817">
        <v>385</v>
      </c>
      <c r="G876" s="3819">
        <v>43082</v>
      </c>
      <c r="H876" s="3817">
        <v>390</v>
      </c>
      <c r="I876" s="3817">
        <v>57404</v>
      </c>
    </row>
    <row r="877" spans="1:9" hidden="1">
      <c r="A877" s="3819">
        <v>43086</v>
      </c>
      <c r="B877" s="3817" t="s">
        <v>3444</v>
      </c>
      <c r="C877" s="3817">
        <v>57</v>
      </c>
      <c r="D877" s="3817" t="s">
        <v>3491</v>
      </c>
      <c r="E877" s="3817" t="s">
        <v>3453</v>
      </c>
      <c r="F877" s="3817">
        <v>320</v>
      </c>
      <c r="G877" s="3819">
        <v>43065</v>
      </c>
      <c r="H877" s="3817">
        <v>312</v>
      </c>
      <c r="I877" s="3817">
        <v>54546</v>
      </c>
    </row>
    <row r="878" spans="1:9" hidden="1">
      <c r="A878" s="3819">
        <v>43085</v>
      </c>
      <c r="B878" s="3817" t="s">
        <v>3471</v>
      </c>
      <c r="C878" s="3817">
        <v>45</v>
      </c>
      <c r="D878" s="3817" t="s">
        <v>3496</v>
      </c>
      <c r="E878" s="3817" t="s">
        <v>3463</v>
      </c>
      <c r="F878" s="3817">
        <v>273</v>
      </c>
      <c r="G878" s="3819">
        <v>43064</v>
      </c>
      <c r="H878" s="3817">
        <v>266</v>
      </c>
      <c r="I878" s="3817">
        <v>58295</v>
      </c>
    </row>
    <row r="879" spans="1:9" hidden="1">
      <c r="A879" s="3819">
        <v>43084</v>
      </c>
      <c r="B879" s="3817" t="s">
        <v>3449</v>
      </c>
      <c r="C879" s="3817">
        <v>69</v>
      </c>
      <c r="D879" s="3817" t="s">
        <v>3456</v>
      </c>
      <c r="E879" s="3817" t="s">
        <v>3453</v>
      </c>
      <c r="F879" s="3817">
        <v>140</v>
      </c>
      <c r="G879" s="3819">
        <v>43083</v>
      </c>
      <c r="H879" s="3817">
        <v>140</v>
      </c>
      <c r="I879" s="3817">
        <v>20287</v>
      </c>
    </row>
    <row r="880" spans="1:9" hidden="1">
      <c r="A880" s="3819">
        <v>43084</v>
      </c>
      <c r="B880" s="3817" t="s">
        <v>3441</v>
      </c>
      <c r="C880" s="3817">
        <v>57</v>
      </c>
      <c r="D880" s="3817" t="s">
        <v>3491</v>
      </c>
      <c r="E880" s="3817" t="s">
        <v>3505</v>
      </c>
      <c r="F880" s="3817">
        <v>0</v>
      </c>
      <c r="G880" s="3820"/>
      <c r="H880" s="3817">
        <v>319</v>
      </c>
      <c r="I880" s="3817">
        <v>55575</v>
      </c>
    </row>
    <row r="881" spans="1:9" hidden="1">
      <c r="A881" s="3819">
        <v>43080</v>
      </c>
      <c r="B881" s="3817" t="s">
        <v>3444</v>
      </c>
      <c r="C881" s="3817">
        <v>59</v>
      </c>
      <c r="D881" s="3817" t="s">
        <v>3491</v>
      </c>
      <c r="E881" s="3817" t="s">
        <v>3453</v>
      </c>
      <c r="F881" s="3817">
        <v>315</v>
      </c>
      <c r="G881" s="3819">
        <v>43062</v>
      </c>
      <c r="H881" s="3817">
        <v>309</v>
      </c>
      <c r="I881" s="3817">
        <v>51846</v>
      </c>
    </row>
    <row r="882" spans="1:9" hidden="1">
      <c r="A882" s="3819">
        <v>43076</v>
      </c>
      <c r="B882" s="3817" t="s">
        <v>3471</v>
      </c>
      <c r="C882" s="3817">
        <v>37</v>
      </c>
      <c r="D882" s="3817" t="s">
        <v>3497</v>
      </c>
      <c r="E882" s="3817" t="s">
        <v>3464</v>
      </c>
      <c r="F882" s="3817">
        <v>248</v>
      </c>
      <c r="G882" s="3819">
        <v>43072</v>
      </c>
      <c r="H882" s="3817">
        <v>225</v>
      </c>
      <c r="I882" s="3817">
        <v>60408</v>
      </c>
    </row>
    <row r="883" spans="1:9" hidden="1">
      <c r="A883" s="3819">
        <v>43072</v>
      </c>
      <c r="B883" s="3817" t="s">
        <v>3444</v>
      </c>
      <c r="C883" s="3817">
        <v>71</v>
      </c>
      <c r="D883" s="3817" t="s">
        <v>3533</v>
      </c>
      <c r="E883" s="3817" t="s">
        <v>3453</v>
      </c>
      <c r="F883" s="3817">
        <v>378</v>
      </c>
      <c r="G883" s="3819">
        <v>43038</v>
      </c>
      <c r="H883" s="3817">
        <v>357</v>
      </c>
      <c r="I883" s="3817">
        <v>49931</v>
      </c>
    </row>
    <row r="884" spans="1:9" hidden="1">
      <c r="A884" s="3819">
        <v>43069</v>
      </c>
      <c r="B884" s="3817" t="s">
        <v>3444</v>
      </c>
      <c r="C884" s="3817">
        <v>57</v>
      </c>
      <c r="D884" s="3817" t="s">
        <v>3490</v>
      </c>
      <c r="E884" s="3817" t="s">
        <v>3453</v>
      </c>
      <c r="F884" s="3817">
        <v>340</v>
      </c>
      <c r="G884" s="3819">
        <v>43054</v>
      </c>
      <c r="H884" s="3817">
        <v>315</v>
      </c>
      <c r="I884" s="3817">
        <v>54879</v>
      </c>
    </row>
    <row r="885" spans="1:9" hidden="1">
      <c r="A885" s="3819">
        <v>43069</v>
      </c>
      <c r="B885" s="3817" t="s">
        <v>3471</v>
      </c>
      <c r="C885" s="3817">
        <v>42</v>
      </c>
      <c r="D885" s="3817" t="s">
        <v>3497</v>
      </c>
      <c r="E885" s="3817" t="s">
        <v>3429</v>
      </c>
      <c r="F885" s="3817">
        <v>237</v>
      </c>
      <c r="G885" s="3819">
        <v>43061</v>
      </c>
      <c r="H885" s="3817">
        <v>235</v>
      </c>
      <c r="I885" s="3817">
        <v>55399</v>
      </c>
    </row>
    <row r="886" spans="1:9" hidden="1">
      <c r="A886" s="3819">
        <v>43065</v>
      </c>
      <c r="B886" s="3817" t="s">
        <v>3449</v>
      </c>
      <c r="C886" s="3817">
        <v>69</v>
      </c>
      <c r="D886" s="3817" t="s">
        <v>3490</v>
      </c>
      <c r="E886" s="3817" t="s">
        <v>3453</v>
      </c>
      <c r="F886" s="3817">
        <v>370</v>
      </c>
      <c r="G886" s="3819">
        <v>43064</v>
      </c>
      <c r="H886" s="3817">
        <v>356</v>
      </c>
      <c r="I886" s="3817">
        <v>51667</v>
      </c>
    </row>
    <row r="887" spans="1:9" hidden="1">
      <c r="A887" s="3819">
        <v>43060</v>
      </c>
      <c r="B887" s="3817" t="s">
        <v>3444</v>
      </c>
      <c r="C887" s="3817">
        <v>59</v>
      </c>
      <c r="D887" s="3817" t="s">
        <v>3490</v>
      </c>
      <c r="E887" s="3817" t="s">
        <v>3453</v>
      </c>
      <c r="F887" s="3817">
        <v>316</v>
      </c>
      <c r="G887" s="3819">
        <v>43047</v>
      </c>
      <c r="H887" s="3817">
        <v>307</v>
      </c>
      <c r="I887" s="3817">
        <v>51338</v>
      </c>
    </row>
    <row r="888" spans="1:9" hidden="1">
      <c r="A888" s="3819">
        <v>43058</v>
      </c>
      <c r="B888" s="3817" t="s">
        <v>3444</v>
      </c>
      <c r="C888" s="3817">
        <v>58</v>
      </c>
      <c r="D888" s="3817" t="s">
        <v>3533</v>
      </c>
      <c r="E888" s="3817" t="s">
        <v>3453</v>
      </c>
      <c r="F888" s="3817">
        <v>305</v>
      </c>
      <c r="G888" s="3819">
        <v>43048</v>
      </c>
      <c r="H888" s="3817">
        <v>285</v>
      </c>
      <c r="I888" s="3817">
        <v>48552</v>
      </c>
    </row>
    <row r="889" spans="1:9" hidden="1">
      <c r="A889" s="3819">
        <v>43052</v>
      </c>
      <c r="B889" s="3817" t="s">
        <v>3475</v>
      </c>
      <c r="C889" s="3817">
        <v>78</v>
      </c>
      <c r="D889" s="3817" t="s">
        <v>3490</v>
      </c>
      <c r="E889" s="3820"/>
      <c r="F889" s="3817">
        <v>0</v>
      </c>
      <c r="G889" s="3820"/>
      <c r="H889" s="3817">
        <v>368</v>
      </c>
      <c r="I889" s="3817">
        <v>46999</v>
      </c>
    </row>
    <row r="890" spans="1:9" hidden="1">
      <c r="A890" s="3819">
        <v>43051</v>
      </c>
      <c r="B890" s="3817" t="s">
        <v>3444</v>
      </c>
      <c r="C890" s="3817">
        <v>57</v>
      </c>
      <c r="D890" s="3817" t="s">
        <v>3497</v>
      </c>
      <c r="E890" s="3817" t="s">
        <v>3453</v>
      </c>
      <c r="F890" s="3817">
        <v>303</v>
      </c>
      <c r="G890" s="3819">
        <v>43014</v>
      </c>
      <c r="H890" s="3817">
        <v>295</v>
      </c>
      <c r="I890" s="3817">
        <v>51574</v>
      </c>
    </row>
    <row r="891" spans="1:9" hidden="1">
      <c r="A891" s="3819">
        <v>43051</v>
      </c>
      <c r="B891" s="3817" t="s">
        <v>3444</v>
      </c>
      <c r="C891" s="3817">
        <v>71</v>
      </c>
      <c r="D891" s="3817" t="s">
        <v>3494</v>
      </c>
      <c r="E891" s="3817" t="s">
        <v>3429</v>
      </c>
      <c r="F891" s="3817">
        <v>415</v>
      </c>
      <c r="G891" s="3819">
        <v>43045</v>
      </c>
      <c r="H891" s="3817">
        <v>385</v>
      </c>
      <c r="I891" s="3817">
        <v>53939</v>
      </c>
    </row>
    <row r="892" spans="1:9" hidden="1">
      <c r="A892" s="3819">
        <v>43051</v>
      </c>
      <c r="B892" s="3817" t="s">
        <v>3444</v>
      </c>
      <c r="C892" s="3817">
        <v>72</v>
      </c>
      <c r="D892" s="3817" t="s">
        <v>3491</v>
      </c>
      <c r="E892" s="3817" t="s">
        <v>3458</v>
      </c>
      <c r="F892" s="3817">
        <v>410</v>
      </c>
      <c r="G892" s="3819">
        <v>43047</v>
      </c>
      <c r="H892" s="3817">
        <v>394</v>
      </c>
      <c r="I892" s="3817">
        <v>54347</v>
      </c>
    </row>
    <row r="893" spans="1:9" hidden="1">
      <c r="A893" s="3819">
        <v>43045</v>
      </c>
      <c r="B893" s="3817" t="s">
        <v>3449</v>
      </c>
      <c r="C893" s="3817">
        <v>72</v>
      </c>
      <c r="D893" s="3817" t="s">
        <v>3533</v>
      </c>
      <c r="E893" s="3817" t="s">
        <v>3543</v>
      </c>
      <c r="F893" s="3817">
        <v>360</v>
      </c>
      <c r="G893" s="3819">
        <v>42986</v>
      </c>
      <c r="H893" s="3817">
        <v>340</v>
      </c>
      <c r="I893" s="3817">
        <v>46794</v>
      </c>
    </row>
    <row r="894" spans="1:9" hidden="1">
      <c r="A894" s="3819">
        <v>43038</v>
      </c>
      <c r="B894" s="3817" t="s">
        <v>3444</v>
      </c>
      <c r="C894" s="3817">
        <v>69</v>
      </c>
      <c r="D894" s="3817" t="s">
        <v>3533</v>
      </c>
      <c r="E894" s="3817" t="s">
        <v>3512</v>
      </c>
      <c r="F894" s="3817">
        <v>360</v>
      </c>
      <c r="G894" s="3819">
        <v>42928</v>
      </c>
      <c r="H894" s="3817">
        <v>348</v>
      </c>
      <c r="I894" s="3817">
        <v>50428</v>
      </c>
    </row>
    <row r="895" spans="1:9" hidden="1">
      <c r="A895" s="3819">
        <v>43035</v>
      </c>
      <c r="B895" s="3817" t="s">
        <v>3444</v>
      </c>
      <c r="C895" s="3817">
        <v>54</v>
      </c>
      <c r="D895" s="3817" t="s">
        <v>3533</v>
      </c>
      <c r="E895" s="3817" t="s">
        <v>3512</v>
      </c>
      <c r="F895" s="3817">
        <v>288</v>
      </c>
      <c r="G895" s="3819">
        <v>42910</v>
      </c>
      <c r="H895" s="3817">
        <v>281</v>
      </c>
      <c r="I895" s="3817">
        <v>51278</v>
      </c>
    </row>
    <row r="896" spans="1:9" hidden="1">
      <c r="A896" s="3819">
        <v>43035</v>
      </c>
      <c r="B896" s="3817" t="s">
        <v>3441</v>
      </c>
      <c r="C896" s="3817">
        <v>69</v>
      </c>
      <c r="D896" s="3817" t="s">
        <v>3494</v>
      </c>
      <c r="E896" s="3817" t="s">
        <v>3468</v>
      </c>
      <c r="F896" s="3817">
        <v>0</v>
      </c>
      <c r="G896" s="3820"/>
      <c r="H896" s="3817">
        <v>348</v>
      </c>
      <c r="I896" s="3817">
        <v>50115</v>
      </c>
    </row>
    <row r="897" spans="1:9" hidden="1">
      <c r="A897" s="3819">
        <v>43034</v>
      </c>
      <c r="B897" s="3817" t="s">
        <v>3441</v>
      </c>
      <c r="C897" s="3817">
        <v>54</v>
      </c>
      <c r="D897" s="3817" t="s">
        <v>3490</v>
      </c>
      <c r="E897" s="3817" t="s">
        <v>3468</v>
      </c>
      <c r="F897" s="3817">
        <v>0</v>
      </c>
      <c r="G897" s="3820"/>
      <c r="H897" s="3817">
        <v>295</v>
      </c>
      <c r="I897" s="3817">
        <v>54478</v>
      </c>
    </row>
    <row r="898" spans="1:9" hidden="1">
      <c r="A898" s="3819">
        <v>43031</v>
      </c>
      <c r="B898" s="3817" t="s">
        <v>3444</v>
      </c>
      <c r="C898" s="3817">
        <v>55</v>
      </c>
      <c r="D898" s="3817" t="s">
        <v>3530</v>
      </c>
      <c r="E898" s="3817" t="s">
        <v>3481</v>
      </c>
      <c r="F898" s="3817">
        <v>292</v>
      </c>
      <c r="G898" s="3819">
        <v>43024</v>
      </c>
      <c r="H898" s="3817">
        <v>280</v>
      </c>
      <c r="I898" s="3817">
        <v>50762</v>
      </c>
    </row>
    <row r="899" spans="1:9" hidden="1">
      <c r="A899" s="3819">
        <v>43018</v>
      </c>
      <c r="B899" s="3817" t="s">
        <v>3475</v>
      </c>
      <c r="C899" s="3817">
        <v>77</v>
      </c>
      <c r="D899" s="3817" t="s">
        <v>3491</v>
      </c>
      <c r="E899" s="3817" t="s">
        <v>3505</v>
      </c>
      <c r="F899" s="3817">
        <v>0</v>
      </c>
      <c r="G899" s="3820"/>
      <c r="H899" s="3817">
        <v>398</v>
      </c>
      <c r="I899" s="3817">
        <v>51688</v>
      </c>
    </row>
    <row r="900" spans="1:9" hidden="1">
      <c r="A900" s="3819">
        <v>43016</v>
      </c>
      <c r="B900" s="3817" t="s">
        <v>3444</v>
      </c>
      <c r="C900" s="3817">
        <v>73</v>
      </c>
      <c r="D900" s="3817" t="s">
        <v>3496</v>
      </c>
      <c r="E900" s="3817" t="s">
        <v>3478</v>
      </c>
      <c r="F900" s="3817">
        <v>430</v>
      </c>
      <c r="G900" s="3819">
        <v>42919</v>
      </c>
      <c r="H900" s="3817">
        <v>399</v>
      </c>
      <c r="I900" s="3817">
        <v>54139</v>
      </c>
    </row>
    <row r="901" spans="1:9" hidden="1">
      <c r="A901" s="3819">
        <v>43004</v>
      </c>
      <c r="B901" s="3817" t="s">
        <v>3444</v>
      </c>
      <c r="C901" s="3817">
        <v>57</v>
      </c>
      <c r="D901" s="3817" t="s">
        <v>3533</v>
      </c>
      <c r="E901" s="3817" t="s">
        <v>3453</v>
      </c>
      <c r="F901" s="3817">
        <v>314</v>
      </c>
      <c r="G901" s="3819">
        <v>42998</v>
      </c>
      <c r="H901" s="3817">
        <v>302</v>
      </c>
      <c r="I901" s="3817">
        <v>52798</v>
      </c>
    </row>
    <row r="902" spans="1:9" hidden="1">
      <c r="A902" s="3819">
        <v>43001</v>
      </c>
      <c r="B902" s="3817" t="s">
        <v>3475</v>
      </c>
      <c r="C902" s="3817">
        <v>67</v>
      </c>
      <c r="D902" s="3817" t="s">
        <v>3490</v>
      </c>
      <c r="E902" s="3817" t="s">
        <v>3505</v>
      </c>
      <c r="F902" s="3817">
        <v>0</v>
      </c>
      <c r="G902" s="3820"/>
      <c r="H902" s="3817">
        <v>368</v>
      </c>
      <c r="I902" s="3817">
        <v>54165</v>
      </c>
    </row>
    <row r="903" spans="1:9" hidden="1">
      <c r="A903" s="3819">
        <v>42995</v>
      </c>
      <c r="B903" s="3817" t="s">
        <v>3444</v>
      </c>
      <c r="C903" s="3817">
        <v>58</v>
      </c>
      <c r="D903" s="3817" t="s">
        <v>3533</v>
      </c>
      <c r="E903" s="3817" t="s">
        <v>3453</v>
      </c>
      <c r="F903" s="3817">
        <v>330</v>
      </c>
      <c r="G903" s="3819">
        <v>42991</v>
      </c>
      <c r="H903" s="3817">
        <v>318</v>
      </c>
      <c r="I903" s="3817">
        <v>54259</v>
      </c>
    </row>
    <row r="904" spans="1:9" hidden="1">
      <c r="A904" s="3819">
        <v>42994</v>
      </c>
      <c r="B904" s="3817" t="s">
        <v>3441</v>
      </c>
      <c r="C904" s="3817">
        <v>57</v>
      </c>
      <c r="D904" s="3817" t="s">
        <v>3497</v>
      </c>
      <c r="E904" s="3817" t="s">
        <v>3512</v>
      </c>
      <c r="F904" s="3817">
        <v>0</v>
      </c>
      <c r="G904" s="3820"/>
      <c r="H904" s="3817">
        <v>300</v>
      </c>
      <c r="I904" s="3817">
        <v>52448</v>
      </c>
    </row>
    <row r="905" spans="1:9" hidden="1">
      <c r="A905" s="3819">
        <v>42993</v>
      </c>
      <c r="B905" s="3817" t="s">
        <v>3449</v>
      </c>
      <c r="C905" s="3817">
        <v>70</v>
      </c>
      <c r="D905" s="3817" t="s">
        <v>3490</v>
      </c>
      <c r="E905" s="3817" t="s">
        <v>3512</v>
      </c>
      <c r="F905" s="3817">
        <v>370</v>
      </c>
      <c r="G905" s="3819">
        <v>42956</v>
      </c>
      <c r="H905" s="3817">
        <v>345</v>
      </c>
      <c r="I905" s="3817">
        <v>49272</v>
      </c>
    </row>
    <row r="906" spans="1:9" hidden="1">
      <c r="A906" s="3819">
        <v>42993</v>
      </c>
      <c r="B906" s="3817" t="s">
        <v>3449</v>
      </c>
      <c r="C906" s="3817">
        <v>76</v>
      </c>
      <c r="D906" s="3817" t="s">
        <v>3491</v>
      </c>
      <c r="E906" s="3817" t="s">
        <v>3498</v>
      </c>
      <c r="F906" s="3817">
        <v>422</v>
      </c>
      <c r="G906" s="3819">
        <v>42984</v>
      </c>
      <c r="H906" s="3817">
        <v>420</v>
      </c>
      <c r="I906" s="3817">
        <v>54617</v>
      </c>
    </row>
    <row r="907" spans="1:9" hidden="1">
      <c r="A907" s="3819">
        <v>42993</v>
      </c>
      <c r="B907" s="3817" t="s">
        <v>3444</v>
      </c>
      <c r="C907" s="3817">
        <v>64</v>
      </c>
      <c r="D907" s="3817" t="s">
        <v>3495</v>
      </c>
      <c r="E907" s="3817" t="s">
        <v>3429</v>
      </c>
      <c r="F907" s="3817">
        <v>388</v>
      </c>
      <c r="G907" s="3819">
        <v>42989</v>
      </c>
      <c r="H907" s="3817">
        <v>365</v>
      </c>
      <c r="I907" s="3817">
        <v>56319</v>
      </c>
    </row>
    <row r="908" spans="1:9" hidden="1">
      <c r="A908" s="3819">
        <v>42988</v>
      </c>
      <c r="B908" s="3817" t="s">
        <v>3444</v>
      </c>
      <c r="C908" s="3817">
        <v>54</v>
      </c>
      <c r="D908" s="3817" t="s">
        <v>3533</v>
      </c>
      <c r="E908" s="3817" t="s">
        <v>3453</v>
      </c>
      <c r="F908" s="3817">
        <v>328</v>
      </c>
      <c r="G908" s="3819">
        <v>42965</v>
      </c>
      <c r="H908" s="3817">
        <v>306</v>
      </c>
      <c r="I908" s="3817">
        <v>55942</v>
      </c>
    </row>
    <row r="909" spans="1:9" hidden="1">
      <c r="A909" s="3819">
        <v>42982</v>
      </c>
      <c r="B909" s="3817" t="s">
        <v>3441</v>
      </c>
      <c r="C909" s="3817">
        <v>53</v>
      </c>
      <c r="D909" s="3817" t="s">
        <v>3490</v>
      </c>
      <c r="E909" s="3817" t="s">
        <v>3468</v>
      </c>
      <c r="F909" s="3817">
        <v>0</v>
      </c>
      <c r="G909" s="3820"/>
      <c r="H909" s="3817">
        <v>290</v>
      </c>
      <c r="I909" s="3817">
        <v>53734</v>
      </c>
    </row>
    <row r="910" spans="1:9" hidden="1">
      <c r="A910" s="3819">
        <v>42978</v>
      </c>
      <c r="B910" s="3817" t="s">
        <v>3444</v>
      </c>
      <c r="C910" s="3817">
        <v>54</v>
      </c>
      <c r="D910" s="3817" t="s">
        <v>3490</v>
      </c>
      <c r="E910" s="3817" t="s">
        <v>3512</v>
      </c>
      <c r="F910" s="3817">
        <v>320</v>
      </c>
      <c r="G910" s="3819">
        <v>42924</v>
      </c>
      <c r="H910" s="3817">
        <v>310</v>
      </c>
      <c r="I910" s="3817">
        <v>56570</v>
      </c>
    </row>
    <row r="911" spans="1:9" hidden="1">
      <c r="A911" s="3819">
        <v>42977</v>
      </c>
      <c r="B911" s="3817" t="s">
        <v>3444</v>
      </c>
      <c r="C911" s="3817">
        <v>54</v>
      </c>
      <c r="D911" s="3817" t="s">
        <v>3491</v>
      </c>
      <c r="E911" s="3817" t="s">
        <v>3453</v>
      </c>
      <c r="F911" s="3817">
        <v>315</v>
      </c>
      <c r="G911" s="3819">
        <v>42946</v>
      </c>
      <c r="H911" s="3817">
        <v>310</v>
      </c>
      <c r="I911" s="3817">
        <v>57291</v>
      </c>
    </row>
    <row r="912" spans="1:9" hidden="1">
      <c r="A912" s="3819">
        <v>42975</v>
      </c>
      <c r="B912" s="3817" t="s">
        <v>3444</v>
      </c>
      <c r="C912" s="3817">
        <v>57</v>
      </c>
      <c r="D912" s="3817" t="s">
        <v>3497</v>
      </c>
      <c r="E912" s="3817" t="s">
        <v>3453</v>
      </c>
      <c r="F912" s="3817">
        <v>314</v>
      </c>
      <c r="G912" s="3819">
        <v>42974</v>
      </c>
      <c r="H912" s="3817">
        <v>314</v>
      </c>
      <c r="I912" s="3817">
        <v>54896</v>
      </c>
    </row>
    <row r="913" spans="1:9" hidden="1">
      <c r="A913" s="3819">
        <v>42960</v>
      </c>
      <c r="B913" s="3817" t="s">
        <v>3444</v>
      </c>
      <c r="C913" s="3817">
        <v>61</v>
      </c>
      <c r="D913" s="3817" t="s">
        <v>3491</v>
      </c>
      <c r="E913" s="3817" t="s">
        <v>3429</v>
      </c>
      <c r="F913" s="3817">
        <v>340</v>
      </c>
      <c r="G913" s="3819">
        <v>42852</v>
      </c>
      <c r="H913" s="3817">
        <v>327</v>
      </c>
      <c r="I913" s="3817">
        <v>53426</v>
      </c>
    </row>
    <row r="914" spans="1:9" hidden="1">
      <c r="A914" s="3819">
        <v>42953</v>
      </c>
      <c r="B914" s="3817" t="s">
        <v>3444</v>
      </c>
      <c r="C914" s="3817">
        <v>54</v>
      </c>
      <c r="D914" s="3817" t="s">
        <v>3490</v>
      </c>
      <c r="E914" s="3817" t="s">
        <v>3468</v>
      </c>
      <c r="F914" s="3817">
        <v>345</v>
      </c>
      <c r="G914" s="3819">
        <v>42920</v>
      </c>
      <c r="H914" s="3817">
        <v>325</v>
      </c>
      <c r="I914" s="3817">
        <v>59415</v>
      </c>
    </row>
    <row r="915" spans="1:9" hidden="1">
      <c r="A915" s="3819">
        <v>42951</v>
      </c>
      <c r="B915" s="3817" t="s">
        <v>3444</v>
      </c>
      <c r="C915" s="3817">
        <v>57</v>
      </c>
      <c r="D915" s="3817" t="s">
        <v>3490</v>
      </c>
      <c r="E915" s="3817" t="s">
        <v>3453</v>
      </c>
      <c r="F915" s="3817">
        <v>348</v>
      </c>
      <c r="G915" s="3819">
        <v>42912</v>
      </c>
      <c r="H915" s="3817">
        <v>329</v>
      </c>
      <c r="I915" s="3817">
        <v>57518</v>
      </c>
    </row>
    <row r="916" spans="1:9" hidden="1">
      <c r="A916" s="3819">
        <v>42940</v>
      </c>
      <c r="B916" s="3817" t="s">
        <v>3444</v>
      </c>
      <c r="C916" s="3817">
        <v>57</v>
      </c>
      <c r="D916" s="3817" t="s">
        <v>3494</v>
      </c>
      <c r="E916" s="3817" t="s">
        <v>3463</v>
      </c>
      <c r="F916" s="3817">
        <v>330</v>
      </c>
      <c r="G916" s="3819">
        <v>42852</v>
      </c>
      <c r="H916" s="3817">
        <v>311</v>
      </c>
      <c r="I916" s="3817">
        <v>53965</v>
      </c>
    </row>
    <row r="917" spans="1:9" hidden="1">
      <c r="A917" s="3819">
        <v>42938</v>
      </c>
      <c r="B917" s="3817" t="s">
        <v>3444</v>
      </c>
      <c r="C917" s="3817">
        <v>54</v>
      </c>
      <c r="D917" s="3817" t="s">
        <v>3533</v>
      </c>
      <c r="E917" s="3817" t="s">
        <v>3453</v>
      </c>
      <c r="F917" s="3817">
        <v>324</v>
      </c>
      <c r="G917" s="3819">
        <v>42934</v>
      </c>
      <c r="H917" s="3817">
        <v>307</v>
      </c>
      <c r="I917" s="3817">
        <v>56228</v>
      </c>
    </row>
    <row r="918" spans="1:9" hidden="1">
      <c r="A918" s="3819">
        <v>42931</v>
      </c>
      <c r="B918" s="3817" t="s">
        <v>3444</v>
      </c>
      <c r="C918" s="3817">
        <v>62</v>
      </c>
      <c r="D918" s="3817" t="s">
        <v>3496</v>
      </c>
      <c r="E918" s="3817" t="s">
        <v>3469</v>
      </c>
      <c r="F918" s="3817">
        <v>390</v>
      </c>
      <c r="G918" s="3819">
        <v>42833</v>
      </c>
      <c r="H918" s="3817">
        <v>378</v>
      </c>
      <c r="I918" s="3817">
        <v>60336</v>
      </c>
    </row>
    <row r="919" spans="1:9" hidden="1">
      <c r="A919" s="3819">
        <v>42931</v>
      </c>
      <c r="B919" s="3817" t="s">
        <v>3444</v>
      </c>
      <c r="C919" s="3817">
        <v>69</v>
      </c>
      <c r="D919" s="3817" t="s">
        <v>3491</v>
      </c>
      <c r="E919" s="3817" t="s">
        <v>3512</v>
      </c>
      <c r="F919" s="3817">
        <v>410</v>
      </c>
      <c r="G919" s="3819">
        <v>42926</v>
      </c>
      <c r="H919" s="3817">
        <v>390</v>
      </c>
      <c r="I919" s="3817">
        <v>56514</v>
      </c>
    </row>
    <row r="920" spans="1:9" hidden="1">
      <c r="A920" s="3819">
        <v>42928</v>
      </c>
      <c r="B920" s="3817" t="s">
        <v>3471</v>
      </c>
      <c r="C920" s="3817">
        <v>38</v>
      </c>
      <c r="D920" s="3817" t="s">
        <v>3530</v>
      </c>
      <c r="E920" s="3817" t="s">
        <v>3442</v>
      </c>
      <c r="F920" s="3817">
        <v>276</v>
      </c>
      <c r="G920" s="3819">
        <v>42807</v>
      </c>
      <c r="H920" s="3817">
        <v>237</v>
      </c>
      <c r="I920" s="3817">
        <v>60926</v>
      </c>
    </row>
    <row r="921" spans="1:9" hidden="1">
      <c r="A921" s="3819">
        <v>42928</v>
      </c>
      <c r="B921" s="3817" t="s">
        <v>3444</v>
      </c>
      <c r="C921" s="3817">
        <v>64</v>
      </c>
      <c r="D921" s="3817" t="s">
        <v>3496</v>
      </c>
      <c r="E921" s="3817" t="s">
        <v>3429</v>
      </c>
      <c r="F921" s="3817">
        <v>430</v>
      </c>
      <c r="G921" s="3819">
        <v>42905</v>
      </c>
      <c r="H921" s="3817">
        <v>403</v>
      </c>
      <c r="I921" s="3817">
        <v>62182</v>
      </c>
    </row>
    <row r="922" spans="1:9" hidden="1">
      <c r="A922" s="3819">
        <v>42926</v>
      </c>
      <c r="B922" s="3817" t="s">
        <v>3441</v>
      </c>
      <c r="C922" s="3817">
        <v>62</v>
      </c>
      <c r="D922" s="3817" t="s">
        <v>3499</v>
      </c>
      <c r="E922" s="3817" t="s">
        <v>3468</v>
      </c>
      <c r="F922" s="3817">
        <v>0</v>
      </c>
      <c r="G922" s="3820"/>
      <c r="H922" s="3817">
        <v>387</v>
      </c>
      <c r="I922" s="3817">
        <v>62359</v>
      </c>
    </row>
    <row r="923" spans="1:9" hidden="1">
      <c r="A923" s="3819">
        <v>42925</v>
      </c>
      <c r="B923" s="3817" t="s">
        <v>3444</v>
      </c>
      <c r="C923" s="3817">
        <v>57</v>
      </c>
      <c r="D923" s="3817" t="s">
        <v>3491</v>
      </c>
      <c r="E923" s="3817" t="s">
        <v>3453</v>
      </c>
      <c r="F923" s="3817">
        <v>342</v>
      </c>
      <c r="G923" s="3819">
        <v>42915</v>
      </c>
      <c r="H923" s="3817">
        <v>333</v>
      </c>
      <c r="I923" s="3817">
        <v>58217</v>
      </c>
    </row>
    <row r="924" spans="1:9" hidden="1">
      <c r="A924" s="3819">
        <v>42925</v>
      </c>
      <c r="B924" s="3817" t="s">
        <v>3444</v>
      </c>
      <c r="C924" s="3817">
        <v>64</v>
      </c>
      <c r="D924" s="3817" t="s">
        <v>3518</v>
      </c>
      <c r="E924" s="3817" t="s">
        <v>3429</v>
      </c>
      <c r="F924" s="3817">
        <v>430</v>
      </c>
      <c r="G924" s="3819">
        <v>42862</v>
      </c>
      <c r="H924" s="3817">
        <v>401</v>
      </c>
      <c r="I924" s="3817">
        <v>61874</v>
      </c>
    </row>
    <row r="925" spans="1:9" hidden="1">
      <c r="A925" s="3819">
        <v>42921</v>
      </c>
      <c r="B925" s="3817" t="s">
        <v>3441</v>
      </c>
      <c r="C925" s="3817">
        <v>72</v>
      </c>
      <c r="D925" s="3817" t="s">
        <v>3491</v>
      </c>
      <c r="E925" s="3817" t="s">
        <v>3505</v>
      </c>
      <c r="F925" s="3817">
        <v>0</v>
      </c>
      <c r="G925" s="3820"/>
      <c r="H925" s="3817">
        <v>150</v>
      </c>
      <c r="I925" s="3817">
        <v>20664</v>
      </c>
    </row>
    <row r="926" spans="1:9" hidden="1">
      <c r="A926" s="3819">
        <v>42914</v>
      </c>
      <c r="B926" s="3817" t="s">
        <v>3441</v>
      </c>
      <c r="C926" s="3817">
        <v>57</v>
      </c>
      <c r="D926" s="3817" t="s">
        <v>3497</v>
      </c>
      <c r="E926" s="3817" t="s">
        <v>3505</v>
      </c>
      <c r="F926" s="3817">
        <v>0</v>
      </c>
      <c r="G926" s="3820"/>
      <c r="H926" s="3817">
        <v>336</v>
      </c>
      <c r="I926" s="3817">
        <v>58537</v>
      </c>
    </row>
    <row r="927" spans="1:9" hidden="1">
      <c r="A927" s="3819">
        <v>42913</v>
      </c>
      <c r="B927" s="3817" t="s">
        <v>3444</v>
      </c>
      <c r="C927" s="3817">
        <v>54</v>
      </c>
      <c r="D927" s="3817" t="s">
        <v>3491</v>
      </c>
      <c r="E927" s="3817" t="s">
        <v>3453</v>
      </c>
      <c r="F927" s="3817">
        <v>340</v>
      </c>
      <c r="G927" s="3819">
        <v>42909</v>
      </c>
      <c r="H927" s="3817">
        <v>320</v>
      </c>
      <c r="I927" s="3817">
        <v>59139</v>
      </c>
    </row>
    <row r="928" spans="1:9" hidden="1">
      <c r="A928" s="3819">
        <v>42902</v>
      </c>
      <c r="B928" s="3817" t="s">
        <v>3441</v>
      </c>
      <c r="C928" s="3817">
        <v>50</v>
      </c>
      <c r="D928" s="3817" t="s">
        <v>3497</v>
      </c>
      <c r="E928" s="3817" t="s">
        <v>3505</v>
      </c>
      <c r="F928" s="3817">
        <v>0</v>
      </c>
      <c r="G928" s="3820"/>
      <c r="H928" s="3817">
        <v>325</v>
      </c>
      <c r="I928" s="3817">
        <v>64356</v>
      </c>
    </row>
    <row r="929" spans="1:9" hidden="1">
      <c r="A929" s="3819">
        <v>42879</v>
      </c>
      <c r="B929" s="3817" t="s">
        <v>3449</v>
      </c>
      <c r="C929" s="3817">
        <v>72</v>
      </c>
      <c r="D929" s="3817" t="s">
        <v>3530</v>
      </c>
      <c r="E929" s="3817" t="s">
        <v>3453</v>
      </c>
      <c r="F929" s="3817">
        <v>450</v>
      </c>
      <c r="G929" s="3819">
        <v>42842</v>
      </c>
      <c r="H929" s="3817">
        <v>434</v>
      </c>
      <c r="I929" s="3817">
        <v>59945</v>
      </c>
    </row>
    <row r="930" spans="1:9" hidden="1">
      <c r="A930" s="3819">
        <v>42877</v>
      </c>
      <c r="B930" s="3817" t="s">
        <v>3444</v>
      </c>
      <c r="C930" s="3817">
        <v>54</v>
      </c>
      <c r="D930" s="3817" t="s">
        <v>3497</v>
      </c>
      <c r="E930" s="3817" t="s">
        <v>3453</v>
      </c>
      <c r="F930" s="3817">
        <v>368</v>
      </c>
      <c r="G930" s="3819">
        <v>42854</v>
      </c>
      <c r="H930" s="3817">
        <v>343</v>
      </c>
      <c r="I930" s="3817">
        <v>62936</v>
      </c>
    </row>
    <row r="931" spans="1:9" hidden="1">
      <c r="A931" s="3819">
        <v>42877</v>
      </c>
      <c r="B931" s="3817" t="s">
        <v>3471</v>
      </c>
      <c r="C931" s="3817">
        <v>68</v>
      </c>
      <c r="D931" s="3817" t="s">
        <v>3518</v>
      </c>
      <c r="E931" s="3817" t="s">
        <v>3468</v>
      </c>
      <c r="F931" s="3817">
        <v>420</v>
      </c>
      <c r="G931" s="3819">
        <v>42830</v>
      </c>
      <c r="H931" s="3817">
        <v>380</v>
      </c>
      <c r="I931" s="3817">
        <v>55801</v>
      </c>
    </row>
    <row r="932" spans="1:9" hidden="1">
      <c r="A932" s="3819">
        <v>42875</v>
      </c>
      <c r="B932" s="3817" t="s">
        <v>3444</v>
      </c>
      <c r="C932" s="3817">
        <v>64</v>
      </c>
      <c r="D932" s="3817" t="s">
        <v>3496</v>
      </c>
      <c r="E932" s="3817" t="s">
        <v>3429</v>
      </c>
      <c r="F932" s="3817">
        <v>415</v>
      </c>
      <c r="G932" s="3819">
        <v>42840</v>
      </c>
      <c r="H932" s="3817">
        <v>417</v>
      </c>
      <c r="I932" s="3817">
        <v>64342</v>
      </c>
    </row>
    <row r="933" spans="1:9" hidden="1">
      <c r="A933" s="3819">
        <v>42859</v>
      </c>
      <c r="B933" s="3817" t="s">
        <v>3441</v>
      </c>
      <c r="C933" s="3817">
        <v>59</v>
      </c>
      <c r="D933" s="3817" t="s">
        <v>3491</v>
      </c>
      <c r="E933" s="3817" t="s">
        <v>3505</v>
      </c>
      <c r="F933" s="3817">
        <v>0</v>
      </c>
      <c r="G933" s="3820"/>
      <c r="H933" s="3817">
        <v>380</v>
      </c>
      <c r="I933" s="3817">
        <v>63758</v>
      </c>
    </row>
    <row r="934" spans="1:9" hidden="1">
      <c r="A934" s="3819">
        <v>42846</v>
      </c>
      <c r="B934" s="3817" t="s">
        <v>3441</v>
      </c>
      <c r="C934" s="3817">
        <v>57</v>
      </c>
      <c r="D934" s="3817" t="s">
        <v>3491</v>
      </c>
      <c r="E934" s="3817" t="s">
        <v>3505</v>
      </c>
      <c r="F934" s="3817">
        <v>0</v>
      </c>
      <c r="G934" s="3820"/>
      <c r="H934" s="3817">
        <v>378</v>
      </c>
      <c r="I934" s="3817">
        <v>66084</v>
      </c>
    </row>
    <row r="935" spans="1:9" hidden="1">
      <c r="A935" s="3819">
        <v>42836</v>
      </c>
      <c r="B935" s="3817" t="s">
        <v>3448</v>
      </c>
      <c r="C935" s="3817">
        <v>41</v>
      </c>
      <c r="D935" s="3817" t="s">
        <v>3490</v>
      </c>
      <c r="E935" s="3817" t="s">
        <v>3429</v>
      </c>
      <c r="F935" s="3817">
        <v>0</v>
      </c>
      <c r="G935" s="3820"/>
      <c r="H935" s="3817">
        <v>307</v>
      </c>
      <c r="I935" s="3817">
        <v>73621</v>
      </c>
    </row>
    <row r="936" spans="1:9" hidden="1">
      <c r="A936" s="3819">
        <v>42817</v>
      </c>
      <c r="B936" s="3817" t="s">
        <v>3444</v>
      </c>
      <c r="C936" s="3817">
        <v>71</v>
      </c>
      <c r="D936" s="3817" t="s">
        <v>3533</v>
      </c>
      <c r="E936" s="3817" t="s">
        <v>3453</v>
      </c>
      <c r="F936" s="3817">
        <v>480</v>
      </c>
      <c r="G936" s="3819">
        <v>42790</v>
      </c>
      <c r="H936" s="3817">
        <v>467</v>
      </c>
      <c r="I936" s="3817">
        <v>65133</v>
      </c>
    </row>
    <row r="937" spans="1:9" hidden="1">
      <c r="A937" s="3819">
        <v>42814</v>
      </c>
      <c r="B937" s="3817" t="s">
        <v>3444</v>
      </c>
      <c r="C937" s="3817">
        <v>58</v>
      </c>
      <c r="D937" s="3817" t="s">
        <v>3533</v>
      </c>
      <c r="E937" s="3817" t="s">
        <v>3453</v>
      </c>
      <c r="F937" s="3817">
        <v>370</v>
      </c>
      <c r="G937" s="3819">
        <v>42707</v>
      </c>
      <c r="H937" s="3817">
        <v>368</v>
      </c>
      <c r="I937" s="3817">
        <v>62671</v>
      </c>
    </row>
    <row r="938" spans="1:9" hidden="1">
      <c r="A938" s="3819">
        <v>42814</v>
      </c>
      <c r="B938" s="3817" t="s">
        <v>3444</v>
      </c>
      <c r="C938" s="3817">
        <v>55</v>
      </c>
      <c r="D938" s="3817" t="s">
        <v>3491</v>
      </c>
      <c r="E938" s="3817" t="s">
        <v>3477</v>
      </c>
      <c r="F938" s="3817">
        <v>390</v>
      </c>
      <c r="G938" s="3819">
        <v>42811</v>
      </c>
      <c r="H938" s="3817">
        <v>385</v>
      </c>
      <c r="I938" s="3817">
        <v>69797</v>
      </c>
    </row>
    <row r="939" spans="1:9" hidden="1">
      <c r="A939" s="3819">
        <v>42810</v>
      </c>
      <c r="B939" s="3817" t="s">
        <v>3444</v>
      </c>
      <c r="C939" s="3817">
        <v>59</v>
      </c>
      <c r="D939" s="3817" t="s">
        <v>3491</v>
      </c>
      <c r="E939" s="3817" t="s">
        <v>3453</v>
      </c>
      <c r="F939" s="3817">
        <v>390</v>
      </c>
      <c r="G939" s="3819">
        <v>42783</v>
      </c>
      <c r="H939" s="3817">
        <v>385</v>
      </c>
      <c r="I939" s="3817">
        <v>64598</v>
      </c>
    </row>
    <row r="940" spans="1:9" hidden="1">
      <c r="A940" s="3819">
        <v>42809</v>
      </c>
      <c r="B940" s="3817" t="s">
        <v>3444</v>
      </c>
      <c r="C940" s="3817">
        <v>54</v>
      </c>
      <c r="D940" s="3817" t="s">
        <v>3491</v>
      </c>
      <c r="E940" s="3817" t="s">
        <v>3512</v>
      </c>
      <c r="F940" s="3817">
        <v>380</v>
      </c>
      <c r="G940" s="3819">
        <v>42789</v>
      </c>
      <c r="H940" s="3817">
        <v>378</v>
      </c>
      <c r="I940" s="3817">
        <v>69858</v>
      </c>
    </row>
    <row r="941" spans="1:9" hidden="1">
      <c r="A941" s="3819">
        <v>42808</v>
      </c>
      <c r="B941" s="3817" t="s">
        <v>3441</v>
      </c>
      <c r="C941" s="3817">
        <v>54</v>
      </c>
      <c r="D941" s="3817" t="s">
        <v>3497</v>
      </c>
      <c r="E941" s="3817" t="s">
        <v>3512</v>
      </c>
      <c r="F941" s="3817">
        <v>0</v>
      </c>
      <c r="G941" s="3820"/>
      <c r="H941" s="3817">
        <v>374</v>
      </c>
      <c r="I941" s="3817">
        <v>68376</v>
      </c>
    </row>
    <row r="942" spans="1:9" hidden="1">
      <c r="A942" s="3819">
        <v>42807</v>
      </c>
      <c r="B942" s="3817" t="s">
        <v>3444</v>
      </c>
      <c r="C942" s="3817">
        <v>58</v>
      </c>
      <c r="D942" s="3817" t="s">
        <v>3533</v>
      </c>
      <c r="E942" s="3817" t="s">
        <v>3453</v>
      </c>
      <c r="F942" s="3817">
        <v>380</v>
      </c>
      <c r="G942" s="3819">
        <v>42719</v>
      </c>
      <c r="H942" s="3817">
        <v>380</v>
      </c>
      <c r="I942" s="3817">
        <v>64736</v>
      </c>
    </row>
    <row r="943" spans="1:9" hidden="1">
      <c r="A943" s="3819">
        <v>42803</v>
      </c>
      <c r="B943" s="3817" t="s">
        <v>3444</v>
      </c>
      <c r="C943" s="3817">
        <v>58</v>
      </c>
      <c r="D943" s="3817" t="s">
        <v>3533</v>
      </c>
      <c r="E943" s="3817" t="s">
        <v>3453</v>
      </c>
      <c r="F943" s="3817">
        <v>380</v>
      </c>
      <c r="G943" s="3819">
        <v>42793</v>
      </c>
      <c r="H943" s="3817">
        <v>376</v>
      </c>
      <c r="I943" s="3817">
        <v>64055</v>
      </c>
    </row>
    <row r="944" spans="1:9" hidden="1">
      <c r="A944" s="3819">
        <v>42803</v>
      </c>
      <c r="B944" s="3817" t="s">
        <v>3444</v>
      </c>
      <c r="C944" s="3817">
        <v>56</v>
      </c>
      <c r="D944" s="3817" t="s">
        <v>3491</v>
      </c>
      <c r="E944" s="3817" t="s">
        <v>3453</v>
      </c>
      <c r="F944" s="3817">
        <v>379</v>
      </c>
      <c r="G944" s="3819">
        <v>42801</v>
      </c>
      <c r="H944" s="3817">
        <v>365</v>
      </c>
      <c r="I944" s="3817">
        <v>65054</v>
      </c>
    </row>
    <row r="945" spans="1:9" hidden="1">
      <c r="A945" s="3819">
        <v>42802</v>
      </c>
      <c r="B945" s="3817" t="s">
        <v>3471</v>
      </c>
      <c r="C945" s="3817">
        <v>45</v>
      </c>
      <c r="D945" s="3817" t="s">
        <v>3490</v>
      </c>
      <c r="E945" s="3817" t="s">
        <v>3429</v>
      </c>
      <c r="F945" s="3817">
        <v>315</v>
      </c>
      <c r="G945" s="3819">
        <v>42787</v>
      </c>
      <c r="H945" s="3817">
        <v>313</v>
      </c>
      <c r="I945" s="3817">
        <v>68133</v>
      </c>
    </row>
    <row r="946" spans="1:9" hidden="1">
      <c r="A946" s="3819">
        <v>42802</v>
      </c>
      <c r="B946" s="3817" t="s">
        <v>3444</v>
      </c>
      <c r="C946" s="3817">
        <v>57</v>
      </c>
      <c r="D946" s="3817" t="s">
        <v>3490</v>
      </c>
      <c r="E946" s="3817" t="s">
        <v>3453</v>
      </c>
      <c r="F946" s="3817">
        <v>355</v>
      </c>
      <c r="G946" s="3819">
        <v>42775</v>
      </c>
      <c r="H946" s="3817">
        <v>355</v>
      </c>
      <c r="I946" s="3817">
        <v>62063</v>
      </c>
    </row>
    <row r="947" spans="1:9" hidden="1">
      <c r="A947" s="3819">
        <v>42800</v>
      </c>
      <c r="B947" s="3817" t="s">
        <v>3441</v>
      </c>
      <c r="C947" s="3817">
        <v>49</v>
      </c>
      <c r="D947" s="3817" t="s">
        <v>3491</v>
      </c>
      <c r="E947" s="3817" t="s">
        <v>3460</v>
      </c>
      <c r="F947" s="3817">
        <v>0</v>
      </c>
      <c r="G947" s="3820"/>
      <c r="H947" s="3817">
        <v>320</v>
      </c>
      <c r="I947" s="3817">
        <v>64438</v>
      </c>
    </row>
    <row r="948" spans="1:9" hidden="1">
      <c r="A948" s="3819">
        <v>42800</v>
      </c>
      <c r="B948" s="3817" t="s">
        <v>3471</v>
      </c>
      <c r="C948" s="3817">
        <v>41</v>
      </c>
      <c r="D948" s="3817" t="s">
        <v>3491</v>
      </c>
      <c r="E948" s="3817" t="s">
        <v>3464</v>
      </c>
      <c r="F948" s="3817">
        <v>290</v>
      </c>
      <c r="G948" s="3819">
        <v>42797</v>
      </c>
      <c r="H948" s="3817">
        <v>278</v>
      </c>
      <c r="I948" s="3817">
        <v>67805</v>
      </c>
    </row>
    <row r="949" spans="1:9" hidden="1">
      <c r="A949" s="3819">
        <v>42800</v>
      </c>
      <c r="B949" s="3817" t="s">
        <v>3449</v>
      </c>
      <c r="C949" s="3817">
        <v>76</v>
      </c>
      <c r="D949" s="3817" t="s">
        <v>3490</v>
      </c>
      <c r="E949" s="3817" t="s">
        <v>3498</v>
      </c>
      <c r="F949" s="3817">
        <v>430</v>
      </c>
      <c r="G949" s="3819">
        <v>42657</v>
      </c>
      <c r="H949" s="3817">
        <v>425</v>
      </c>
      <c r="I949" s="3817">
        <v>55267</v>
      </c>
    </row>
    <row r="950" spans="1:9" hidden="1">
      <c r="A950" s="3819">
        <v>42799</v>
      </c>
      <c r="B950" s="3817" t="s">
        <v>3444</v>
      </c>
      <c r="C950" s="3817">
        <v>81</v>
      </c>
      <c r="D950" s="3817" t="s">
        <v>3495</v>
      </c>
      <c r="E950" s="3817" t="s">
        <v>3477</v>
      </c>
      <c r="F950" s="3817">
        <v>430</v>
      </c>
      <c r="G950" s="3819">
        <v>42644</v>
      </c>
      <c r="H950" s="3817">
        <v>428</v>
      </c>
      <c r="I950" s="3817">
        <v>52580</v>
      </c>
    </row>
    <row r="951" spans="1:9" hidden="1">
      <c r="A951" s="3819">
        <v>42793</v>
      </c>
      <c r="B951" s="3817" t="s">
        <v>3444</v>
      </c>
      <c r="C951" s="3817">
        <v>57</v>
      </c>
      <c r="D951" s="3817" t="s">
        <v>3491</v>
      </c>
      <c r="E951" s="3817" t="s">
        <v>3453</v>
      </c>
      <c r="F951" s="3817">
        <v>380</v>
      </c>
      <c r="G951" s="3819">
        <v>42779</v>
      </c>
      <c r="H951" s="3817">
        <v>372</v>
      </c>
      <c r="I951" s="3817">
        <v>65035</v>
      </c>
    </row>
    <row r="952" spans="1:9" hidden="1">
      <c r="A952" s="3819">
        <v>42793</v>
      </c>
      <c r="B952" s="3817" t="s">
        <v>3444</v>
      </c>
      <c r="C952" s="3817">
        <v>57</v>
      </c>
      <c r="D952" s="3817" t="s">
        <v>3491</v>
      </c>
      <c r="E952" s="3817" t="s">
        <v>3453</v>
      </c>
      <c r="F952" s="3817">
        <v>365</v>
      </c>
      <c r="G952" s="3819">
        <v>42792</v>
      </c>
      <c r="H952" s="3817">
        <v>363</v>
      </c>
      <c r="I952" s="3817">
        <v>63462</v>
      </c>
    </row>
    <row r="953" spans="1:9" hidden="1">
      <c r="A953" s="3819">
        <v>42791</v>
      </c>
      <c r="B953" s="3817" t="s">
        <v>3441</v>
      </c>
      <c r="C953" s="3817">
        <v>62</v>
      </c>
      <c r="D953" s="3817" t="s">
        <v>3490</v>
      </c>
      <c r="E953" s="3817" t="s">
        <v>3505</v>
      </c>
      <c r="F953" s="3817">
        <v>0</v>
      </c>
      <c r="G953" s="3820"/>
      <c r="H953" s="3817">
        <v>380</v>
      </c>
      <c r="I953" s="3817">
        <v>60413</v>
      </c>
    </row>
    <row r="954" spans="1:9" hidden="1">
      <c r="A954" s="3819">
        <v>42789</v>
      </c>
      <c r="B954" s="3817" t="s">
        <v>3444</v>
      </c>
      <c r="C954" s="3817">
        <v>57</v>
      </c>
      <c r="D954" s="3817" t="s">
        <v>3497</v>
      </c>
      <c r="E954" s="3817" t="s">
        <v>3453</v>
      </c>
      <c r="F954" s="3817">
        <v>330</v>
      </c>
      <c r="G954" s="3819">
        <v>42781</v>
      </c>
      <c r="H954" s="3817">
        <v>329</v>
      </c>
      <c r="I954" s="3817">
        <v>57518</v>
      </c>
    </row>
    <row r="955" spans="1:9" hidden="1">
      <c r="A955" s="3819">
        <v>42789</v>
      </c>
      <c r="B955" s="3817" t="s">
        <v>3444</v>
      </c>
      <c r="C955" s="3817">
        <v>49</v>
      </c>
      <c r="D955" s="3817" t="s">
        <v>3530</v>
      </c>
      <c r="E955" s="3817" t="s">
        <v>3453</v>
      </c>
      <c r="F955" s="3817">
        <v>352</v>
      </c>
      <c r="G955" s="3819">
        <v>42783</v>
      </c>
      <c r="H955" s="3817">
        <v>350</v>
      </c>
      <c r="I955" s="3817">
        <v>70551</v>
      </c>
    </row>
    <row r="956" spans="1:9" hidden="1">
      <c r="A956" s="3819">
        <v>42787</v>
      </c>
      <c r="B956" s="3817" t="s">
        <v>3441</v>
      </c>
      <c r="C956" s="3817">
        <v>57</v>
      </c>
      <c r="D956" s="3817" t="s">
        <v>3491</v>
      </c>
      <c r="E956" s="3817" t="s">
        <v>3505</v>
      </c>
      <c r="F956" s="3817">
        <v>0</v>
      </c>
      <c r="G956" s="3820"/>
      <c r="H956" s="3817">
        <v>363</v>
      </c>
      <c r="I956" s="3817">
        <v>63462</v>
      </c>
    </row>
    <row r="957" spans="1:9" hidden="1">
      <c r="A957" s="3819">
        <v>42787</v>
      </c>
      <c r="B957" s="3817" t="s">
        <v>3444</v>
      </c>
      <c r="C957" s="3817">
        <v>54</v>
      </c>
      <c r="D957" s="3817" t="s">
        <v>3490</v>
      </c>
      <c r="E957" s="3817" t="s">
        <v>3512</v>
      </c>
      <c r="F957" s="3817">
        <v>330</v>
      </c>
      <c r="G957" s="3819">
        <v>42713</v>
      </c>
      <c r="H957" s="3817">
        <v>325</v>
      </c>
      <c r="I957" s="3817">
        <v>59307</v>
      </c>
    </row>
    <row r="958" spans="1:9" hidden="1">
      <c r="A958" s="3819">
        <v>42785</v>
      </c>
      <c r="B958" s="3817" t="s">
        <v>3444</v>
      </c>
      <c r="C958" s="3817">
        <v>58</v>
      </c>
      <c r="D958" s="3817" t="s">
        <v>3533</v>
      </c>
      <c r="E958" s="3817" t="s">
        <v>3453</v>
      </c>
      <c r="F958" s="3817">
        <v>355</v>
      </c>
      <c r="G958" s="3819">
        <v>42773</v>
      </c>
      <c r="H958" s="3817">
        <v>350</v>
      </c>
      <c r="I958" s="3817">
        <v>59626</v>
      </c>
    </row>
    <row r="959" spans="1:9" hidden="1">
      <c r="A959" s="3819">
        <v>42785</v>
      </c>
      <c r="B959" s="3817" t="s">
        <v>3471</v>
      </c>
      <c r="C959" s="3817">
        <v>57</v>
      </c>
      <c r="D959" s="3817" t="s">
        <v>3532</v>
      </c>
      <c r="E959" s="3817" t="s">
        <v>3442</v>
      </c>
      <c r="F959" s="3817">
        <v>340</v>
      </c>
      <c r="G959" s="3819">
        <v>42770</v>
      </c>
      <c r="H959" s="3817">
        <v>334</v>
      </c>
      <c r="I959" s="3817">
        <v>57956</v>
      </c>
    </row>
    <row r="960" spans="1:9" hidden="1">
      <c r="A960" s="3819">
        <v>42784</v>
      </c>
      <c r="B960" s="3817" t="s">
        <v>3471</v>
      </c>
      <c r="C960" s="3817">
        <v>42</v>
      </c>
      <c r="D960" s="3817" t="s">
        <v>3491</v>
      </c>
      <c r="E960" s="3817" t="s">
        <v>3429</v>
      </c>
      <c r="F960" s="3817">
        <v>269</v>
      </c>
      <c r="G960" s="3819">
        <v>42780</v>
      </c>
      <c r="H960" s="3817">
        <v>268</v>
      </c>
      <c r="I960" s="3817">
        <v>62588</v>
      </c>
    </row>
    <row r="961" spans="1:9" hidden="1">
      <c r="A961" s="3819">
        <v>42781</v>
      </c>
      <c r="B961" s="3817" t="s">
        <v>3444</v>
      </c>
      <c r="C961" s="3817">
        <v>67</v>
      </c>
      <c r="D961" s="3817" t="s">
        <v>3533</v>
      </c>
      <c r="E961" s="3817" t="s">
        <v>3465</v>
      </c>
      <c r="F961" s="3817">
        <v>395</v>
      </c>
      <c r="G961" s="3819">
        <v>42724</v>
      </c>
      <c r="H961" s="3817">
        <v>385</v>
      </c>
      <c r="I961" s="3817">
        <v>56668</v>
      </c>
    </row>
    <row r="962" spans="1:9" hidden="1">
      <c r="A962" s="3819">
        <v>42779</v>
      </c>
      <c r="B962" s="3817" t="s">
        <v>3441</v>
      </c>
      <c r="C962" s="3817">
        <v>62</v>
      </c>
      <c r="D962" s="3817" t="s">
        <v>3499</v>
      </c>
      <c r="E962" s="3817" t="s">
        <v>3463</v>
      </c>
      <c r="F962" s="3817">
        <v>0</v>
      </c>
      <c r="G962" s="3820"/>
      <c r="H962" s="3817">
        <v>353</v>
      </c>
      <c r="I962" s="3817">
        <v>56345</v>
      </c>
    </row>
    <row r="963" spans="1:9" hidden="1">
      <c r="A963" s="3819">
        <v>42777</v>
      </c>
      <c r="B963" s="3817" t="s">
        <v>3444</v>
      </c>
      <c r="C963" s="3817">
        <v>57</v>
      </c>
      <c r="D963" s="3817" t="s">
        <v>3533</v>
      </c>
      <c r="E963" s="3817" t="s">
        <v>3453</v>
      </c>
      <c r="F963" s="3817">
        <v>310</v>
      </c>
      <c r="G963" s="3819">
        <v>42680</v>
      </c>
      <c r="H963" s="3817">
        <v>308</v>
      </c>
      <c r="I963" s="3817">
        <v>53847</v>
      </c>
    </row>
    <row r="964" spans="1:9" hidden="1">
      <c r="A964" s="3819">
        <v>42775</v>
      </c>
      <c r="B964" s="3817" t="s">
        <v>3471</v>
      </c>
      <c r="C964" s="3817">
        <v>44</v>
      </c>
      <c r="D964" s="3817" t="s">
        <v>3491</v>
      </c>
      <c r="E964" s="3817" t="s">
        <v>3464</v>
      </c>
      <c r="F964" s="3817">
        <v>272</v>
      </c>
      <c r="G964" s="3819">
        <v>42735</v>
      </c>
      <c r="H964" s="3817">
        <v>268</v>
      </c>
      <c r="I964" s="3817">
        <v>60374</v>
      </c>
    </row>
    <row r="965" spans="1:9" hidden="1">
      <c r="A965" s="3819">
        <v>42757</v>
      </c>
      <c r="B965" s="3817" t="s">
        <v>3473</v>
      </c>
      <c r="C965" s="3817">
        <v>73</v>
      </c>
      <c r="D965" s="3817" t="s">
        <v>3496</v>
      </c>
      <c r="E965" s="3817" t="s">
        <v>3458</v>
      </c>
      <c r="F965" s="3817">
        <v>390</v>
      </c>
      <c r="G965" s="3819">
        <v>42676</v>
      </c>
      <c r="H965" s="3817">
        <v>383</v>
      </c>
      <c r="I965" s="3817">
        <v>52017</v>
      </c>
    </row>
    <row r="966" spans="1:9" hidden="1">
      <c r="A966" s="3819">
        <v>42756</v>
      </c>
      <c r="B966" s="3817" t="s">
        <v>3444</v>
      </c>
      <c r="C966" s="3817">
        <v>67</v>
      </c>
      <c r="D966" s="3817" t="s">
        <v>3530</v>
      </c>
      <c r="E966" s="3817" t="s">
        <v>3465</v>
      </c>
      <c r="F966" s="3817">
        <v>405</v>
      </c>
      <c r="G966" s="3819">
        <v>42751</v>
      </c>
      <c r="H966" s="3817">
        <v>390</v>
      </c>
      <c r="I966" s="3817">
        <v>57404</v>
      </c>
    </row>
    <row r="967" spans="1:9" hidden="1">
      <c r="A967" s="3819">
        <v>42751</v>
      </c>
      <c r="B967" s="3817" t="s">
        <v>3444</v>
      </c>
      <c r="C967" s="3817">
        <v>57</v>
      </c>
      <c r="D967" s="3817" t="s">
        <v>3491</v>
      </c>
      <c r="E967" s="3817" t="s">
        <v>3453</v>
      </c>
      <c r="F967" s="3817">
        <v>350</v>
      </c>
      <c r="G967" s="3819">
        <v>42702</v>
      </c>
      <c r="H967" s="3817">
        <v>350</v>
      </c>
      <c r="I967" s="3817">
        <v>60976</v>
      </c>
    </row>
    <row r="968" spans="1:9" hidden="1">
      <c r="A968" s="3819">
        <v>42751</v>
      </c>
      <c r="B968" s="3817" t="s">
        <v>3444</v>
      </c>
      <c r="C968" s="3817">
        <v>62</v>
      </c>
      <c r="D968" s="3817" t="s">
        <v>3495</v>
      </c>
      <c r="E968" s="3817" t="s">
        <v>3464</v>
      </c>
      <c r="F968" s="3817">
        <v>360</v>
      </c>
      <c r="G968" s="3819">
        <v>42643</v>
      </c>
      <c r="H968" s="3817">
        <v>357</v>
      </c>
      <c r="I968" s="3817">
        <v>56984</v>
      </c>
    </row>
    <row r="969" spans="1:9" hidden="1">
      <c r="A969" s="3819">
        <v>42748</v>
      </c>
      <c r="B969" s="3817" t="s">
        <v>3441</v>
      </c>
      <c r="C969" s="3817">
        <v>62</v>
      </c>
      <c r="D969" s="3817" t="s">
        <v>3494</v>
      </c>
      <c r="E969" s="3817" t="s">
        <v>3468</v>
      </c>
      <c r="F969" s="3817">
        <v>0</v>
      </c>
      <c r="G969" s="3820"/>
      <c r="H969" s="3817">
        <v>393</v>
      </c>
      <c r="I969" s="3817">
        <v>63326</v>
      </c>
    </row>
    <row r="970" spans="1:9" hidden="1">
      <c r="A970" s="3819">
        <v>42746</v>
      </c>
      <c r="B970" s="3817" t="s">
        <v>3444</v>
      </c>
      <c r="C970" s="3817">
        <v>57</v>
      </c>
      <c r="D970" s="3817" t="s">
        <v>3497</v>
      </c>
      <c r="E970" s="3817" t="s">
        <v>3453</v>
      </c>
      <c r="F970" s="3817">
        <v>345</v>
      </c>
      <c r="G970" s="3819">
        <v>42733</v>
      </c>
      <c r="H970" s="3817">
        <v>338</v>
      </c>
      <c r="I970" s="3817">
        <v>59091</v>
      </c>
    </row>
    <row r="971" spans="1:9" hidden="1">
      <c r="A971" s="3819">
        <v>42745</v>
      </c>
      <c r="B971" s="3817" t="s">
        <v>3444</v>
      </c>
      <c r="C971" s="3817">
        <v>57</v>
      </c>
      <c r="D971" s="3817" t="s">
        <v>3490</v>
      </c>
      <c r="E971" s="3817" t="s">
        <v>3453</v>
      </c>
      <c r="F971" s="3817">
        <v>340</v>
      </c>
      <c r="G971" s="3819">
        <v>42712</v>
      </c>
      <c r="H971" s="3817">
        <v>338</v>
      </c>
      <c r="I971" s="3817">
        <v>59091</v>
      </c>
    </row>
    <row r="972" spans="1:9" hidden="1">
      <c r="A972" s="3819">
        <v>42743</v>
      </c>
      <c r="B972" s="3817" t="s">
        <v>3441</v>
      </c>
      <c r="C972" s="3817">
        <v>57</v>
      </c>
      <c r="D972" s="3817" t="s">
        <v>3491</v>
      </c>
      <c r="E972" s="3817" t="s">
        <v>3505</v>
      </c>
      <c r="F972" s="3817">
        <v>0</v>
      </c>
      <c r="G972" s="3820"/>
      <c r="H972" s="3817">
        <v>348</v>
      </c>
      <c r="I972" s="3817">
        <v>60627</v>
      </c>
    </row>
    <row r="973" spans="1:9" hidden="1">
      <c r="A973" s="3819">
        <v>42737</v>
      </c>
      <c r="B973" s="3817" t="s">
        <v>3444</v>
      </c>
      <c r="C973" s="3817">
        <v>54</v>
      </c>
      <c r="D973" s="3817" t="s">
        <v>3491</v>
      </c>
      <c r="E973" s="3817" t="s">
        <v>3453</v>
      </c>
      <c r="F973" s="3817">
        <v>335</v>
      </c>
      <c r="G973" s="3819">
        <v>42714</v>
      </c>
      <c r="H973" s="3817">
        <v>332</v>
      </c>
      <c r="I973" s="3817">
        <v>60695</v>
      </c>
    </row>
    <row r="974" spans="1:9" hidden="1">
      <c r="A974" s="3819">
        <v>42732</v>
      </c>
      <c r="B974" s="3817" t="s">
        <v>3444</v>
      </c>
      <c r="C974" s="3817">
        <v>62</v>
      </c>
      <c r="D974" s="3817" t="s">
        <v>3496</v>
      </c>
      <c r="E974" s="3817" t="s">
        <v>3464</v>
      </c>
      <c r="F974" s="3817">
        <v>370</v>
      </c>
      <c r="G974" s="3819">
        <v>42727</v>
      </c>
      <c r="H974" s="3817">
        <v>365</v>
      </c>
      <c r="I974" s="3817">
        <v>58815</v>
      </c>
    </row>
    <row r="975" spans="1:9" hidden="1">
      <c r="A975" s="3819">
        <v>42729</v>
      </c>
      <c r="B975" s="3817" t="s">
        <v>3471</v>
      </c>
      <c r="C975" s="3817">
        <v>62</v>
      </c>
      <c r="D975" s="3817" t="s">
        <v>3518</v>
      </c>
      <c r="E975" s="3817" t="s">
        <v>3469</v>
      </c>
      <c r="F975" s="3817">
        <v>355</v>
      </c>
      <c r="G975" s="3819">
        <v>42707</v>
      </c>
      <c r="H975" s="3817">
        <v>345</v>
      </c>
      <c r="I975" s="3817">
        <v>55068</v>
      </c>
    </row>
    <row r="976" spans="1:9" hidden="1">
      <c r="A976" s="3819">
        <v>42726</v>
      </c>
      <c r="B976" s="3817" t="s">
        <v>3475</v>
      </c>
      <c r="C976" s="3817">
        <v>67</v>
      </c>
      <c r="D976" s="3817" t="s">
        <v>3497</v>
      </c>
      <c r="E976" s="3817" t="s">
        <v>3512</v>
      </c>
      <c r="F976" s="3817">
        <v>0</v>
      </c>
      <c r="G976" s="3820"/>
      <c r="H976" s="3817">
        <v>347</v>
      </c>
      <c r="I976" s="3817">
        <v>51074</v>
      </c>
    </row>
    <row r="977" spans="1:9" hidden="1">
      <c r="A977" s="3819">
        <v>42725</v>
      </c>
      <c r="B977" s="3817" t="s">
        <v>3444</v>
      </c>
      <c r="C977" s="3817">
        <v>59</v>
      </c>
      <c r="D977" s="3817" t="s">
        <v>3533</v>
      </c>
      <c r="E977" s="3817" t="s">
        <v>3453</v>
      </c>
      <c r="F977" s="3817">
        <v>330</v>
      </c>
      <c r="G977" s="3819">
        <v>42709</v>
      </c>
      <c r="H977" s="3817">
        <v>330</v>
      </c>
      <c r="I977" s="3817">
        <v>55370</v>
      </c>
    </row>
    <row r="978" spans="1:9" hidden="1">
      <c r="A978" s="3819">
        <v>42723</v>
      </c>
      <c r="B978" s="3817" t="s">
        <v>3448</v>
      </c>
      <c r="C978" s="3817">
        <v>40</v>
      </c>
      <c r="D978" s="3817" t="s">
        <v>3490</v>
      </c>
      <c r="E978" s="3817" t="s">
        <v>3429</v>
      </c>
      <c r="F978" s="3817">
        <v>0</v>
      </c>
      <c r="G978" s="3820"/>
      <c r="H978" s="3817">
        <v>248</v>
      </c>
      <c r="I978" s="3817">
        <v>60934</v>
      </c>
    </row>
    <row r="979" spans="1:9" hidden="1">
      <c r="A979" s="3819">
        <v>42723</v>
      </c>
      <c r="B979" s="3817" t="s">
        <v>3449</v>
      </c>
      <c r="C979" s="3817">
        <v>67</v>
      </c>
      <c r="D979" s="3817" t="s">
        <v>3530</v>
      </c>
      <c r="E979" s="3817" t="s">
        <v>3481</v>
      </c>
      <c r="F979" s="3817">
        <v>365</v>
      </c>
      <c r="G979" s="3819">
        <v>42630</v>
      </c>
      <c r="H979" s="3817">
        <v>363</v>
      </c>
      <c r="I979" s="3817">
        <v>53430</v>
      </c>
    </row>
    <row r="980" spans="1:9" hidden="1">
      <c r="A980" s="3819">
        <v>42722</v>
      </c>
      <c r="B980" s="3817" t="s">
        <v>3441</v>
      </c>
      <c r="C980" s="3817">
        <v>56</v>
      </c>
      <c r="D980" s="3817" t="s">
        <v>3497</v>
      </c>
      <c r="E980" s="3817" t="s">
        <v>3512</v>
      </c>
      <c r="F980" s="3817">
        <v>0</v>
      </c>
      <c r="G980" s="3820"/>
      <c r="H980" s="3817">
        <v>318</v>
      </c>
      <c r="I980" s="3817">
        <v>56584</v>
      </c>
    </row>
    <row r="981" spans="1:9" hidden="1">
      <c r="A981" s="3819">
        <v>42722</v>
      </c>
      <c r="B981" s="3817" t="s">
        <v>3444</v>
      </c>
      <c r="C981" s="3817">
        <v>55</v>
      </c>
      <c r="D981" s="3817" t="s">
        <v>3491</v>
      </c>
      <c r="E981" s="3817" t="s">
        <v>3468</v>
      </c>
      <c r="F981" s="3817">
        <v>335</v>
      </c>
      <c r="G981" s="3819">
        <v>42719</v>
      </c>
      <c r="H981" s="3817">
        <v>332</v>
      </c>
      <c r="I981" s="3817">
        <v>60189</v>
      </c>
    </row>
    <row r="982" spans="1:9" hidden="1">
      <c r="A982" s="3819">
        <v>42719</v>
      </c>
      <c r="B982" s="3817" t="s">
        <v>3444</v>
      </c>
      <c r="C982" s="3817">
        <v>56</v>
      </c>
      <c r="D982" s="3817" t="s">
        <v>3490</v>
      </c>
      <c r="E982" s="3817" t="s">
        <v>3512</v>
      </c>
      <c r="F982" s="3817">
        <v>320</v>
      </c>
      <c r="G982" s="3819">
        <v>42706</v>
      </c>
      <c r="H982" s="3817">
        <v>305</v>
      </c>
      <c r="I982" s="3817">
        <v>53698</v>
      </c>
    </row>
    <row r="983" spans="1:9" hidden="1">
      <c r="A983" s="3819">
        <v>42717</v>
      </c>
      <c r="B983" s="3817" t="s">
        <v>3441</v>
      </c>
      <c r="C983" s="3817">
        <v>57</v>
      </c>
      <c r="D983" s="3817" t="s">
        <v>3497</v>
      </c>
      <c r="E983" s="3817" t="s">
        <v>3505</v>
      </c>
      <c r="F983" s="3817">
        <v>0</v>
      </c>
      <c r="G983" s="3820"/>
      <c r="H983" s="3817">
        <v>338</v>
      </c>
      <c r="I983" s="3817">
        <v>59091</v>
      </c>
    </row>
    <row r="984" spans="1:9" hidden="1">
      <c r="A984" s="3819">
        <v>42715</v>
      </c>
      <c r="B984" s="3817" t="s">
        <v>3444</v>
      </c>
      <c r="C984" s="3817">
        <v>62</v>
      </c>
      <c r="D984" s="3817" t="s">
        <v>3496</v>
      </c>
      <c r="E984" s="3817" t="s">
        <v>3468</v>
      </c>
      <c r="F984" s="3817">
        <v>355</v>
      </c>
      <c r="G984" s="3819">
        <v>42636</v>
      </c>
      <c r="H984" s="3817">
        <v>350</v>
      </c>
      <c r="I984" s="3817">
        <v>55822</v>
      </c>
    </row>
    <row r="985" spans="1:9" hidden="1">
      <c r="A985" s="3819">
        <v>42713</v>
      </c>
      <c r="B985" s="3817" t="s">
        <v>3441</v>
      </c>
      <c r="C985" s="3817">
        <v>56</v>
      </c>
      <c r="D985" s="3817" t="s">
        <v>3491</v>
      </c>
      <c r="E985" s="3817" t="s">
        <v>3505</v>
      </c>
      <c r="F985" s="3817">
        <v>0</v>
      </c>
      <c r="G985" s="3820"/>
      <c r="H985" s="3817">
        <v>330</v>
      </c>
      <c r="I985" s="3817">
        <v>58929</v>
      </c>
    </row>
    <row r="986" spans="1:9" hidden="1">
      <c r="A986" s="3819">
        <v>42709</v>
      </c>
      <c r="B986" s="3817" t="s">
        <v>3444</v>
      </c>
      <c r="C986" s="3817">
        <v>57</v>
      </c>
      <c r="D986" s="3817" t="s">
        <v>3491</v>
      </c>
      <c r="E986" s="3817" t="s">
        <v>3453</v>
      </c>
      <c r="F986" s="3817">
        <v>340</v>
      </c>
      <c r="G986" s="3819">
        <v>42695</v>
      </c>
      <c r="H986" s="3817">
        <v>342</v>
      </c>
      <c r="I986" s="3817">
        <v>59375</v>
      </c>
    </row>
    <row r="987" spans="1:9" hidden="1">
      <c r="A987" s="3819">
        <v>42703</v>
      </c>
      <c r="B987" s="3817" t="s">
        <v>3444</v>
      </c>
      <c r="C987" s="3817">
        <v>57</v>
      </c>
      <c r="D987" s="3817" t="s">
        <v>3490</v>
      </c>
      <c r="E987" s="3817" t="s">
        <v>3458</v>
      </c>
      <c r="F987" s="3817">
        <v>340</v>
      </c>
      <c r="G987" s="3819">
        <v>42688</v>
      </c>
      <c r="H987" s="3817">
        <v>333</v>
      </c>
      <c r="I987" s="3817">
        <v>58014</v>
      </c>
    </row>
    <row r="988" spans="1:9" hidden="1">
      <c r="A988" s="3819">
        <v>42698</v>
      </c>
      <c r="B988" s="3817" t="s">
        <v>3444</v>
      </c>
      <c r="C988" s="3817">
        <v>57</v>
      </c>
      <c r="D988" s="3817" t="s">
        <v>3490</v>
      </c>
      <c r="E988" s="3817" t="s">
        <v>3453</v>
      </c>
      <c r="F988" s="3817">
        <v>339</v>
      </c>
      <c r="G988" s="3819">
        <v>42692</v>
      </c>
      <c r="H988" s="3817">
        <v>335</v>
      </c>
      <c r="I988" s="3817">
        <v>58567</v>
      </c>
    </row>
    <row r="989" spans="1:9" hidden="1">
      <c r="A989" s="3819">
        <v>42692</v>
      </c>
      <c r="B989" s="3817" t="s">
        <v>3441</v>
      </c>
      <c r="C989" s="3817">
        <v>54</v>
      </c>
      <c r="D989" s="3817" t="s">
        <v>3497</v>
      </c>
      <c r="E989" s="3817" t="s">
        <v>3505</v>
      </c>
      <c r="F989" s="3817">
        <v>0</v>
      </c>
      <c r="G989" s="3820"/>
      <c r="H989" s="3817">
        <v>315</v>
      </c>
      <c r="I989" s="3817">
        <v>57777</v>
      </c>
    </row>
    <row r="990" spans="1:9" hidden="1">
      <c r="A990" s="3819">
        <v>42689</v>
      </c>
      <c r="B990" s="3817" t="s">
        <v>3444</v>
      </c>
      <c r="C990" s="3817">
        <v>73</v>
      </c>
      <c r="D990" s="3817" t="s">
        <v>3518</v>
      </c>
      <c r="E990" s="3817" t="s">
        <v>3485</v>
      </c>
      <c r="F990" s="3817">
        <v>400</v>
      </c>
      <c r="G990" s="3819">
        <v>42685</v>
      </c>
      <c r="H990" s="3817">
        <v>388</v>
      </c>
      <c r="I990" s="3817">
        <v>52696</v>
      </c>
    </row>
    <row r="991" spans="1:9" hidden="1">
      <c r="A991" s="3819">
        <v>42687</v>
      </c>
      <c r="B991" s="3817" t="s">
        <v>3471</v>
      </c>
      <c r="C991" s="3817">
        <v>43</v>
      </c>
      <c r="D991" s="3817" t="s">
        <v>3491</v>
      </c>
      <c r="E991" s="3817" t="s">
        <v>3442</v>
      </c>
      <c r="F991" s="3817">
        <v>255</v>
      </c>
      <c r="G991" s="3819">
        <v>42656</v>
      </c>
      <c r="H991" s="3817">
        <v>251</v>
      </c>
      <c r="I991" s="3817">
        <v>58102</v>
      </c>
    </row>
    <row r="992" spans="1:9" hidden="1">
      <c r="A992" s="3819">
        <v>42681</v>
      </c>
      <c r="B992" s="3817" t="s">
        <v>3444</v>
      </c>
      <c r="C992" s="3817">
        <v>54</v>
      </c>
      <c r="D992" s="3817" t="s">
        <v>3491</v>
      </c>
      <c r="E992" s="3817" t="s">
        <v>3453</v>
      </c>
      <c r="F992" s="3817">
        <v>330</v>
      </c>
      <c r="G992" s="3819">
        <v>42651</v>
      </c>
      <c r="H992" s="3817">
        <v>318</v>
      </c>
      <c r="I992" s="3817">
        <v>57966</v>
      </c>
    </row>
    <row r="993" spans="1:9" hidden="1">
      <c r="A993" s="3819">
        <v>42680</v>
      </c>
      <c r="B993" s="3817" t="s">
        <v>3444</v>
      </c>
      <c r="C993" s="3817">
        <v>54</v>
      </c>
      <c r="D993" s="3817" t="s">
        <v>3533</v>
      </c>
      <c r="E993" s="3817" t="s">
        <v>3453</v>
      </c>
      <c r="F993" s="3817">
        <v>300</v>
      </c>
      <c r="G993" s="3819">
        <v>42667</v>
      </c>
      <c r="H993" s="3817">
        <v>299</v>
      </c>
      <c r="I993" s="3817">
        <v>55258</v>
      </c>
    </row>
    <row r="994" spans="1:9" hidden="1">
      <c r="A994" s="3819">
        <v>42675</v>
      </c>
      <c r="B994" s="3817" t="s">
        <v>3441</v>
      </c>
      <c r="C994" s="3817">
        <v>57</v>
      </c>
      <c r="D994" s="3817" t="s">
        <v>3490</v>
      </c>
      <c r="E994" s="3817" t="s">
        <v>3505</v>
      </c>
      <c r="F994" s="3817">
        <v>0</v>
      </c>
      <c r="G994" s="3820"/>
      <c r="H994" s="3817">
        <v>100</v>
      </c>
      <c r="I994" s="3817">
        <v>17483</v>
      </c>
    </row>
    <row r="995" spans="1:9" hidden="1">
      <c r="A995" s="3819">
        <v>42675</v>
      </c>
      <c r="B995" s="3817" t="s">
        <v>3471</v>
      </c>
      <c r="C995" s="3817">
        <v>57</v>
      </c>
      <c r="D995" s="3817" t="s">
        <v>3494</v>
      </c>
      <c r="E995" s="3817" t="s">
        <v>3442</v>
      </c>
      <c r="F995" s="3817">
        <v>330</v>
      </c>
      <c r="G995" s="3819">
        <v>42652</v>
      </c>
      <c r="H995" s="3817">
        <v>325</v>
      </c>
      <c r="I995" s="3817">
        <v>56395</v>
      </c>
    </row>
    <row r="996" spans="1:9" hidden="1">
      <c r="A996" s="3819">
        <v>42668</v>
      </c>
      <c r="B996" s="3817" t="s">
        <v>3449</v>
      </c>
      <c r="C996" s="3817">
        <v>64</v>
      </c>
      <c r="D996" s="3817" t="s">
        <v>3530</v>
      </c>
      <c r="E996" s="3817" t="s">
        <v>3453</v>
      </c>
      <c r="F996" s="3817">
        <v>380</v>
      </c>
      <c r="G996" s="3819">
        <v>42659</v>
      </c>
      <c r="H996" s="3817">
        <v>380</v>
      </c>
      <c r="I996" s="3817">
        <v>58897</v>
      </c>
    </row>
    <row r="997" spans="1:9" hidden="1">
      <c r="A997" s="3819">
        <v>42666</v>
      </c>
      <c r="B997" s="3817" t="s">
        <v>3444</v>
      </c>
      <c r="C997" s="3817">
        <v>56</v>
      </c>
      <c r="D997" s="3817" t="s">
        <v>3533</v>
      </c>
      <c r="E997" s="3817" t="s">
        <v>3453</v>
      </c>
      <c r="F997" s="3817">
        <v>303</v>
      </c>
      <c r="G997" s="3819">
        <v>42656</v>
      </c>
      <c r="H997" s="3817">
        <v>301</v>
      </c>
      <c r="I997" s="3817">
        <v>53181</v>
      </c>
    </row>
    <row r="998" spans="1:9" hidden="1">
      <c r="A998" s="3819">
        <v>42665</v>
      </c>
      <c r="B998" s="3817" t="s">
        <v>3444</v>
      </c>
      <c r="C998" s="3817">
        <v>55</v>
      </c>
      <c r="D998" s="3817" t="s">
        <v>3490</v>
      </c>
      <c r="E998" s="3817" t="s">
        <v>3512</v>
      </c>
      <c r="F998" s="3817">
        <v>300</v>
      </c>
      <c r="G998" s="3819">
        <v>42640</v>
      </c>
      <c r="H998" s="3817">
        <v>296</v>
      </c>
      <c r="I998" s="3817">
        <v>53819</v>
      </c>
    </row>
    <row r="999" spans="1:9" hidden="1">
      <c r="A999" s="3819">
        <v>42665</v>
      </c>
      <c r="B999" s="3817" t="s">
        <v>3444</v>
      </c>
      <c r="C999" s="3817">
        <v>51</v>
      </c>
      <c r="D999" s="3817" t="s">
        <v>3490</v>
      </c>
      <c r="E999" s="3817" t="s">
        <v>3429</v>
      </c>
      <c r="F999" s="3817">
        <v>299</v>
      </c>
      <c r="G999" s="3819">
        <v>42657</v>
      </c>
      <c r="H999" s="3817">
        <v>290</v>
      </c>
      <c r="I999" s="3817">
        <v>56819</v>
      </c>
    </row>
    <row r="1000" spans="1:9" hidden="1">
      <c r="A1000" s="3819">
        <v>42660</v>
      </c>
      <c r="B1000" s="3817" t="s">
        <v>3444</v>
      </c>
      <c r="C1000" s="3817">
        <v>62</v>
      </c>
      <c r="D1000" s="3817" t="s">
        <v>3490</v>
      </c>
      <c r="E1000" s="3817" t="s">
        <v>3512</v>
      </c>
      <c r="F1000" s="3817">
        <v>290</v>
      </c>
      <c r="G1000" s="3819">
        <v>42643</v>
      </c>
      <c r="H1000" s="3817">
        <v>267</v>
      </c>
      <c r="I1000" s="3817">
        <v>42632</v>
      </c>
    </row>
    <row r="1001" spans="1:9" hidden="1">
      <c r="A1001" s="3819">
        <v>42657</v>
      </c>
      <c r="B1001" s="3817" t="s">
        <v>3444</v>
      </c>
      <c r="C1001" s="3817">
        <v>73</v>
      </c>
      <c r="D1001" s="3817" t="s">
        <v>3495</v>
      </c>
      <c r="E1001" s="3817" t="s">
        <v>3478</v>
      </c>
      <c r="F1001" s="3817">
        <v>375</v>
      </c>
      <c r="G1001" s="3819">
        <v>42624</v>
      </c>
      <c r="H1001" s="3817">
        <v>363</v>
      </c>
      <c r="I1001" s="3817">
        <v>49301</v>
      </c>
    </row>
    <row r="1002" spans="1:9" hidden="1">
      <c r="A1002" s="3819">
        <v>42653</v>
      </c>
      <c r="B1002" s="3817" t="s">
        <v>3444</v>
      </c>
      <c r="C1002" s="3817">
        <v>64</v>
      </c>
      <c r="D1002" s="3817" t="s">
        <v>3495</v>
      </c>
      <c r="E1002" s="3817" t="s">
        <v>3429</v>
      </c>
      <c r="F1002" s="3817">
        <v>345</v>
      </c>
      <c r="G1002" s="3819">
        <v>42646</v>
      </c>
      <c r="H1002" s="3817">
        <v>336</v>
      </c>
      <c r="I1002" s="3817">
        <v>51844</v>
      </c>
    </row>
    <row r="1003" spans="1:9" hidden="1">
      <c r="A1003" s="3819">
        <v>42653</v>
      </c>
      <c r="B1003" s="3817" t="s">
        <v>3449</v>
      </c>
      <c r="C1003" s="3817">
        <v>69</v>
      </c>
      <c r="D1003" s="3817" t="s">
        <v>3497</v>
      </c>
      <c r="E1003" s="3817" t="s">
        <v>3512</v>
      </c>
      <c r="F1003" s="3817">
        <v>350</v>
      </c>
      <c r="G1003" s="3819">
        <v>42630</v>
      </c>
      <c r="H1003" s="3817">
        <v>350</v>
      </c>
      <c r="I1003" s="3817">
        <v>50426</v>
      </c>
    </row>
    <row r="1004" spans="1:9" hidden="1">
      <c r="A1004" s="3819">
        <v>42652</v>
      </c>
      <c r="B1004" s="3817" t="s">
        <v>3444</v>
      </c>
      <c r="C1004" s="3817">
        <v>57</v>
      </c>
      <c r="D1004" s="3817" t="s">
        <v>3490</v>
      </c>
      <c r="E1004" s="3817" t="s">
        <v>3453</v>
      </c>
      <c r="F1004" s="3817">
        <v>300</v>
      </c>
      <c r="G1004" s="3819">
        <v>42648</v>
      </c>
      <c r="H1004" s="3817">
        <v>300</v>
      </c>
      <c r="I1004" s="3817">
        <v>52448</v>
      </c>
    </row>
    <row r="1005" spans="1:9" hidden="1">
      <c r="A1005" s="3819">
        <v>42652</v>
      </c>
      <c r="B1005" s="3817" t="s">
        <v>3444</v>
      </c>
      <c r="C1005" s="3817">
        <v>73</v>
      </c>
      <c r="D1005" s="3817" t="s">
        <v>3496</v>
      </c>
      <c r="E1005" s="3817" t="s">
        <v>3477</v>
      </c>
      <c r="F1005" s="3817">
        <v>380</v>
      </c>
      <c r="G1005" s="3819">
        <v>42627</v>
      </c>
      <c r="H1005" s="3817">
        <v>375</v>
      </c>
      <c r="I1005" s="3817">
        <v>50931</v>
      </c>
    </row>
    <row r="1006" spans="1:9" hidden="1">
      <c r="A1006" s="3819">
        <v>42652</v>
      </c>
      <c r="B1006" s="3817" t="s">
        <v>3444</v>
      </c>
      <c r="C1006" s="3817">
        <v>57</v>
      </c>
      <c r="D1006" s="3817" t="s">
        <v>3491</v>
      </c>
      <c r="E1006" s="3817" t="s">
        <v>3453</v>
      </c>
      <c r="F1006" s="3817">
        <v>300</v>
      </c>
      <c r="G1006" s="3819">
        <v>42648</v>
      </c>
      <c r="H1006" s="3817">
        <v>296</v>
      </c>
      <c r="I1006" s="3817">
        <v>51568</v>
      </c>
    </row>
    <row r="1007" spans="1:9" hidden="1">
      <c r="A1007" s="3819">
        <v>42646</v>
      </c>
      <c r="B1007" s="3817" t="s">
        <v>3444</v>
      </c>
      <c r="C1007" s="3817">
        <v>61</v>
      </c>
      <c r="D1007" s="3817" t="s">
        <v>3533</v>
      </c>
      <c r="E1007" s="3817" t="s">
        <v>3453</v>
      </c>
      <c r="F1007" s="3817">
        <v>320</v>
      </c>
      <c r="G1007" s="3819">
        <v>42604</v>
      </c>
      <c r="H1007" s="3817">
        <v>319</v>
      </c>
      <c r="I1007" s="3817">
        <v>52040</v>
      </c>
    </row>
    <row r="1008" spans="1:9" hidden="1">
      <c r="A1008" s="3819">
        <v>42642</v>
      </c>
      <c r="B1008" s="3817" t="s">
        <v>3471</v>
      </c>
      <c r="C1008" s="3817">
        <v>44</v>
      </c>
      <c r="D1008" s="3817" t="s">
        <v>3490</v>
      </c>
      <c r="E1008" s="3817" t="s">
        <v>3468</v>
      </c>
      <c r="F1008" s="3817">
        <v>200</v>
      </c>
      <c r="G1008" s="3819">
        <v>42611</v>
      </c>
      <c r="H1008" s="3817">
        <v>200</v>
      </c>
      <c r="I1008" s="3817">
        <v>45056</v>
      </c>
    </row>
    <row r="1009" spans="1:9" hidden="1">
      <c r="A1009" s="3819">
        <v>42641</v>
      </c>
      <c r="B1009" s="3817" t="s">
        <v>3444</v>
      </c>
      <c r="C1009" s="3817">
        <v>54</v>
      </c>
      <c r="D1009" s="3817" t="s">
        <v>3533</v>
      </c>
      <c r="E1009" s="3817" t="s">
        <v>3512</v>
      </c>
      <c r="F1009" s="3817">
        <v>300</v>
      </c>
      <c r="G1009" s="3819">
        <v>42631</v>
      </c>
      <c r="H1009" s="3817">
        <v>298</v>
      </c>
      <c r="I1009" s="3817">
        <v>54380</v>
      </c>
    </row>
    <row r="1010" spans="1:9" hidden="1">
      <c r="A1010" s="3819">
        <v>42638</v>
      </c>
      <c r="B1010" s="3817" t="s">
        <v>3444</v>
      </c>
      <c r="C1010" s="3817">
        <v>77</v>
      </c>
      <c r="D1010" s="3817" t="s">
        <v>3499</v>
      </c>
      <c r="E1010" s="3817" t="s">
        <v>3463</v>
      </c>
      <c r="F1010" s="3817">
        <v>370</v>
      </c>
      <c r="G1010" s="3819">
        <v>42616</v>
      </c>
      <c r="H1010" s="3817">
        <v>370</v>
      </c>
      <c r="I1010" s="3817">
        <v>47779</v>
      </c>
    </row>
    <row r="1011" spans="1:9" hidden="1">
      <c r="A1011" s="3819">
        <v>42638</v>
      </c>
      <c r="B1011" s="3817" t="s">
        <v>3444</v>
      </c>
      <c r="C1011" s="3817">
        <v>62</v>
      </c>
      <c r="D1011" s="3817" t="s">
        <v>3518</v>
      </c>
      <c r="E1011" s="3817" t="s">
        <v>3468</v>
      </c>
      <c r="F1011" s="3817">
        <v>350</v>
      </c>
      <c r="G1011" s="3819">
        <v>42637</v>
      </c>
      <c r="H1011" s="3817">
        <v>350</v>
      </c>
      <c r="I1011" s="3817">
        <v>55822</v>
      </c>
    </row>
    <row r="1012" spans="1:9" hidden="1">
      <c r="A1012" s="3819">
        <v>42637</v>
      </c>
      <c r="B1012" s="3817" t="s">
        <v>3444</v>
      </c>
      <c r="C1012" s="3817">
        <v>58</v>
      </c>
      <c r="D1012" s="3817" t="s">
        <v>3533</v>
      </c>
      <c r="E1012" s="3817" t="s">
        <v>3453</v>
      </c>
      <c r="F1012" s="3817">
        <v>275</v>
      </c>
      <c r="G1012" s="3819">
        <v>42608</v>
      </c>
      <c r="H1012" s="3817">
        <v>282</v>
      </c>
      <c r="I1012" s="3817">
        <v>47960</v>
      </c>
    </row>
    <row r="1013" spans="1:9" hidden="1">
      <c r="A1013" s="3819">
        <v>42635</v>
      </c>
      <c r="B1013" s="3817" t="s">
        <v>3444</v>
      </c>
      <c r="C1013" s="3817">
        <v>54</v>
      </c>
      <c r="D1013" s="3817" t="s">
        <v>3491</v>
      </c>
      <c r="E1013" s="3817" t="s">
        <v>3453</v>
      </c>
      <c r="F1013" s="3817">
        <v>300</v>
      </c>
      <c r="G1013" s="3819">
        <v>42633</v>
      </c>
      <c r="H1013" s="3817">
        <v>310</v>
      </c>
      <c r="I1013" s="3817">
        <v>56881</v>
      </c>
    </row>
    <row r="1014" spans="1:9" hidden="1">
      <c r="A1014" s="3819">
        <v>42635</v>
      </c>
      <c r="B1014" s="3817" t="s">
        <v>3444</v>
      </c>
      <c r="C1014" s="3817">
        <v>64</v>
      </c>
      <c r="D1014" s="3817" t="s">
        <v>3496</v>
      </c>
      <c r="E1014" s="3817" t="s">
        <v>3429</v>
      </c>
      <c r="F1014" s="3817">
        <v>350</v>
      </c>
      <c r="G1014" s="3819">
        <v>42632</v>
      </c>
      <c r="H1014" s="3817">
        <v>350</v>
      </c>
      <c r="I1014" s="3817">
        <v>54005</v>
      </c>
    </row>
    <row r="1015" spans="1:9" hidden="1">
      <c r="A1015" s="3819">
        <v>42634</v>
      </c>
      <c r="B1015" s="3817" t="s">
        <v>3444</v>
      </c>
      <c r="C1015" s="3817">
        <v>59</v>
      </c>
      <c r="D1015" s="3817" t="s">
        <v>3491</v>
      </c>
      <c r="E1015" s="3817" t="s">
        <v>3453</v>
      </c>
      <c r="F1015" s="3817">
        <v>286</v>
      </c>
      <c r="G1015" s="3819">
        <v>42616</v>
      </c>
      <c r="H1015" s="3817">
        <v>290</v>
      </c>
      <c r="I1015" s="3817">
        <v>48658</v>
      </c>
    </row>
    <row r="1016" spans="1:9" hidden="1">
      <c r="A1016" s="3819">
        <v>42632</v>
      </c>
      <c r="B1016" s="3817" t="s">
        <v>3444</v>
      </c>
      <c r="C1016" s="3817">
        <v>62</v>
      </c>
      <c r="D1016" s="3817" t="s">
        <v>3518</v>
      </c>
      <c r="E1016" s="3817" t="s">
        <v>3464</v>
      </c>
      <c r="F1016" s="3817">
        <v>319</v>
      </c>
      <c r="G1016" s="3819">
        <v>42629</v>
      </c>
      <c r="H1016" s="3817">
        <v>317</v>
      </c>
      <c r="I1016" s="3817">
        <v>50599</v>
      </c>
    </row>
    <row r="1017" spans="1:9" hidden="1">
      <c r="A1017" s="3819">
        <v>42625</v>
      </c>
      <c r="B1017" s="3817" t="s">
        <v>3449</v>
      </c>
      <c r="C1017" s="3817">
        <v>69</v>
      </c>
      <c r="D1017" s="3817" t="s">
        <v>3491</v>
      </c>
      <c r="E1017" s="3817" t="s">
        <v>3453</v>
      </c>
      <c r="F1017" s="3817">
        <v>350</v>
      </c>
      <c r="G1017" s="3819">
        <v>42614</v>
      </c>
      <c r="H1017" s="3817">
        <v>350</v>
      </c>
      <c r="I1017" s="3817">
        <v>50725</v>
      </c>
    </row>
    <row r="1018" spans="1:9" hidden="1">
      <c r="A1018" s="3819">
        <v>42622</v>
      </c>
      <c r="B1018" s="3817" t="s">
        <v>3444</v>
      </c>
      <c r="C1018" s="3817">
        <v>64</v>
      </c>
      <c r="D1018" s="3817" t="s">
        <v>3496</v>
      </c>
      <c r="E1018" s="3817" t="s">
        <v>3429</v>
      </c>
      <c r="F1018" s="3817">
        <v>328</v>
      </c>
      <c r="G1018" s="3819">
        <v>42621</v>
      </c>
      <c r="H1018" s="3817">
        <v>328</v>
      </c>
      <c r="I1018" s="3817">
        <v>50610</v>
      </c>
    </row>
    <row r="1019" spans="1:9" hidden="1">
      <c r="A1019" s="3819">
        <v>42619</v>
      </c>
      <c r="B1019" s="3817" t="s">
        <v>3449</v>
      </c>
      <c r="C1019" s="3817">
        <v>71</v>
      </c>
      <c r="D1019" s="3817" t="s">
        <v>3491</v>
      </c>
      <c r="E1019" s="3817" t="s">
        <v>3453</v>
      </c>
      <c r="F1019" s="3817">
        <v>355</v>
      </c>
      <c r="G1019" s="3819">
        <v>42616</v>
      </c>
      <c r="H1019" s="3817">
        <v>350</v>
      </c>
      <c r="I1019" s="3817">
        <v>48815</v>
      </c>
    </row>
    <row r="1020" spans="1:9" hidden="1">
      <c r="A1020" s="3819">
        <v>42616</v>
      </c>
      <c r="B1020" s="3817" t="s">
        <v>3444</v>
      </c>
      <c r="C1020" s="3817">
        <v>57</v>
      </c>
      <c r="D1020" s="3817" t="s">
        <v>3533</v>
      </c>
      <c r="E1020" s="3817" t="s">
        <v>3453</v>
      </c>
      <c r="F1020" s="3817">
        <v>255</v>
      </c>
      <c r="G1020" s="3819">
        <v>42595</v>
      </c>
      <c r="H1020" s="3817">
        <v>258</v>
      </c>
      <c r="I1020" s="3817">
        <v>45105</v>
      </c>
    </row>
    <row r="1021" spans="1:9" hidden="1">
      <c r="A1021" s="3819">
        <v>42614</v>
      </c>
      <c r="B1021" s="3817" t="s">
        <v>3444</v>
      </c>
      <c r="C1021" s="3817">
        <v>57</v>
      </c>
      <c r="D1021" s="3817" t="s">
        <v>3533</v>
      </c>
      <c r="E1021" s="3817" t="s">
        <v>3453</v>
      </c>
      <c r="F1021" s="3817">
        <v>260</v>
      </c>
      <c r="G1021" s="3819">
        <v>42613</v>
      </c>
      <c r="H1021" s="3817">
        <v>255</v>
      </c>
      <c r="I1021" s="3817">
        <v>44597</v>
      </c>
    </row>
    <row r="1022" spans="1:9" hidden="1">
      <c r="A1022" s="3819">
        <v>42614</v>
      </c>
      <c r="B1022" s="3817" t="s">
        <v>3471</v>
      </c>
      <c r="C1022" s="3817">
        <v>41</v>
      </c>
      <c r="D1022" s="3817" t="s">
        <v>3497</v>
      </c>
      <c r="E1022" s="3817" t="s">
        <v>3429</v>
      </c>
      <c r="F1022" s="3817">
        <v>215</v>
      </c>
      <c r="G1022" s="3819">
        <v>42594</v>
      </c>
      <c r="H1022" s="3817">
        <v>215</v>
      </c>
      <c r="I1022" s="3817">
        <v>52440</v>
      </c>
    </row>
    <row r="1023" spans="1:9" hidden="1">
      <c r="A1023" s="3819">
        <v>42613</v>
      </c>
      <c r="B1023" s="3817" t="s">
        <v>3444</v>
      </c>
      <c r="C1023" s="3817">
        <v>57</v>
      </c>
      <c r="D1023" s="3817" t="s">
        <v>3491</v>
      </c>
      <c r="E1023" s="3817" t="s">
        <v>3453</v>
      </c>
      <c r="F1023" s="3817">
        <v>270</v>
      </c>
      <c r="G1023" s="3819">
        <v>42582</v>
      </c>
      <c r="H1023" s="3817">
        <v>270</v>
      </c>
      <c r="I1023" s="3817">
        <v>47203</v>
      </c>
    </row>
    <row r="1024" spans="1:9" hidden="1">
      <c r="A1024" s="3819">
        <v>42612</v>
      </c>
      <c r="B1024" s="3817" t="s">
        <v>3471</v>
      </c>
      <c r="C1024" s="3817">
        <v>41</v>
      </c>
      <c r="D1024" s="3817" t="s">
        <v>3491</v>
      </c>
      <c r="E1024" s="3817" t="s">
        <v>3429</v>
      </c>
      <c r="F1024" s="3817">
        <v>220</v>
      </c>
      <c r="G1024" s="3819">
        <v>42552</v>
      </c>
      <c r="H1024" s="3817">
        <v>220</v>
      </c>
      <c r="I1024" s="3817">
        <v>52758</v>
      </c>
    </row>
    <row r="1025" spans="1:9" hidden="1">
      <c r="A1025" s="3819">
        <v>42612</v>
      </c>
      <c r="B1025" s="3817" t="s">
        <v>3444</v>
      </c>
      <c r="C1025" s="3817">
        <v>54</v>
      </c>
      <c r="D1025" s="3817" t="s">
        <v>3491</v>
      </c>
      <c r="E1025" s="3817" t="s">
        <v>3453</v>
      </c>
      <c r="F1025" s="3817">
        <v>280</v>
      </c>
      <c r="G1025" s="3819">
        <v>42600</v>
      </c>
      <c r="H1025" s="3817">
        <v>280</v>
      </c>
      <c r="I1025" s="3817">
        <v>51377</v>
      </c>
    </row>
    <row r="1026" spans="1:9" hidden="1">
      <c r="A1026" s="3819">
        <v>42611</v>
      </c>
      <c r="B1026" s="3817" t="s">
        <v>3444</v>
      </c>
      <c r="C1026" s="3817">
        <v>54</v>
      </c>
      <c r="D1026" s="3817" t="s">
        <v>3491</v>
      </c>
      <c r="E1026" s="3817" t="s">
        <v>3453</v>
      </c>
      <c r="F1026" s="3817">
        <v>265</v>
      </c>
      <c r="G1026" s="3819">
        <v>42609</v>
      </c>
      <c r="H1026" s="3817">
        <v>270</v>
      </c>
      <c r="I1026" s="3817">
        <v>49361</v>
      </c>
    </row>
    <row r="1027" spans="1:9" hidden="1">
      <c r="A1027" s="3819">
        <v>42607</v>
      </c>
      <c r="B1027" s="3817" t="s">
        <v>3444</v>
      </c>
      <c r="C1027" s="3817">
        <v>64</v>
      </c>
      <c r="D1027" s="3817" t="s">
        <v>3518</v>
      </c>
      <c r="E1027" s="3817" t="s">
        <v>3429</v>
      </c>
      <c r="F1027" s="3817">
        <v>300</v>
      </c>
      <c r="G1027" s="3819">
        <v>42599</v>
      </c>
      <c r="H1027" s="3817">
        <v>295</v>
      </c>
      <c r="I1027" s="3817">
        <v>45518</v>
      </c>
    </row>
    <row r="1028" spans="1:9" hidden="1">
      <c r="A1028" s="3819">
        <v>42606</v>
      </c>
      <c r="B1028" s="3817" t="s">
        <v>3449</v>
      </c>
      <c r="C1028" s="3817">
        <v>77</v>
      </c>
      <c r="D1028" s="3817" t="s">
        <v>3490</v>
      </c>
      <c r="E1028" s="3817" t="s">
        <v>3453</v>
      </c>
      <c r="F1028" s="3817">
        <v>340</v>
      </c>
      <c r="G1028" s="3819">
        <v>42602</v>
      </c>
      <c r="H1028" s="3817">
        <v>330</v>
      </c>
      <c r="I1028" s="3817">
        <v>42858</v>
      </c>
    </row>
    <row r="1029" spans="1:9" hidden="1">
      <c r="A1029" s="3819">
        <v>42604</v>
      </c>
      <c r="B1029" s="3817" t="s">
        <v>3444</v>
      </c>
      <c r="C1029" s="3817">
        <v>57</v>
      </c>
      <c r="D1029" s="3817" t="s">
        <v>3497</v>
      </c>
      <c r="E1029" s="3817" t="s">
        <v>3453</v>
      </c>
      <c r="F1029" s="3817">
        <v>260</v>
      </c>
      <c r="G1029" s="3819">
        <v>42601</v>
      </c>
      <c r="H1029" s="3817">
        <v>260</v>
      </c>
      <c r="I1029" s="3817">
        <v>45455</v>
      </c>
    </row>
    <row r="1030" spans="1:9" hidden="1">
      <c r="A1030" s="3819">
        <v>42603</v>
      </c>
      <c r="B1030" s="3817" t="s">
        <v>3444</v>
      </c>
      <c r="C1030" s="3817">
        <v>69</v>
      </c>
      <c r="D1030" s="3817" t="s">
        <v>3518</v>
      </c>
      <c r="E1030" s="3817" t="s">
        <v>3429</v>
      </c>
      <c r="F1030" s="3817">
        <v>315</v>
      </c>
      <c r="G1030" s="3819">
        <v>42599</v>
      </c>
      <c r="H1030" s="3817">
        <v>308</v>
      </c>
      <c r="I1030" s="3817">
        <v>44375</v>
      </c>
    </row>
    <row r="1031" spans="1:9" hidden="1">
      <c r="A1031" s="3819">
        <v>42600</v>
      </c>
      <c r="B1031" s="3817" t="s">
        <v>3444</v>
      </c>
      <c r="C1031" s="3817">
        <v>57</v>
      </c>
      <c r="D1031" s="3817" t="s">
        <v>3497</v>
      </c>
      <c r="E1031" s="3817" t="s">
        <v>3453</v>
      </c>
      <c r="F1031" s="3817">
        <v>255</v>
      </c>
      <c r="G1031" s="3819">
        <v>42538</v>
      </c>
      <c r="H1031" s="3817">
        <v>255</v>
      </c>
      <c r="I1031" s="3817">
        <v>44271</v>
      </c>
    </row>
    <row r="1032" spans="1:9" hidden="1">
      <c r="A1032" s="3819">
        <v>42600</v>
      </c>
      <c r="B1032" s="3817" t="s">
        <v>3471</v>
      </c>
      <c r="C1032" s="3817">
        <v>57</v>
      </c>
      <c r="D1032" s="3817" t="s">
        <v>3532</v>
      </c>
      <c r="E1032" s="3817" t="s">
        <v>3463</v>
      </c>
      <c r="F1032" s="3817">
        <v>235</v>
      </c>
      <c r="G1032" s="3819">
        <v>42598</v>
      </c>
      <c r="H1032" s="3817">
        <v>233</v>
      </c>
      <c r="I1032" s="3817">
        <v>40539</v>
      </c>
    </row>
    <row r="1033" spans="1:9" hidden="1">
      <c r="A1033" s="3819">
        <v>42599</v>
      </c>
      <c r="B1033" s="3817" t="s">
        <v>3444</v>
      </c>
      <c r="C1033" s="3817">
        <v>57</v>
      </c>
      <c r="D1033" s="3817" t="s">
        <v>3490</v>
      </c>
      <c r="E1033" s="3817" t="s">
        <v>3505</v>
      </c>
      <c r="F1033" s="3817">
        <v>235</v>
      </c>
      <c r="G1033" s="3819">
        <v>42591</v>
      </c>
      <c r="H1033" s="3817">
        <v>235</v>
      </c>
      <c r="I1033" s="3817">
        <v>41049</v>
      </c>
    </row>
    <row r="1034" spans="1:9" hidden="1">
      <c r="A1034" s="3819">
        <v>42595</v>
      </c>
      <c r="B1034" s="3817" t="s">
        <v>3449</v>
      </c>
      <c r="C1034" s="3817">
        <v>69</v>
      </c>
      <c r="D1034" s="3817" t="s">
        <v>3533</v>
      </c>
      <c r="E1034" s="3817" t="s">
        <v>3453</v>
      </c>
      <c r="F1034" s="3817">
        <v>290</v>
      </c>
      <c r="G1034" s="3819">
        <v>42389</v>
      </c>
      <c r="H1034" s="3817">
        <v>290</v>
      </c>
      <c r="I1034" s="3817">
        <v>41560</v>
      </c>
    </row>
    <row r="1035" spans="1:9" hidden="1">
      <c r="A1035" s="3819">
        <v>42595</v>
      </c>
      <c r="B1035" s="3817" t="s">
        <v>3449</v>
      </c>
      <c r="C1035" s="3817">
        <v>69</v>
      </c>
      <c r="D1035" s="3817" t="s">
        <v>3533</v>
      </c>
      <c r="E1035" s="3817" t="s">
        <v>3453</v>
      </c>
      <c r="F1035" s="3817">
        <v>285</v>
      </c>
      <c r="G1035" s="3819">
        <v>42544</v>
      </c>
      <c r="H1035" s="3817">
        <v>280</v>
      </c>
      <c r="I1035" s="3817">
        <v>40580</v>
      </c>
    </row>
    <row r="1036" spans="1:9" hidden="1">
      <c r="A1036" s="3819">
        <v>42592</v>
      </c>
      <c r="B1036" s="3817" t="s">
        <v>3444</v>
      </c>
      <c r="C1036" s="3817">
        <v>69</v>
      </c>
      <c r="D1036" s="3817" t="s">
        <v>3533</v>
      </c>
      <c r="E1036" s="3817" t="s">
        <v>3453</v>
      </c>
      <c r="F1036" s="3817">
        <v>310</v>
      </c>
      <c r="G1036" s="3819">
        <v>42583</v>
      </c>
      <c r="H1036" s="3817">
        <v>295</v>
      </c>
      <c r="I1036" s="3817">
        <v>42754</v>
      </c>
    </row>
    <row r="1037" spans="1:9" hidden="1">
      <c r="A1037" s="3819">
        <v>42588</v>
      </c>
      <c r="B1037" s="3817" t="s">
        <v>3449</v>
      </c>
      <c r="C1037" s="3817">
        <v>76</v>
      </c>
      <c r="D1037" s="3817" t="s">
        <v>3491</v>
      </c>
      <c r="E1037" s="3817" t="s">
        <v>3498</v>
      </c>
      <c r="F1037" s="3817">
        <v>320</v>
      </c>
      <c r="G1037" s="3819">
        <v>42545</v>
      </c>
      <c r="H1037" s="3817">
        <v>316</v>
      </c>
      <c r="I1037" s="3817">
        <v>41093</v>
      </c>
    </row>
    <row r="1038" spans="1:9" hidden="1">
      <c r="A1038" s="3819">
        <v>42587</v>
      </c>
      <c r="B1038" s="3817" t="s">
        <v>3444</v>
      </c>
      <c r="C1038" s="3817">
        <v>62</v>
      </c>
      <c r="D1038" s="3817" t="s">
        <v>3495</v>
      </c>
      <c r="E1038" s="3817" t="s">
        <v>3468</v>
      </c>
      <c r="F1038" s="3817">
        <v>260</v>
      </c>
      <c r="G1038" s="3819">
        <v>42563</v>
      </c>
      <c r="H1038" s="3817">
        <v>256</v>
      </c>
      <c r="I1038" s="3817">
        <v>40830</v>
      </c>
    </row>
    <row r="1039" spans="1:9" hidden="1">
      <c r="A1039" s="3819">
        <v>42582</v>
      </c>
      <c r="B1039" s="3817" t="s">
        <v>3444</v>
      </c>
      <c r="C1039" s="3817">
        <v>78</v>
      </c>
      <c r="D1039" s="3817" t="s">
        <v>3542</v>
      </c>
      <c r="E1039" s="3817" t="s">
        <v>3463</v>
      </c>
      <c r="F1039" s="3817">
        <v>285</v>
      </c>
      <c r="G1039" s="3819">
        <v>42572</v>
      </c>
      <c r="H1039" s="3817">
        <v>281</v>
      </c>
      <c r="I1039" s="3817">
        <v>35715</v>
      </c>
    </row>
    <row r="1040" spans="1:9" hidden="1">
      <c r="A1040" s="3819">
        <v>42581</v>
      </c>
      <c r="B1040" s="3817" t="s">
        <v>3444</v>
      </c>
      <c r="C1040" s="3817">
        <v>58</v>
      </c>
      <c r="D1040" s="3817" t="s">
        <v>3533</v>
      </c>
      <c r="E1040" s="3817" t="s">
        <v>3453</v>
      </c>
      <c r="F1040" s="3817">
        <v>243</v>
      </c>
      <c r="G1040" s="3819">
        <v>42577</v>
      </c>
      <c r="H1040" s="3817">
        <v>240</v>
      </c>
      <c r="I1040" s="3817">
        <v>40886</v>
      </c>
    </row>
    <row r="1041" spans="1:9" hidden="1">
      <c r="A1041" s="3819">
        <v>42580</v>
      </c>
      <c r="B1041" s="3817" t="s">
        <v>3444</v>
      </c>
      <c r="C1041" s="3817">
        <v>58</v>
      </c>
      <c r="D1041" s="3817" t="s">
        <v>3533</v>
      </c>
      <c r="E1041" s="3817" t="s">
        <v>3453</v>
      </c>
      <c r="F1041" s="3817">
        <v>232</v>
      </c>
      <c r="G1041" s="3819">
        <v>42574</v>
      </c>
      <c r="H1041" s="3817">
        <v>232</v>
      </c>
      <c r="I1041" s="3817">
        <v>39456</v>
      </c>
    </row>
    <row r="1042" spans="1:9" hidden="1">
      <c r="A1042" s="3819">
        <v>42580</v>
      </c>
      <c r="B1042" s="3817" t="s">
        <v>3444</v>
      </c>
      <c r="C1042" s="3817">
        <v>77</v>
      </c>
      <c r="D1042" s="3817" t="s">
        <v>3494</v>
      </c>
      <c r="E1042" s="3817" t="s">
        <v>3463</v>
      </c>
      <c r="F1042" s="3817">
        <v>330</v>
      </c>
      <c r="G1042" s="3819">
        <v>42553</v>
      </c>
      <c r="H1042" s="3817">
        <v>320</v>
      </c>
      <c r="I1042" s="3817">
        <v>41323</v>
      </c>
    </row>
    <row r="1043" spans="1:9" hidden="1">
      <c r="A1043" s="3819">
        <v>42578</v>
      </c>
      <c r="B1043" s="3817" t="s">
        <v>3444</v>
      </c>
      <c r="C1043" s="3817">
        <v>58</v>
      </c>
      <c r="D1043" s="3817" t="s">
        <v>3533</v>
      </c>
      <c r="E1043" s="3817" t="s">
        <v>3453</v>
      </c>
      <c r="F1043" s="3817">
        <v>242</v>
      </c>
      <c r="G1043" s="3819">
        <v>42568</v>
      </c>
      <c r="H1043" s="3817">
        <v>240</v>
      </c>
      <c r="I1043" s="3817">
        <v>40902</v>
      </c>
    </row>
    <row r="1044" spans="1:9" hidden="1">
      <c r="A1044" s="3819">
        <v>42575</v>
      </c>
      <c r="B1044" s="3817" t="s">
        <v>3444</v>
      </c>
      <c r="C1044" s="3817">
        <v>55</v>
      </c>
      <c r="D1044" s="3817" t="s">
        <v>3490</v>
      </c>
      <c r="E1044" s="3817" t="s">
        <v>3453</v>
      </c>
      <c r="F1044" s="3817">
        <v>249</v>
      </c>
      <c r="G1044" s="3819">
        <v>42573</v>
      </c>
      <c r="H1044" s="3817">
        <v>246</v>
      </c>
      <c r="I1044" s="3817">
        <v>44647</v>
      </c>
    </row>
    <row r="1045" spans="1:9" hidden="1">
      <c r="A1045" s="3819">
        <v>42569</v>
      </c>
      <c r="B1045" s="3817" t="s">
        <v>3444</v>
      </c>
      <c r="C1045" s="3817">
        <v>68</v>
      </c>
      <c r="D1045" s="3817" t="s">
        <v>3497</v>
      </c>
      <c r="E1045" s="3817" t="s">
        <v>3453</v>
      </c>
      <c r="F1045" s="3817">
        <v>295</v>
      </c>
      <c r="G1045" s="3819">
        <v>42561</v>
      </c>
      <c r="H1045" s="3817">
        <v>292</v>
      </c>
      <c r="I1045" s="3817">
        <v>42453</v>
      </c>
    </row>
    <row r="1046" spans="1:9" hidden="1">
      <c r="A1046" s="3819">
        <v>42564</v>
      </c>
      <c r="B1046" s="3817" t="s">
        <v>3444</v>
      </c>
      <c r="C1046" s="3817">
        <v>57</v>
      </c>
      <c r="D1046" s="3817" t="s">
        <v>3491</v>
      </c>
      <c r="E1046" s="3817" t="s">
        <v>3453</v>
      </c>
      <c r="F1046" s="3817">
        <v>235</v>
      </c>
      <c r="G1046" s="3819">
        <v>42522</v>
      </c>
      <c r="H1046" s="3817">
        <v>231</v>
      </c>
      <c r="I1046" s="3817">
        <v>40332</v>
      </c>
    </row>
    <row r="1047" spans="1:9" hidden="1">
      <c r="A1047" s="3819">
        <v>42564</v>
      </c>
      <c r="B1047" s="3817" t="s">
        <v>3444</v>
      </c>
      <c r="C1047" s="3817">
        <v>65</v>
      </c>
      <c r="D1047" s="3817" t="s">
        <v>3533</v>
      </c>
      <c r="E1047" s="3817" t="s">
        <v>3453</v>
      </c>
      <c r="F1047" s="3817">
        <v>265</v>
      </c>
      <c r="G1047" s="3819">
        <v>42543</v>
      </c>
      <c r="H1047" s="3817">
        <v>252</v>
      </c>
      <c r="I1047" s="3817">
        <v>38281</v>
      </c>
    </row>
    <row r="1048" spans="1:9" hidden="1">
      <c r="A1048" s="3819">
        <v>42557</v>
      </c>
      <c r="B1048" s="3817" t="s">
        <v>3444</v>
      </c>
      <c r="C1048" s="3817">
        <v>62</v>
      </c>
      <c r="D1048" s="3817" t="s">
        <v>3518</v>
      </c>
      <c r="E1048" s="3817" t="s">
        <v>3468</v>
      </c>
      <c r="F1048" s="3817">
        <v>270</v>
      </c>
      <c r="G1048" s="3819">
        <v>42550</v>
      </c>
      <c r="H1048" s="3817">
        <v>265</v>
      </c>
      <c r="I1048" s="3817">
        <v>42782</v>
      </c>
    </row>
    <row r="1049" spans="1:9" hidden="1">
      <c r="A1049" s="3819">
        <v>42548</v>
      </c>
      <c r="B1049" s="3817" t="s">
        <v>3444</v>
      </c>
      <c r="C1049" s="3817">
        <v>54</v>
      </c>
      <c r="D1049" s="3817" t="s">
        <v>3533</v>
      </c>
      <c r="E1049" s="3817" t="s">
        <v>3429</v>
      </c>
      <c r="F1049" s="3817">
        <v>230</v>
      </c>
      <c r="G1049" s="3819">
        <v>42541</v>
      </c>
      <c r="H1049" s="3817">
        <v>208</v>
      </c>
      <c r="I1049" s="3817">
        <v>38412</v>
      </c>
    </row>
    <row r="1050" spans="1:9" hidden="1">
      <c r="A1050" s="3819">
        <v>42544</v>
      </c>
      <c r="B1050" s="3817" t="s">
        <v>3444</v>
      </c>
      <c r="C1050" s="3817">
        <v>60</v>
      </c>
      <c r="D1050" s="3817" t="s">
        <v>3491</v>
      </c>
      <c r="E1050" s="3817" t="s">
        <v>3453</v>
      </c>
      <c r="F1050" s="3817">
        <v>230</v>
      </c>
      <c r="G1050" s="3819">
        <v>42498</v>
      </c>
      <c r="H1050" s="3817">
        <v>227</v>
      </c>
      <c r="I1050" s="3817">
        <v>37834</v>
      </c>
    </row>
    <row r="1051" spans="1:9" hidden="1">
      <c r="A1051" s="3819">
        <v>42543</v>
      </c>
      <c r="B1051" s="3817" t="s">
        <v>3444</v>
      </c>
      <c r="C1051" s="3817">
        <v>54</v>
      </c>
      <c r="D1051" s="3817" t="s">
        <v>3491</v>
      </c>
      <c r="E1051" s="3817" t="s">
        <v>3453</v>
      </c>
      <c r="F1051" s="3817">
        <v>245</v>
      </c>
      <c r="G1051" s="3819">
        <v>42540</v>
      </c>
      <c r="H1051" s="3817">
        <v>230</v>
      </c>
      <c r="I1051" s="3817">
        <v>41925</v>
      </c>
    </row>
    <row r="1052" spans="1:9" hidden="1">
      <c r="A1052" s="3819">
        <v>42543</v>
      </c>
      <c r="B1052" s="3817" t="s">
        <v>3444</v>
      </c>
      <c r="C1052" s="3817">
        <v>62</v>
      </c>
      <c r="D1052" s="3817" t="s">
        <v>3491</v>
      </c>
      <c r="E1052" s="3817" t="s">
        <v>3512</v>
      </c>
      <c r="F1052" s="3817">
        <v>232</v>
      </c>
      <c r="G1052" s="3819">
        <v>42533</v>
      </c>
      <c r="H1052" s="3817">
        <v>226</v>
      </c>
      <c r="I1052" s="3817">
        <v>36085</v>
      </c>
    </row>
    <row r="1053" spans="1:9" hidden="1">
      <c r="A1053" s="3819">
        <v>42541</v>
      </c>
      <c r="B1053" s="3817" t="s">
        <v>3444</v>
      </c>
      <c r="C1053" s="3817">
        <v>57</v>
      </c>
      <c r="D1053" s="3817" t="s">
        <v>3491</v>
      </c>
      <c r="E1053" s="3817" t="s">
        <v>3453</v>
      </c>
      <c r="F1053" s="3817">
        <v>230</v>
      </c>
      <c r="G1053" s="3819">
        <v>42518</v>
      </c>
      <c r="H1053" s="3817">
        <v>219</v>
      </c>
      <c r="I1053" s="3817">
        <v>38154</v>
      </c>
    </row>
    <row r="1054" spans="1:9" hidden="1">
      <c r="A1054" s="3819">
        <v>42540</v>
      </c>
      <c r="B1054" s="3817" t="s">
        <v>3444</v>
      </c>
      <c r="C1054" s="3817">
        <v>54</v>
      </c>
      <c r="D1054" s="3817" t="s">
        <v>3533</v>
      </c>
      <c r="E1054" s="3817" t="s">
        <v>3429</v>
      </c>
      <c r="F1054" s="3817">
        <v>225</v>
      </c>
      <c r="G1054" s="3819">
        <v>42525</v>
      </c>
      <c r="H1054" s="3817">
        <v>216</v>
      </c>
      <c r="I1054" s="3817">
        <v>39489</v>
      </c>
    </row>
    <row r="1055" spans="1:9" hidden="1">
      <c r="A1055" s="3819">
        <v>42531</v>
      </c>
      <c r="B1055" s="3817" t="s">
        <v>3444</v>
      </c>
      <c r="C1055" s="3817">
        <v>62</v>
      </c>
      <c r="D1055" s="3817" t="s">
        <v>3518</v>
      </c>
      <c r="E1055" s="3817" t="s">
        <v>3469</v>
      </c>
      <c r="F1055" s="3817">
        <v>255</v>
      </c>
      <c r="G1055" s="3819">
        <v>42531</v>
      </c>
      <c r="H1055" s="3817">
        <v>243</v>
      </c>
      <c r="I1055" s="3817">
        <v>38787</v>
      </c>
    </row>
    <row r="1056" spans="1:9" hidden="1">
      <c r="A1056" s="3819">
        <v>42523</v>
      </c>
      <c r="B1056" s="3817" t="s">
        <v>3444</v>
      </c>
      <c r="C1056" s="3817">
        <v>54</v>
      </c>
      <c r="D1056" s="3817" t="s">
        <v>3533</v>
      </c>
      <c r="E1056" s="3817" t="s">
        <v>3453</v>
      </c>
      <c r="F1056" s="3817">
        <v>222</v>
      </c>
      <c r="G1056" s="3819">
        <v>42523</v>
      </c>
      <c r="H1056" s="3817">
        <v>225</v>
      </c>
      <c r="I1056" s="3817">
        <v>41582</v>
      </c>
    </row>
    <row r="1057" spans="1:9" hidden="1">
      <c r="A1057" s="3819">
        <v>42519</v>
      </c>
      <c r="B1057" s="3817" t="s">
        <v>3444</v>
      </c>
      <c r="C1057" s="3817">
        <v>55</v>
      </c>
      <c r="D1057" s="3817" t="s">
        <v>3491</v>
      </c>
      <c r="E1057" s="3817" t="s">
        <v>3498</v>
      </c>
      <c r="F1057" s="3817">
        <v>245</v>
      </c>
      <c r="G1057" s="3819">
        <v>42519</v>
      </c>
      <c r="H1057" s="3817">
        <v>240</v>
      </c>
      <c r="I1057" s="3817">
        <v>43510</v>
      </c>
    </row>
    <row r="1058" spans="1:9" hidden="1">
      <c r="A1058" s="3819">
        <v>42519</v>
      </c>
      <c r="B1058" s="3817" t="s">
        <v>3444</v>
      </c>
      <c r="C1058" s="3817">
        <v>64</v>
      </c>
      <c r="D1058" s="3817" t="s">
        <v>3495</v>
      </c>
      <c r="E1058" s="3817" t="s">
        <v>3429</v>
      </c>
      <c r="F1058" s="3817">
        <v>260</v>
      </c>
      <c r="G1058" s="3819">
        <v>42520</v>
      </c>
      <c r="H1058" s="3817">
        <v>246</v>
      </c>
      <c r="I1058" s="3817">
        <v>37958</v>
      </c>
    </row>
    <row r="1059" spans="1:9" hidden="1">
      <c r="A1059" s="3819">
        <v>42518</v>
      </c>
      <c r="B1059" s="3817" t="s">
        <v>3489</v>
      </c>
      <c r="C1059" s="3817">
        <v>69</v>
      </c>
      <c r="D1059" s="3817" t="s">
        <v>3490</v>
      </c>
      <c r="E1059" s="3817" t="s">
        <v>3453</v>
      </c>
      <c r="F1059" s="3817">
        <v>300</v>
      </c>
      <c r="G1059" s="3819">
        <v>42518</v>
      </c>
      <c r="H1059" s="3817">
        <v>298</v>
      </c>
      <c r="I1059" s="3817">
        <v>43255</v>
      </c>
    </row>
    <row r="1060" spans="1:9" hidden="1">
      <c r="A1060" s="3819">
        <v>42512</v>
      </c>
      <c r="B1060" s="3817" t="s">
        <v>3444</v>
      </c>
      <c r="C1060" s="3817">
        <v>57</v>
      </c>
      <c r="D1060" s="3817" t="s">
        <v>3533</v>
      </c>
      <c r="E1060" s="3817" t="s">
        <v>3453</v>
      </c>
      <c r="F1060" s="3817">
        <v>220</v>
      </c>
      <c r="G1060" s="3819">
        <v>42512</v>
      </c>
      <c r="H1060" s="3817">
        <v>212</v>
      </c>
      <c r="I1060" s="3817">
        <v>37151</v>
      </c>
    </row>
    <row r="1061" spans="1:9" hidden="1">
      <c r="A1061" s="3819">
        <v>42505</v>
      </c>
      <c r="B1061" s="3817" t="s">
        <v>3444</v>
      </c>
      <c r="C1061" s="3817">
        <v>57</v>
      </c>
      <c r="D1061" s="3817" t="s">
        <v>3491</v>
      </c>
      <c r="E1061" s="3817" t="s">
        <v>3453</v>
      </c>
      <c r="F1061" s="3817">
        <v>226</v>
      </c>
      <c r="G1061" s="3819">
        <v>42505</v>
      </c>
      <c r="H1061" s="3817">
        <v>218</v>
      </c>
      <c r="I1061" s="3817">
        <v>38112</v>
      </c>
    </row>
    <row r="1062" spans="1:9" hidden="1">
      <c r="A1062" s="3819">
        <v>42499</v>
      </c>
      <c r="B1062" s="3817" t="s">
        <v>3471</v>
      </c>
      <c r="C1062" s="3817">
        <v>57</v>
      </c>
      <c r="D1062" s="3817" t="s">
        <v>3499</v>
      </c>
      <c r="E1062" s="3817" t="s">
        <v>3463</v>
      </c>
      <c r="F1062" s="3817">
        <v>200</v>
      </c>
      <c r="G1062" s="3819">
        <v>42499</v>
      </c>
      <c r="H1062" s="3817">
        <v>188</v>
      </c>
      <c r="I1062" s="3817">
        <v>32622</v>
      </c>
    </row>
    <row r="1063" spans="1:9" hidden="1">
      <c r="A1063" s="3819">
        <v>42498</v>
      </c>
      <c r="B1063" s="3817" t="s">
        <v>3449</v>
      </c>
      <c r="C1063" s="3817">
        <v>69</v>
      </c>
      <c r="D1063" s="3817" t="s">
        <v>3533</v>
      </c>
      <c r="E1063" s="3817" t="s">
        <v>3453</v>
      </c>
      <c r="F1063" s="3817">
        <v>259</v>
      </c>
      <c r="G1063" s="3819">
        <v>42499</v>
      </c>
      <c r="H1063" s="3817">
        <v>255</v>
      </c>
      <c r="I1063" s="3817">
        <v>36952</v>
      </c>
    </row>
    <row r="1064" spans="1:9" hidden="1">
      <c r="A1064" s="3819">
        <v>42492</v>
      </c>
      <c r="B1064" s="3817" t="s">
        <v>3444</v>
      </c>
      <c r="C1064" s="3817">
        <v>49</v>
      </c>
      <c r="D1064" s="3817" t="s">
        <v>3491</v>
      </c>
      <c r="E1064" s="3817" t="s">
        <v>3460</v>
      </c>
      <c r="F1064" s="3817">
        <v>215</v>
      </c>
      <c r="G1064" s="3819">
        <v>42492</v>
      </c>
      <c r="H1064" s="3817">
        <v>215</v>
      </c>
      <c r="I1064" s="3817">
        <v>43208</v>
      </c>
    </row>
    <row r="1065" spans="1:9" hidden="1">
      <c r="A1065" s="3819">
        <v>42492</v>
      </c>
      <c r="B1065" s="3817" t="s">
        <v>3444</v>
      </c>
      <c r="C1065" s="3817">
        <v>62</v>
      </c>
      <c r="D1065" s="3817" t="s">
        <v>3538</v>
      </c>
      <c r="E1065" s="3817" t="s">
        <v>3468</v>
      </c>
      <c r="F1065" s="3817">
        <v>215</v>
      </c>
      <c r="G1065" s="3819">
        <v>42494</v>
      </c>
      <c r="H1065" s="3817">
        <v>215</v>
      </c>
      <c r="I1065" s="3817">
        <v>34318</v>
      </c>
    </row>
    <row r="1066" spans="1:9" hidden="1">
      <c r="A1066" s="3819">
        <v>42488</v>
      </c>
      <c r="B1066" s="3817" t="s">
        <v>3471</v>
      </c>
      <c r="C1066" s="3817">
        <v>57</v>
      </c>
      <c r="D1066" s="3817" t="s">
        <v>3532</v>
      </c>
      <c r="E1066" s="3817" t="s">
        <v>3442</v>
      </c>
      <c r="F1066" s="3817">
        <v>189</v>
      </c>
      <c r="G1066" s="3819">
        <v>42488</v>
      </c>
      <c r="H1066" s="3817">
        <v>180</v>
      </c>
      <c r="I1066" s="3817">
        <v>31234</v>
      </c>
    </row>
    <row r="1067" spans="1:9" hidden="1">
      <c r="A1067" s="3819">
        <v>42486</v>
      </c>
      <c r="B1067" s="3817" t="s">
        <v>3444</v>
      </c>
      <c r="C1067" s="3817">
        <v>57</v>
      </c>
      <c r="D1067" s="3817" t="s">
        <v>3490</v>
      </c>
      <c r="E1067" s="3817" t="s">
        <v>3453</v>
      </c>
      <c r="F1067" s="3817">
        <v>212</v>
      </c>
      <c r="G1067" s="3819">
        <v>42488</v>
      </c>
      <c r="H1067" s="3817">
        <v>210</v>
      </c>
      <c r="I1067" s="3817">
        <v>36714</v>
      </c>
    </row>
    <row r="1068" spans="1:9" hidden="1">
      <c r="A1068" s="3819">
        <v>42483</v>
      </c>
      <c r="B1068" s="3817" t="s">
        <v>3444</v>
      </c>
      <c r="C1068" s="3817">
        <v>55</v>
      </c>
      <c r="D1068" s="3817" t="s">
        <v>3491</v>
      </c>
      <c r="E1068" s="3817" t="s">
        <v>3481</v>
      </c>
      <c r="F1068" s="3817">
        <v>230</v>
      </c>
      <c r="G1068" s="3819">
        <v>42484</v>
      </c>
      <c r="H1068" s="3817">
        <v>223</v>
      </c>
      <c r="I1068" s="3817">
        <v>40519</v>
      </c>
    </row>
    <row r="1069" spans="1:9" hidden="1">
      <c r="A1069" s="3819">
        <v>42476</v>
      </c>
      <c r="B1069" s="3817" t="s">
        <v>3444</v>
      </c>
      <c r="C1069" s="3817">
        <v>58</v>
      </c>
      <c r="D1069" s="3817" t="s">
        <v>3533</v>
      </c>
      <c r="E1069" s="3817" t="s">
        <v>3453</v>
      </c>
      <c r="F1069" s="3817">
        <v>206</v>
      </c>
      <c r="G1069" s="3819">
        <v>42477</v>
      </c>
      <c r="H1069" s="3817">
        <v>202</v>
      </c>
      <c r="I1069" s="3817">
        <v>34439</v>
      </c>
    </row>
    <row r="1070" spans="1:9" hidden="1">
      <c r="A1070" s="3819">
        <v>42476</v>
      </c>
      <c r="B1070" s="3817" t="s">
        <v>3444</v>
      </c>
      <c r="C1070" s="3817">
        <v>49</v>
      </c>
      <c r="D1070" s="3817" t="s">
        <v>3533</v>
      </c>
      <c r="E1070" s="3817" t="s">
        <v>3460</v>
      </c>
      <c r="F1070" s="3817">
        <v>200</v>
      </c>
      <c r="G1070" s="3819">
        <v>42476</v>
      </c>
      <c r="H1070" s="3817">
        <v>195</v>
      </c>
      <c r="I1070" s="3817">
        <v>39268</v>
      </c>
    </row>
    <row r="1071" spans="1:9" hidden="1">
      <c r="A1071" s="3819">
        <v>42473</v>
      </c>
      <c r="B1071" s="3817" t="s">
        <v>3449</v>
      </c>
      <c r="C1071" s="3817">
        <v>91</v>
      </c>
      <c r="D1071" s="3817" t="s">
        <v>3499</v>
      </c>
      <c r="E1071" s="3817" t="s">
        <v>3466</v>
      </c>
      <c r="F1071" s="3817">
        <v>380</v>
      </c>
      <c r="G1071" s="3819">
        <v>42473</v>
      </c>
      <c r="H1071" s="3817">
        <v>367</v>
      </c>
      <c r="I1071" s="3817">
        <v>40244</v>
      </c>
    </row>
    <row r="1072" spans="1:9" hidden="1">
      <c r="A1072" s="3819">
        <v>42469</v>
      </c>
      <c r="B1072" s="3817" t="s">
        <v>3449</v>
      </c>
      <c r="C1072" s="3817">
        <v>69</v>
      </c>
      <c r="D1072" s="3817" t="s">
        <v>3491</v>
      </c>
      <c r="E1072" s="3817" t="s">
        <v>3453</v>
      </c>
      <c r="F1072" s="3817">
        <v>305</v>
      </c>
      <c r="G1072" s="3819">
        <v>42470</v>
      </c>
      <c r="H1072" s="3817">
        <v>296</v>
      </c>
      <c r="I1072" s="3817">
        <v>42893</v>
      </c>
    </row>
    <row r="1073" spans="1:9" hidden="1">
      <c r="A1073" s="3819">
        <v>42467</v>
      </c>
      <c r="B1073" s="3817" t="s">
        <v>3444</v>
      </c>
      <c r="C1073" s="3817">
        <v>58</v>
      </c>
      <c r="D1073" s="3817" t="s">
        <v>3533</v>
      </c>
      <c r="E1073" s="3817" t="s">
        <v>3453</v>
      </c>
      <c r="F1073" s="3817">
        <v>206</v>
      </c>
      <c r="G1073" s="3819">
        <v>42467</v>
      </c>
      <c r="H1073" s="3817">
        <v>204</v>
      </c>
      <c r="I1073" s="3817">
        <v>34753</v>
      </c>
    </row>
    <row r="1074" spans="1:9" hidden="1">
      <c r="A1074" s="3819">
        <v>42464</v>
      </c>
      <c r="B1074" s="3817" t="s">
        <v>3444</v>
      </c>
      <c r="C1074" s="3817">
        <v>64</v>
      </c>
      <c r="D1074" s="3817" t="s">
        <v>3495</v>
      </c>
      <c r="E1074" s="3817" t="s">
        <v>3429</v>
      </c>
      <c r="F1074" s="3817">
        <v>255</v>
      </c>
      <c r="G1074" s="3819">
        <v>42464</v>
      </c>
      <c r="H1074" s="3817">
        <v>253</v>
      </c>
      <c r="I1074" s="3817">
        <v>39038</v>
      </c>
    </row>
    <row r="1075" spans="1:9" hidden="1">
      <c r="A1075" s="3819">
        <v>42463</v>
      </c>
      <c r="B1075" s="3817" t="s">
        <v>3489</v>
      </c>
      <c r="C1075" s="3817">
        <v>69</v>
      </c>
      <c r="D1075" s="3817" t="s">
        <v>3497</v>
      </c>
      <c r="E1075" s="3817" t="s">
        <v>3453</v>
      </c>
      <c r="F1075" s="3817">
        <v>305</v>
      </c>
      <c r="G1075" s="3819">
        <v>42464</v>
      </c>
      <c r="H1075" s="3817">
        <v>300</v>
      </c>
      <c r="I1075" s="3817">
        <v>43447</v>
      </c>
    </row>
    <row r="1076" spans="1:9" hidden="1">
      <c r="A1076" s="3819">
        <v>42462</v>
      </c>
      <c r="B1076" s="3817" t="s">
        <v>3444</v>
      </c>
      <c r="C1076" s="3817">
        <v>62</v>
      </c>
      <c r="D1076" s="3817" t="s">
        <v>3496</v>
      </c>
      <c r="E1076" s="3817" t="s">
        <v>3464</v>
      </c>
      <c r="F1076" s="3817">
        <v>235</v>
      </c>
      <c r="G1076" s="3819">
        <v>42462</v>
      </c>
      <c r="H1076" s="3817">
        <v>230</v>
      </c>
      <c r="I1076" s="3817">
        <v>36683</v>
      </c>
    </row>
    <row r="1077" spans="1:9" hidden="1">
      <c r="A1077" s="3819">
        <v>42456</v>
      </c>
      <c r="B1077" s="3817" t="s">
        <v>3444</v>
      </c>
      <c r="C1077" s="3817">
        <v>59</v>
      </c>
      <c r="D1077" s="3817" t="s">
        <v>3533</v>
      </c>
      <c r="E1077" s="3817" t="s">
        <v>3453</v>
      </c>
      <c r="F1077" s="3817">
        <v>210</v>
      </c>
      <c r="G1077" s="3819">
        <v>42457</v>
      </c>
      <c r="H1077" s="3817">
        <v>205</v>
      </c>
      <c r="I1077" s="3817">
        <v>34281</v>
      </c>
    </row>
    <row r="1078" spans="1:9" hidden="1">
      <c r="A1078" s="3819">
        <v>42454</v>
      </c>
      <c r="B1078" s="3817" t="s">
        <v>3444</v>
      </c>
      <c r="C1078" s="3817">
        <v>54</v>
      </c>
      <c r="D1078" s="3817" t="s">
        <v>3533</v>
      </c>
      <c r="E1078" s="3817" t="s">
        <v>3453</v>
      </c>
      <c r="F1078" s="3817">
        <v>199</v>
      </c>
      <c r="G1078" s="3819">
        <v>42454</v>
      </c>
      <c r="H1078" s="3817">
        <v>197</v>
      </c>
      <c r="I1078" s="3817">
        <v>36147</v>
      </c>
    </row>
    <row r="1079" spans="1:9" hidden="1">
      <c r="A1079" s="3819">
        <v>42454</v>
      </c>
      <c r="B1079" s="3817" t="s">
        <v>3444</v>
      </c>
      <c r="C1079" s="3817">
        <v>54</v>
      </c>
      <c r="D1079" s="3817" t="s">
        <v>3533</v>
      </c>
      <c r="E1079" s="3817" t="s">
        <v>3429</v>
      </c>
      <c r="F1079" s="3817">
        <v>205</v>
      </c>
      <c r="G1079" s="3819">
        <v>42454</v>
      </c>
      <c r="H1079" s="3817">
        <v>205</v>
      </c>
      <c r="I1079" s="3817">
        <v>37512</v>
      </c>
    </row>
    <row r="1080" spans="1:9" hidden="1">
      <c r="A1080" s="3819">
        <v>42453</v>
      </c>
      <c r="B1080" s="3817" t="s">
        <v>3449</v>
      </c>
      <c r="C1080" s="3817">
        <v>69</v>
      </c>
      <c r="D1080" s="3817" t="s">
        <v>3533</v>
      </c>
      <c r="E1080" s="3817" t="s">
        <v>3453</v>
      </c>
      <c r="F1080" s="3817">
        <v>270</v>
      </c>
      <c r="G1080" s="3819">
        <v>42454</v>
      </c>
      <c r="H1080" s="3817">
        <v>255</v>
      </c>
      <c r="I1080" s="3817">
        <v>36952</v>
      </c>
    </row>
    <row r="1081" spans="1:9" hidden="1">
      <c r="A1081" s="3819">
        <v>42452</v>
      </c>
      <c r="B1081" s="3817" t="s">
        <v>3449</v>
      </c>
      <c r="C1081" s="3817">
        <v>67</v>
      </c>
      <c r="D1081" s="3817" t="s">
        <v>3533</v>
      </c>
      <c r="E1081" s="3817" t="s">
        <v>3453</v>
      </c>
      <c r="F1081" s="3817">
        <v>259</v>
      </c>
      <c r="G1081" s="3819">
        <v>42453</v>
      </c>
      <c r="H1081" s="3817">
        <v>256</v>
      </c>
      <c r="I1081" s="3817">
        <v>37681</v>
      </c>
    </row>
    <row r="1082" spans="1:9" hidden="1">
      <c r="A1082" s="3819">
        <v>42449</v>
      </c>
      <c r="B1082" s="3817" t="s">
        <v>3444</v>
      </c>
      <c r="C1082" s="3817">
        <v>62</v>
      </c>
      <c r="D1082" s="3817" t="s">
        <v>3495</v>
      </c>
      <c r="E1082" s="3817" t="s">
        <v>3469</v>
      </c>
      <c r="F1082" s="3817">
        <v>252</v>
      </c>
      <c r="G1082" s="3819">
        <v>42449</v>
      </c>
      <c r="H1082" s="3817">
        <v>249</v>
      </c>
      <c r="I1082" s="3817">
        <v>39745</v>
      </c>
    </row>
    <row r="1083" spans="1:9" hidden="1">
      <c r="A1083" s="3819">
        <v>42449</v>
      </c>
      <c r="B1083" s="3817" t="s">
        <v>3444</v>
      </c>
      <c r="C1083" s="3817">
        <v>64</v>
      </c>
      <c r="D1083" s="3817" t="s">
        <v>3496</v>
      </c>
      <c r="E1083" s="3817" t="s">
        <v>3429</v>
      </c>
      <c r="F1083" s="3817">
        <v>260</v>
      </c>
      <c r="G1083" s="3819">
        <v>42450</v>
      </c>
      <c r="H1083" s="3817">
        <v>245</v>
      </c>
      <c r="I1083" s="3817">
        <v>37803</v>
      </c>
    </row>
    <row r="1084" spans="1:9" hidden="1">
      <c r="A1084" s="3819">
        <v>42447</v>
      </c>
      <c r="B1084" s="3817" t="s">
        <v>3444</v>
      </c>
      <c r="C1084" s="3817">
        <v>53</v>
      </c>
      <c r="D1084" s="3817" t="s">
        <v>3497</v>
      </c>
      <c r="E1084" s="3817" t="s">
        <v>3453</v>
      </c>
      <c r="F1084" s="3817">
        <v>230</v>
      </c>
      <c r="G1084" s="3819">
        <v>42448</v>
      </c>
      <c r="H1084" s="3817">
        <v>220</v>
      </c>
      <c r="I1084" s="3817">
        <v>41068</v>
      </c>
    </row>
    <row r="1085" spans="1:9" hidden="1">
      <c r="A1085" s="3819">
        <v>42445</v>
      </c>
      <c r="B1085" s="3817" t="s">
        <v>3471</v>
      </c>
      <c r="C1085" s="3817">
        <v>64</v>
      </c>
      <c r="D1085" s="3817" t="s">
        <v>3495</v>
      </c>
      <c r="E1085" s="3817" t="s">
        <v>3429</v>
      </c>
      <c r="F1085" s="3817">
        <v>270</v>
      </c>
      <c r="G1085" s="3819">
        <v>42445</v>
      </c>
      <c r="H1085" s="3817">
        <v>268</v>
      </c>
      <c r="I1085" s="3817">
        <v>41352</v>
      </c>
    </row>
    <row r="1086" spans="1:9" hidden="1">
      <c r="A1086" s="3819">
        <v>42444</v>
      </c>
      <c r="B1086" s="3817" t="s">
        <v>3444</v>
      </c>
      <c r="C1086" s="3817">
        <v>54</v>
      </c>
      <c r="D1086" s="3817" t="s">
        <v>3497</v>
      </c>
      <c r="E1086" s="3817" t="s">
        <v>3453</v>
      </c>
      <c r="F1086" s="3817">
        <v>220</v>
      </c>
      <c r="G1086" s="3819">
        <v>42444</v>
      </c>
      <c r="H1086" s="3817">
        <v>218</v>
      </c>
      <c r="I1086" s="3817">
        <v>40296</v>
      </c>
    </row>
    <row r="1087" spans="1:9" hidden="1">
      <c r="A1087" s="3819">
        <v>42442</v>
      </c>
      <c r="B1087" s="3817" t="s">
        <v>3444</v>
      </c>
      <c r="C1087" s="3817">
        <v>53</v>
      </c>
      <c r="D1087" s="3817" t="s">
        <v>3497</v>
      </c>
      <c r="E1087" s="3817" t="s">
        <v>3453</v>
      </c>
      <c r="F1087" s="3817">
        <v>235</v>
      </c>
      <c r="G1087" s="3819">
        <v>42443</v>
      </c>
      <c r="H1087" s="3817">
        <v>224</v>
      </c>
      <c r="I1087" s="3817">
        <v>41908</v>
      </c>
    </row>
    <row r="1088" spans="1:9" hidden="1">
      <c r="A1088" s="3819">
        <v>42440</v>
      </c>
      <c r="B1088" s="3817" t="s">
        <v>3444</v>
      </c>
      <c r="C1088" s="3817">
        <v>57</v>
      </c>
      <c r="D1088" s="3817" t="s">
        <v>3491</v>
      </c>
      <c r="E1088" s="3817" t="s">
        <v>3453</v>
      </c>
      <c r="F1088" s="3817">
        <v>205</v>
      </c>
      <c r="G1088" s="3819">
        <v>42440</v>
      </c>
      <c r="H1088" s="3817">
        <v>200</v>
      </c>
      <c r="I1088" s="3817">
        <v>34966</v>
      </c>
    </row>
    <row r="1089" spans="1:9" hidden="1">
      <c r="A1089" s="3819">
        <v>42439</v>
      </c>
      <c r="B1089" s="3817" t="s">
        <v>3444</v>
      </c>
      <c r="C1089" s="3817">
        <v>77</v>
      </c>
      <c r="D1089" s="3817" t="s">
        <v>3494</v>
      </c>
      <c r="E1089" s="3817" t="s">
        <v>3463</v>
      </c>
      <c r="F1089" s="3817">
        <v>275</v>
      </c>
      <c r="G1089" s="3819">
        <v>42439</v>
      </c>
      <c r="H1089" s="3817">
        <v>272</v>
      </c>
      <c r="I1089" s="3817">
        <v>35251</v>
      </c>
    </row>
    <row r="1090" spans="1:9" hidden="1">
      <c r="A1090" s="3819">
        <v>42439</v>
      </c>
      <c r="B1090" s="3817" t="s">
        <v>3449</v>
      </c>
      <c r="C1090" s="3817">
        <v>68</v>
      </c>
      <c r="D1090" s="3817" t="s">
        <v>3497</v>
      </c>
      <c r="E1090" s="3817" t="s">
        <v>3453</v>
      </c>
      <c r="F1090" s="3817">
        <v>260</v>
      </c>
      <c r="G1090" s="3819">
        <v>42440</v>
      </c>
      <c r="H1090" s="3817">
        <v>258</v>
      </c>
      <c r="I1090" s="3817">
        <v>37446</v>
      </c>
    </row>
    <row r="1091" spans="1:9" hidden="1">
      <c r="A1091" s="3819">
        <v>42438</v>
      </c>
      <c r="B1091" s="3817" t="s">
        <v>3444</v>
      </c>
      <c r="C1091" s="3817">
        <v>57</v>
      </c>
      <c r="D1091" s="3817" t="s">
        <v>3497</v>
      </c>
      <c r="E1091" s="3817" t="s">
        <v>3453</v>
      </c>
      <c r="F1091" s="3817">
        <v>226</v>
      </c>
      <c r="G1091" s="3819">
        <v>42438</v>
      </c>
      <c r="H1091" s="3817">
        <v>225</v>
      </c>
      <c r="I1091" s="3817">
        <v>39336</v>
      </c>
    </row>
    <row r="1092" spans="1:9" hidden="1">
      <c r="A1092" s="3819">
        <v>42437</v>
      </c>
      <c r="B1092" s="3817" t="s">
        <v>3444</v>
      </c>
      <c r="C1092" s="3817">
        <v>53</v>
      </c>
      <c r="D1092" s="3817" t="s">
        <v>3533</v>
      </c>
      <c r="E1092" s="3817" t="s">
        <v>3469</v>
      </c>
      <c r="F1092" s="3817">
        <v>192</v>
      </c>
      <c r="G1092" s="3819">
        <v>42437</v>
      </c>
      <c r="H1092" s="3817">
        <v>192</v>
      </c>
      <c r="I1092" s="3817">
        <v>35576</v>
      </c>
    </row>
    <row r="1093" spans="1:9" hidden="1">
      <c r="A1093" s="3819">
        <v>42437</v>
      </c>
      <c r="B1093" s="3817" t="s">
        <v>3471</v>
      </c>
      <c r="C1093" s="3817">
        <v>57</v>
      </c>
      <c r="D1093" s="3817" t="s">
        <v>3494</v>
      </c>
      <c r="E1093" s="3817" t="s">
        <v>3463</v>
      </c>
      <c r="F1093" s="3817">
        <v>190</v>
      </c>
      <c r="G1093" s="3819">
        <v>42438</v>
      </c>
      <c r="H1093" s="3817">
        <v>189</v>
      </c>
      <c r="I1093" s="3817">
        <v>32796</v>
      </c>
    </row>
    <row r="1094" spans="1:9" hidden="1">
      <c r="A1094" s="3819">
        <v>42436</v>
      </c>
      <c r="B1094" s="3817" t="s">
        <v>3444</v>
      </c>
      <c r="C1094" s="3817">
        <v>57</v>
      </c>
      <c r="D1094" s="3817" t="s">
        <v>3491</v>
      </c>
      <c r="E1094" s="3817" t="s">
        <v>3453</v>
      </c>
      <c r="F1094" s="3817">
        <v>210</v>
      </c>
      <c r="G1094" s="3819">
        <v>42436</v>
      </c>
      <c r="H1094" s="3817">
        <v>210</v>
      </c>
      <c r="I1094" s="3817">
        <v>36459</v>
      </c>
    </row>
    <row r="1095" spans="1:9" hidden="1">
      <c r="A1095" s="3819">
        <v>42436</v>
      </c>
      <c r="B1095" s="3817" t="s">
        <v>3444</v>
      </c>
      <c r="C1095" s="3817">
        <v>63</v>
      </c>
      <c r="D1095" s="3817" t="s">
        <v>3495</v>
      </c>
      <c r="E1095" s="3817" t="s">
        <v>3469</v>
      </c>
      <c r="F1095" s="3817">
        <v>230</v>
      </c>
      <c r="G1095" s="3819">
        <v>42437</v>
      </c>
      <c r="H1095" s="3817">
        <v>228</v>
      </c>
      <c r="I1095" s="3817">
        <v>35940</v>
      </c>
    </row>
    <row r="1096" spans="1:9" hidden="1">
      <c r="A1096" s="3819">
        <v>42435</v>
      </c>
      <c r="B1096" s="3817" t="s">
        <v>3449</v>
      </c>
      <c r="C1096" s="3817">
        <v>68</v>
      </c>
      <c r="D1096" s="3817" t="s">
        <v>3491</v>
      </c>
      <c r="E1096" s="3817" t="s">
        <v>3453</v>
      </c>
      <c r="F1096" s="3817">
        <v>275</v>
      </c>
      <c r="G1096" s="3819">
        <v>42435</v>
      </c>
      <c r="H1096" s="3817">
        <v>275</v>
      </c>
      <c r="I1096" s="3817">
        <v>39884</v>
      </c>
    </row>
    <row r="1097" spans="1:9" hidden="1">
      <c r="A1097" s="3819">
        <v>42434</v>
      </c>
      <c r="B1097" s="3817" t="s">
        <v>3444</v>
      </c>
      <c r="C1097" s="3817">
        <v>54</v>
      </c>
      <c r="D1097" s="3817" t="s">
        <v>3533</v>
      </c>
      <c r="E1097" s="3817" t="s">
        <v>3457</v>
      </c>
      <c r="F1097" s="3817">
        <v>185</v>
      </c>
      <c r="G1097" s="3819">
        <v>42434</v>
      </c>
      <c r="H1097" s="3817">
        <v>181</v>
      </c>
      <c r="I1097" s="3817">
        <v>33030</v>
      </c>
    </row>
    <row r="1098" spans="1:9" hidden="1">
      <c r="A1098" s="3819">
        <v>42434</v>
      </c>
      <c r="B1098" s="3817" t="s">
        <v>3444</v>
      </c>
      <c r="C1098" s="3817">
        <v>49</v>
      </c>
      <c r="D1098" s="3817" t="s">
        <v>3490</v>
      </c>
      <c r="E1098" s="3817" t="s">
        <v>3460</v>
      </c>
      <c r="F1098" s="3817">
        <v>195</v>
      </c>
      <c r="G1098" s="3819">
        <v>42434</v>
      </c>
      <c r="H1098" s="3817">
        <v>195</v>
      </c>
      <c r="I1098" s="3817">
        <v>39363</v>
      </c>
    </row>
    <row r="1099" spans="1:9" hidden="1">
      <c r="A1099" s="3819">
        <v>42434</v>
      </c>
      <c r="B1099" s="3817" t="s">
        <v>3444</v>
      </c>
      <c r="C1099" s="3817">
        <v>59</v>
      </c>
      <c r="D1099" s="3817" t="s">
        <v>3497</v>
      </c>
      <c r="E1099" s="3817" t="s">
        <v>3457</v>
      </c>
      <c r="F1099" s="3817">
        <v>188</v>
      </c>
      <c r="G1099" s="3819">
        <v>42434</v>
      </c>
      <c r="H1099" s="3817">
        <v>186</v>
      </c>
      <c r="I1099" s="3817">
        <v>31188</v>
      </c>
    </row>
    <row r="1100" spans="1:9" hidden="1">
      <c r="A1100" s="3819">
        <v>42434</v>
      </c>
      <c r="B1100" s="3817" t="s">
        <v>3444</v>
      </c>
      <c r="C1100" s="3817">
        <v>59</v>
      </c>
      <c r="D1100" s="3817" t="s">
        <v>3533</v>
      </c>
      <c r="E1100" s="3817" t="s">
        <v>3453</v>
      </c>
      <c r="F1100" s="3817">
        <v>192</v>
      </c>
      <c r="G1100" s="3819">
        <v>42434</v>
      </c>
      <c r="H1100" s="3817">
        <v>187</v>
      </c>
      <c r="I1100" s="3817">
        <v>31376</v>
      </c>
    </row>
    <row r="1101" spans="1:9" hidden="1">
      <c r="A1101" s="3819">
        <v>42432</v>
      </c>
      <c r="B1101" s="3817" t="s">
        <v>3444</v>
      </c>
      <c r="C1101" s="3817">
        <v>71</v>
      </c>
      <c r="D1101" s="3817" t="s">
        <v>3532</v>
      </c>
      <c r="E1101" s="3817" t="s">
        <v>3429</v>
      </c>
      <c r="F1101" s="3817">
        <v>270</v>
      </c>
      <c r="G1101" s="3819">
        <v>42433</v>
      </c>
      <c r="H1101" s="3817">
        <v>269</v>
      </c>
      <c r="I1101" s="3817">
        <v>37639</v>
      </c>
    </row>
    <row r="1102" spans="1:9" hidden="1">
      <c r="A1102" s="3819">
        <v>42429</v>
      </c>
      <c r="B1102" s="3817" t="s">
        <v>3471</v>
      </c>
      <c r="C1102" s="3817">
        <v>46</v>
      </c>
      <c r="D1102" s="3817" t="s">
        <v>3491</v>
      </c>
      <c r="E1102" s="3817" t="s">
        <v>3457</v>
      </c>
      <c r="F1102" s="3817">
        <v>162</v>
      </c>
      <c r="G1102" s="3819">
        <v>42430</v>
      </c>
      <c r="H1102" s="3817">
        <v>161</v>
      </c>
      <c r="I1102" s="3817">
        <v>34744</v>
      </c>
    </row>
    <row r="1103" spans="1:9" hidden="1">
      <c r="A1103" s="3819">
        <v>42427</v>
      </c>
      <c r="B1103" s="3817" t="s">
        <v>3444</v>
      </c>
      <c r="C1103" s="3817">
        <v>58</v>
      </c>
      <c r="D1103" s="3817" t="s">
        <v>3533</v>
      </c>
      <c r="E1103" s="3817" t="s">
        <v>3453</v>
      </c>
      <c r="F1103" s="3817">
        <v>195</v>
      </c>
      <c r="G1103" s="3819">
        <v>42428</v>
      </c>
      <c r="H1103" s="3817">
        <v>195</v>
      </c>
      <c r="I1103" s="3817">
        <v>33220</v>
      </c>
    </row>
    <row r="1104" spans="1:9" hidden="1">
      <c r="A1104" s="3819">
        <v>42427</v>
      </c>
      <c r="B1104" s="3817" t="s">
        <v>3444</v>
      </c>
      <c r="C1104" s="3817">
        <v>69</v>
      </c>
      <c r="D1104" s="3817" t="s">
        <v>3491</v>
      </c>
      <c r="E1104" s="3817" t="s">
        <v>3457</v>
      </c>
      <c r="F1104" s="3817">
        <v>260</v>
      </c>
      <c r="G1104" s="3819">
        <v>42427</v>
      </c>
      <c r="H1104" s="3817">
        <v>257</v>
      </c>
      <c r="I1104" s="3817">
        <v>37241</v>
      </c>
    </row>
    <row r="1105" spans="1:9" hidden="1">
      <c r="A1105" s="3819">
        <v>42427</v>
      </c>
      <c r="B1105" s="3817" t="s">
        <v>3444</v>
      </c>
      <c r="C1105" s="3817">
        <v>55</v>
      </c>
      <c r="D1105" s="3817" t="s">
        <v>3533</v>
      </c>
      <c r="E1105" s="3817" t="s">
        <v>3457</v>
      </c>
      <c r="F1105" s="3817">
        <v>195</v>
      </c>
      <c r="G1105" s="3819">
        <v>42428</v>
      </c>
      <c r="H1105" s="3817">
        <v>194</v>
      </c>
      <c r="I1105" s="3817">
        <v>35012</v>
      </c>
    </row>
    <row r="1106" spans="1:9" hidden="1">
      <c r="A1106" s="3819">
        <v>42422</v>
      </c>
      <c r="B1106" s="3817" t="s">
        <v>3471</v>
      </c>
      <c r="C1106" s="3817">
        <v>43</v>
      </c>
      <c r="D1106" s="3817" t="s">
        <v>3533</v>
      </c>
      <c r="E1106" s="3817" t="s">
        <v>3429</v>
      </c>
      <c r="F1106" s="3817">
        <v>150</v>
      </c>
      <c r="G1106" s="3819">
        <v>42424</v>
      </c>
      <c r="H1106" s="3817">
        <v>145</v>
      </c>
      <c r="I1106" s="3817">
        <v>33573</v>
      </c>
    </row>
    <row r="1107" spans="1:9" hidden="1">
      <c r="A1107" s="3819">
        <v>42421</v>
      </c>
      <c r="B1107" s="3817" t="s">
        <v>3471</v>
      </c>
      <c r="C1107" s="3817">
        <v>42</v>
      </c>
      <c r="D1107" s="3817" t="s">
        <v>3497</v>
      </c>
      <c r="E1107" s="3817" t="s">
        <v>3429</v>
      </c>
      <c r="F1107" s="3817">
        <v>160</v>
      </c>
      <c r="G1107" s="3819">
        <v>42422</v>
      </c>
      <c r="H1107" s="3817">
        <v>160</v>
      </c>
      <c r="I1107" s="3817">
        <v>37736</v>
      </c>
    </row>
    <row r="1108" spans="1:9" hidden="1">
      <c r="A1108" s="3819">
        <v>42421</v>
      </c>
      <c r="B1108" s="3817" t="s">
        <v>3444</v>
      </c>
      <c r="C1108" s="3817">
        <v>59</v>
      </c>
      <c r="D1108" s="3817" t="s">
        <v>3533</v>
      </c>
      <c r="E1108" s="3817" t="s">
        <v>3453</v>
      </c>
      <c r="F1108" s="3817">
        <v>200</v>
      </c>
      <c r="G1108" s="3819">
        <v>42422</v>
      </c>
      <c r="H1108" s="3817">
        <v>196</v>
      </c>
      <c r="I1108" s="3817">
        <v>32886</v>
      </c>
    </row>
    <row r="1109" spans="1:9" hidden="1">
      <c r="A1109" s="3819">
        <v>42420</v>
      </c>
      <c r="B1109" s="3817" t="s">
        <v>3449</v>
      </c>
      <c r="C1109" s="3817">
        <v>69</v>
      </c>
      <c r="D1109" s="3817" t="s">
        <v>3491</v>
      </c>
      <c r="E1109" s="3817" t="s">
        <v>3453</v>
      </c>
      <c r="F1109" s="3817">
        <v>240</v>
      </c>
      <c r="G1109" s="3819">
        <v>42420</v>
      </c>
      <c r="H1109" s="3817">
        <v>232</v>
      </c>
      <c r="I1109" s="3817">
        <v>33575</v>
      </c>
    </row>
    <row r="1110" spans="1:9" hidden="1">
      <c r="A1110" s="3819">
        <v>42420</v>
      </c>
      <c r="B1110" s="3817" t="s">
        <v>3444</v>
      </c>
      <c r="C1110" s="3817">
        <v>53</v>
      </c>
      <c r="D1110" s="3817" t="s">
        <v>3497</v>
      </c>
      <c r="E1110" s="3817" t="s">
        <v>3469</v>
      </c>
      <c r="F1110" s="3817">
        <v>188</v>
      </c>
      <c r="G1110" s="3819">
        <v>42421</v>
      </c>
      <c r="H1110" s="3817">
        <v>184</v>
      </c>
      <c r="I1110" s="3817">
        <v>34186</v>
      </c>
    </row>
    <row r="1111" spans="1:9" hidden="1">
      <c r="A1111" s="3819">
        <v>42418</v>
      </c>
      <c r="B1111" s="3817" t="s">
        <v>3444</v>
      </c>
      <c r="C1111" s="3817">
        <v>54</v>
      </c>
      <c r="D1111" s="3817" t="s">
        <v>3497</v>
      </c>
      <c r="E1111" s="3817" t="s">
        <v>3453</v>
      </c>
      <c r="F1111" s="3817">
        <v>208</v>
      </c>
      <c r="G1111" s="3819">
        <v>42419</v>
      </c>
      <c r="H1111" s="3817">
        <v>201</v>
      </c>
      <c r="I1111" s="3817">
        <v>36973</v>
      </c>
    </row>
    <row r="1112" spans="1:9" hidden="1">
      <c r="A1112" s="3819">
        <v>42418</v>
      </c>
      <c r="B1112" s="3817" t="s">
        <v>3444</v>
      </c>
      <c r="C1112" s="3817">
        <v>77</v>
      </c>
      <c r="D1112" s="3817" t="s">
        <v>3532</v>
      </c>
      <c r="E1112" s="3817" t="s">
        <v>3442</v>
      </c>
      <c r="F1112" s="3817">
        <v>233</v>
      </c>
      <c r="G1112" s="3819">
        <v>42419</v>
      </c>
      <c r="H1112" s="3817">
        <v>230</v>
      </c>
      <c r="I1112" s="3817">
        <v>29765</v>
      </c>
    </row>
    <row r="1113" spans="1:9" hidden="1">
      <c r="A1113" s="3819">
        <v>42416</v>
      </c>
      <c r="B1113" s="3817" t="s">
        <v>3444</v>
      </c>
      <c r="C1113" s="3817">
        <v>69</v>
      </c>
      <c r="D1113" s="3817" t="s">
        <v>3496</v>
      </c>
      <c r="E1113" s="3817" t="s">
        <v>3466</v>
      </c>
      <c r="F1113" s="3817">
        <v>223</v>
      </c>
      <c r="G1113" s="3819">
        <v>42416</v>
      </c>
      <c r="H1113" s="3817">
        <v>217</v>
      </c>
      <c r="I1113" s="3817">
        <v>31551</v>
      </c>
    </row>
    <row r="1114" spans="1:9" hidden="1">
      <c r="A1114" s="3819">
        <v>42404</v>
      </c>
      <c r="B1114" s="3817" t="s">
        <v>3444</v>
      </c>
      <c r="C1114" s="3817">
        <v>57</v>
      </c>
      <c r="D1114" s="3817" t="s">
        <v>3490</v>
      </c>
      <c r="E1114" s="3817" t="s">
        <v>3453</v>
      </c>
      <c r="F1114" s="3817">
        <v>190</v>
      </c>
      <c r="G1114" s="3819">
        <v>42404</v>
      </c>
      <c r="H1114" s="3817">
        <v>188</v>
      </c>
      <c r="I1114" s="3817">
        <v>32868</v>
      </c>
    </row>
    <row r="1115" spans="1:9" hidden="1">
      <c r="A1115" s="3819">
        <v>42402</v>
      </c>
      <c r="B1115" s="3817" t="s">
        <v>3444</v>
      </c>
      <c r="C1115" s="3817">
        <v>77</v>
      </c>
      <c r="D1115" s="3817" t="s">
        <v>3541</v>
      </c>
      <c r="E1115" s="3817" t="s">
        <v>3463</v>
      </c>
      <c r="F1115" s="3817">
        <v>233</v>
      </c>
      <c r="G1115" s="3819">
        <v>42402</v>
      </c>
      <c r="H1115" s="3817">
        <v>230</v>
      </c>
      <c r="I1115" s="3817">
        <v>29701</v>
      </c>
    </row>
    <row r="1116" spans="1:9" hidden="1">
      <c r="A1116" s="3819">
        <v>42401</v>
      </c>
      <c r="B1116" s="3817" t="s">
        <v>3444</v>
      </c>
      <c r="C1116" s="3817">
        <v>84</v>
      </c>
      <c r="D1116" s="3817" t="s">
        <v>3494</v>
      </c>
      <c r="E1116" s="3817" t="s">
        <v>3470</v>
      </c>
      <c r="F1116" s="3817">
        <v>268</v>
      </c>
      <c r="G1116" s="3819">
        <v>42402</v>
      </c>
      <c r="H1116" s="3817">
        <v>252</v>
      </c>
      <c r="I1116" s="3817">
        <v>29655</v>
      </c>
    </row>
    <row r="1117" spans="1:9" hidden="1">
      <c r="A1117" s="3819">
        <v>42400</v>
      </c>
      <c r="B1117" s="3817" t="s">
        <v>3444</v>
      </c>
      <c r="C1117" s="3817">
        <v>55</v>
      </c>
      <c r="D1117" s="3817" t="s">
        <v>3491</v>
      </c>
      <c r="E1117" s="3817" t="s">
        <v>3453</v>
      </c>
      <c r="F1117" s="3817">
        <v>215</v>
      </c>
      <c r="G1117" s="3819">
        <v>42400</v>
      </c>
      <c r="H1117" s="3817">
        <v>211</v>
      </c>
      <c r="I1117" s="3817">
        <v>38253</v>
      </c>
    </row>
    <row r="1118" spans="1:9" hidden="1">
      <c r="A1118" s="3819">
        <v>42393</v>
      </c>
      <c r="B1118" s="3817" t="s">
        <v>3444</v>
      </c>
      <c r="C1118" s="3817">
        <v>62</v>
      </c>
      <c r="D1118" s="3817" t="s">
        <v>3518</v>
      </c>
      <c r="E1118" s="3817" t="s">
        <v>3468</v>
      </c>
      <c r="F1118" s="3817">
        <v>220</v>
      </c>
      <c r="G1118" s="3819">
        <v>42394</v>
      </c>
      <c r="H1118" s="3817">
        <v>219</v>
      </c>
      <c r="I1118" s="3817">
        <v>34957</v>
      </c>
    </row>
    <row r="1119" spans="1:9" hidden="1">
      <c r="A1119" s="3819">
        <v>42388</v>
      </c>
      <c r="B1119" s="3817" t="s">
        <v>3471</v>
      </c>
      <c r="C1119" s="3817">
        <v>57</v>
      </c>
      <c r="D1119" s="3817" t="s">
        <v>3499</v>
      </c>
      <c r="E1119" s="3817" t="s">
        <v>3442</v>
      </c>
      <c r="F1119" s="3817">
        <v>180</v>
      </c>
      <c r="G1119" s="3819">
        <v>42388</v>
      </c>
      <c r="H1119" s="3817">
        <v>176</v>
      </c>
      <c r="I1119" s="3817">
        <v>30540</v>
      </c>
    </row>
    <row r="1120" spans="1:9" hidden="1">
      <c r="A1120" s="3819">
        <v>42383</v>
      </c>
      <c r="B1120" s="3817" t="s">
        <v>3444</v>
      </c>
      <c r="C1120" s="3817">
        <v>57</v>
      </c>
      <c r="D1120" s="3817" t="s">
        <v>3491</v>
      </c>
      <c r="E1120" s="3817" t="s">
        <v>3453</v>
      </c>
      <c r="F1120" s="3817">
        <v>215</v>
      </c>
      <c r="G1120" s="3819">
        <v>42384</v>
      </c>
      <c r="H1120" s="3817">
        <v>212</v>
      </c>
      <c r="I1120" s="3817">
        <v>37151</v>
      </c>
    </row>
    <row r="1121" spans="1:9" hidden="1">
      <c r="A1121" s="3819">
        <v>42378</v>
      </c>
      <c r="B1121" s="3817" t="s">
        <v>3444</v>
      </c>
      <c r="C1121" s="3817">
        <v>62</v>
      </c>
      <c r="D1121" s="3817" t="s">
        <v>3518</v>
      </c>
      <c r="E1121" s="3817" t="s">
        <v>3469</v>
      </c>
      <c r="F1121" s="3817">
        <v>220</v>
      </c>
      <c r="G1121" s="3819">
        <v>42378</v>
      </c>
      <c r="H1121" s="3817">
        <v>210</v>
      </c>
      <c r="I1121" s="3817">
        <v>33520</v>
      </c>
    </row>
    <row r="1122" spans="1:9" hidden="1">
      <c r="A1122" s="3819">
        <v>42373</v>
      </c>
      <c r="B1122" s="3817" t="s">
        <v>3471</v>
      </c>
      <c r="C1122" s="3817">
        <v>41</v>
      </c>
      <c r="D1122" s="3817" t="s">
        <v>3490</v>
      </c>
      <c r="E1122" s="3817" t="s">
        <v>3453</v>
      </c>
      <c r="F1122" s="3817">
        <v>160</v>
      </c>
      <c r="G1122" s="3819">
        <v>42374</v>
      </c>
      <c r="H1122" s="3817">
        <v>156</v>
      </c>
      <c r="I1122" s="3817">
        <v>38078</v>
      </c>
    </row>
    <row r="1123" spans="1:9" hidden="1">
      <c r="A1123" s="3819">
        <v>42373</v>
      </c>
      <c r="B1123" s="3817" t="s">
        <v>3444</v>
      </c>
      <c r="C1123" s="3817">
        <v>77</v>
      </c>
      <c r="D1123" s="3817" t="s">
        <v>3499</v>
      </c>
      <c r="E1123" s="3817" t="s">
        <v>3442</v>
      </c>
      <c r="F1123" s="3817">
        <v>225</v>
      </c>
      <c r="G1123" s="3819">
        <v>42374</v>
      </c>
      <c r="H1123" s="3817">
        <v>205</v>
      </c>
      <c r="I1123" s="3817">
        <v>26473</v>
      </c>
    </row>
    <row r="1124" spans="1:9" hidden="1">
      <c r="A1124" s="3819">
        <v>42370</v>
      </c>
      <c r="B1124" s="3817" t="s">
        <v>3444</v>
      </c>
      <c r="C1124" s="3817">
        <v>52</v>
      </c>
      <c r="D1124" s="3817" t="s">
        <v>3530</v>
      </c>
      <c r="E1124" s="3817" t="s">
        <v>3453</v>
      </c>
      <c r="F1124" s="3817">
        <v>195</v>
      </c>
      <c r="G1124" s="3819">
        <v>42370</v>
      </c>
      <c r="H1124" s="3817">
        <v>185</v>
      </c>
      <c r="I1124" s="3817">
        <v>35334</v>
      </c>
    </row>
    <row r="1125" spans="1:9" hidden="1">
      <c r="A1125" s="3819">
        <v>42368</v>
      </c>
      <c r="B1125" s="3817" t="s">
        <v>3444</v>
      </c>
      <c r="C1125" s="3817">
        <v>58</v>
      </c>
      <c r="D1125" s="3817" t="s">
        <v>3533</v>
      </c>
      <c r="E1125" s="3817" t="s">
        <v>3453</v>
      </c>
      <c r="F1125" s="3817">
        <v>188</v>
      </c>
      <c r="G1125" s="3819">
        <v>42369</v>
      </c>
      <c r="H1125" s="3817">
        <v>182</v>
      </c>
      <c r="I1125" s="3817">
        <v>31038</v>
      </c>
    </row>
    <row r="1126" spans="1:9" hidden="1">
      <c r="A1126" s="3819">
        <v>42365</v>
      </c>
      <c r="B1126" s="3817" t="s">
        <v>3444</v>
      </c>
      <c r="C1126" s="3817">
        <v>77</v>
      </c>
      <c r="D1126" s="3817" t="s">
        <v>3499</v>
      </c>
      <c r="E1126" s="3817" t="s">
        <v>3463</v>
      </c>
      <c r="F1126" s="3817">
        <v>240</v>
      </c>
      <c r="G1126" s="3819">
        <v>42366</v>
      </c>
      <c r="H1126" s="3817">
        <v>240</v>
      </c>
      <c r="I1126" s="3817">
        <v>30992</v>
      </c>
    </row>
    <row r="1127" spans="1:9" hidden="1">
      <c r="A1127" s="3819">
        <v>42365</v>
      </c>
      <c r="B1127" s="3817" t="s">
        <v>3444</v>
      </c>
      <c r="C1127" s="3817">
        <v>84</v>
      </c>
      <c r="D1127" s="3817" t="s">
        <v>3494</v>
      </c>
      <c r="E1127" s="3817" t="s">
        <v>3428</v>
      </c>
      <c r="F1127" s="3817">
        <v>240</v>
      </c>
      <c r="G1127" s="3819">
        <v>42366</v>
      </c>
      <c r="H1127" s="3817">
        <v>235</v>
      </c>
      <c r="I1127" s="3817">
        <v>27748</v>
      </c>
    </row>
    <row r="1128" spans="1:9" hidden="1">
      <c r="A1128" s="3819">
        <v>42364</v>
      </c>
      <c r="B1128" s="3817" t="s">
        <v>3449</v>
      </c>
      <c r="C1128" s="3817">
        <v>91</v>
      </c>
      <c r="D1128" s="3817" t="s">
        <v>3499</v>
      </c>
      <c r="E1128" s="3817" t="s">
        <v>3468</v>
      </c>
      <c r="F1128" s="3817">
        <v>290</v>
      </c>
      <c r="G1128" s="3819">
        <v>42364</v>
      </c>
      <c r="H1128" s="3817">
        <v>280</v>
      </c>
      <c r="I1128" s="3817">
        <v>30662</v>
      </c>
    </row>
    <row r="1129" spans="1:9" hidden="1">
      <c r="A1129" s="3819">
        <v>42364</v>
      </c>
      <c r="B1129" s="3817" t="s">
        <v>3444</v>
      </c>
      <c r="C1129" s="3817">
        <v>73</v>
      </c>
      <c r="D1129" s="3817" t="s">
        <v>3518</v>
      </c>
      <c r="E1129" s="3817" t="s">
        <v>3544</v>
      </c>
      <c r="F1129" s="3817">
        <v>242</v>
      </c>
      <c r="G1129" s="3819">
        <v>42364</v>
      </c>
      <c r="H1129" s="3817">
        <v>240</v>
      </c>
      <c r="I1129" s="3817">
        <v>32574</v>
      </c>
    </row>
    <row r="1130" spans="1:9" hidden="1">
      <c r="A1130" s="3819">
        <v>42362</v>
      </c>
      <c r="B1130" s="3817" t="s">
        <v>3471</v>
      </c>
      <c r="C1130" s="3817">
        <v>44</v>
      </c>
      <c r="D1130" s="3817" t="s">
        <v>3491</v>
      </c>
      <c r="E1130" s="3817" t="s">
        <v>3453</v>
      </c>
      <c r="F1130" s="3817">
        <v>154</v>
      </c>
      <c r="G1130" s="3819">
        <v>42363</v>
      </c>
      <c r="H1130" s="3817">
        <v>147</v>
      </c>
      <c r="I1130" s="3817">
        <v>33116</v>
      </c>
    </row>
    <row r="1131" spans="1:9" hidden="1">
      <c r="A1131" s="3819">
        <v>42360</v>
      </c>
      <c r="B1131" s="3817" t="s">
        <v>3444</v>
      </c>
      <c r="C1131" s="3817">
        <v>58</v>
      </c>
      <c r="D1131" s="3817" t="s">
        <v>3533</v>
      </c>
      <c r="E1131" s="3817" t="s">
        <v>3453</v>
      </c>
      <c r="F1131" s="3817">
        <v>183</v>
      </c>
      <c r="G1131" s="3819">
        <v>42360</v>
      </c>
      <c r="H1131" s="3817">
        <v>175</v>
      </c>
      <c r="I1131" s="3817">
        <v>29898</v>
      </c>
    </row>
    <row r="1132" spans="1:9" hidden="1">
      <c r="A1132" s="3819">
        <v>42358</v>
      </c>
      <c r="B1132" s="3817" t="s">
        <v>3471</v>
      </c>
      <c r="C1132" s="3817">
        <v>41</v>
      </c>
      <c r="D1132" s="3817" t="s">
        <v>3533</v>
      </c>
      <c r="E1132" s="3817" t="s">
        <v>3429</v>
      </c>
      <c r="F1132" s="3817">
        <v>146</v>
      </c>
      <c r="G1132" s="3819">
        <v>42358</v>
      </c>
      <c r="H1132" s="3817">
        <v>142</v>
      </c>
      <c r="I1132" s="3817">
        <v>34053</v>
      </c>
    </row>
    <row r="1133" spans="1:9" hidden="1">
      <c r="A1133" s="3819">
        <v>42358</v>
      </c>
      <c r="B1133" s="3817" t="s">
        <v>3444</v>
      </c>
      <c r="C1133" s="3817">
        <v>53</v>
      </c>
      <c r="D1133" s="3817" t="s">
        <v>3490</v>
      </c>
      <c r="E1133" s="3817" t="s">
        <v>3468</v>
      </c>
      <c r="F1133" s="3817">
        <v>180</v>
      </c>
      <c r="G1133" s="3819">
        <v>42359</v>
      </c>
      <c r="H1133" s="3817">
        <v>175</v>
      </c>
      <c r="I1133" s="3817">
        <v>32519</v>
      </c>
    </row>
    <row r="1134" spans="1:9" hidden="1">
      <c r="A1134" s="3819">
        <v>42358</v>
      </c>
      <c r="B1134" s="3817" t="s">
        <v>3449</v>
      </c>
      <c r="C1134" s="3817">
        <v>67</v>
      </c>
      <c r="D1134" s="3817" t="s">
        <v>3497</v>
      </c>
      <c r="E1134" s="3817" t="s">
        <v>3453</v>
      </c>
      <c r="F1134" s="3817">
        <v>245</v>
      </c>
      <c r="G1134" s="3819">
        <v>42359</v>
      </c>
      <c r="H1134" s="3817">
        <v>232</v>
      </c>
      <c r="I1134" s="3817">
        <v>34529</v>
      </c>
    </row>
    <row r="1135" spans="1:9" hidden="1">
      <c r="A1135" s="3819">
        <v>42357</v>
      </c>
      <c r="B1135" s="3817" t="s">
        <v>3444</v>
      </c>
      <c r="C1135" s="3817">
        <v>73</v>
      </c>
      <c r="D1135" s="3817" t="s">
        <v>3496</v>
      </c>
      <c r="E1135" s="3817" t="s">
        <v>3544</v>
      </c>
      <c r="F1135" s="3817">
        <v>240</v>
      </c>
      <c r="G1135" s="3819">
        <v>42357</v>
      </c>
      <c r="H1135" s="3817">
        <v>229</v>
      </c>
      <c r="I1135" s="3817">
        <v>31102</v>
      </c>
    </row>
    <row r="1136" spans="1:9" hidden="1">
      <c r="A1136" s="3819">
        <v>42353</v>
      </c>
      <c r="B1136" s="3817" t="s">
        <v>3444</v>
      </c>
      <c r="C1136" s="3817">
        <v>64</v>
      </c>
      <c r="D1136" s="3817" t="s">
        <v>3518</v>
      </c>
      <c r="E1136" s="3817" t="s">
        <v>3429</v>
      </c>
      <c r="F1136" s="3817">
        <v>235</v>
      </c>
      <c r="G1136" s="3819">
        <v>42354</v>
      </c>
      <c r="H1136" s="3817">
        <v>233</v>
      </c>
      <c r="I1136" s="3817">
        <v>35952</v>
      </c>
    </row>
    <row r="1137" spans="1:9" hidden="1">
      <c r="A1137" s="3819">
        <v>42351</v>
      </c>
      <c r="B1137" s="3817" t="s">
        <v>3449</v>
      </c>
      <c r="C1137" s="3817">
        <v>77</v>
      </c>
      <c r="D1137" s="3817" t="s">
        <v>3491</v>
      </c>
      <c r="E1137" s="3817" t="s">
        <v>3453</v>
      </c>
      <c r="F1137" s="3817">
        <v>268</v>
      </c>
      <c r="G1137" s="3819">
        <v>42351</v>
      </c>
      <c r="H1137" s="3817">
        <v>262</v>
      </c>
      <c r="I1137" s="3817">
        <v>34026</v>
      </c>
    </row>
    <row r="1138" spans="1:9" hidden="1">
      <c r="A1138" s="3819">
        <v>42348</v>
      </c>
      <c r="B1138" s="3817" t="s">
        <v>3444</v>
      </c>
      <c r="C1138" s="3817">
        <v>57</v>
      </c>
      <c r="D1138" s="3817" t="s">
        <v>3497</v>
      </c>
      <c r="E1138" s="3817" t="s">
        <v>3453</v>
      </c>
      <c r="F1138" s="3817">
        <v>205</v>
      </c>
      <c r="G1138" s="3819">
        <v>42349</v>
      </c>
      <c r="H1138" s="3817">
        <v>200</v>
      </c>
      <c r="I1138" s="3817">
        <v>34844</v>
      </c>
    </row>
    <row r="1139" spans="1:9" hidden="1">
      <c r="A1139" s="3819">
        <v>42346</v>
      </c>
      <c r="B1139" s="3817" t="s">
        <v>3444</v>
      </c>
      <c r="C1139" s="3817">
        <v>54</v>
      </c>
      <c r="D1139" s="3817" t="s">
        <v>3533</v>
      </c>
      <c r="E1139" s="3817" t="s">
        <v>3453</v>
      </c>
      <c r="F1139" s="3817">
        <v>191</v>
      </c>
      <c r="G1139" s="3819">
        <v>42347</v>
      </c>
      <c r="H1139" s="3817">
        <v>189</v>
      </c>
      <c r="I1139" s="3817">
        <v>34452</v>
      </c>
    </row>
    <row r="1140" spans="1:9" hidden="1">
      <c r="A1140" s="3819">
        <v>42338</v>
      </c>
      <c r="B1140" s="3817" t="s">
        <v>3444</v>
      </c>
      <c r="C1140" s="3817">
        <v>54</v>
      </c>
      <c r="D1140" s="3817" t="s">
        <v>3491</v>
      </c>
      <c r="E1140" s="3817" t="s">
        <v>3453</v>
      </c>
      <c r="F1140" s="3817">
        <v>175</v>
      </c>
      <c r="G1140" s="3819">
        <v>42338</v>
      </c>
      <c r="H1140" s="3817">
        <v>170</v>
      </c>
      <c r="I1140" s="3817">
        <v>31079</v>
      </c>
    </row>
    <row r="1141" spans="1:9" hidden="1">
      <c r="A1141" s="3819">
        <v>42330</v>
      </c>
      <c r="B1141" s="3817" t="s">
        <v>3444</v>
      </c>
      <c r="C1141" s="3817">
        <v>52</v>
      </c>
      <c r="D1141" s="3817" t="s">
        <v>3530</v>
      </c>
      <c r="E1141" s="3817" t="s">
        <v>3453</v>
      </c>
      <c r="F1141" s="3817">
        <v>185</v>
      </c>
      <c r="G1141" s="3819">
        <v>42331</v>
      </c>
      <c r="H1141" s="3817">
        <v>180</v>
      </c>
      <c r="I1141" s="3817">
        <v>34286</v>
      </c>
    </row>
    <row r="1142" spans="1:9" hidden="1">
      <c r="A1142" s="3819">
        <v>42325</v>
      </c>
      <c r="B1142" s="3817" t="s">
        <v>3449</v>
      </c>
      <c r="C1142" s="3817">
        <v>66</v>
      </c>
      <c r="D1142" s="3817" t="s">
        <v>3490</v>
      </c>
      <c r="E1142" s="3817" t="s">
        <v>3545</v>
      </c>
      <c r="F1142" s="3817">
        <v>198</v>
      </c>
      <c r="G1142" s="3819">
        <v>42326</v>
      </c>
      <c r="H1142" s="3817">
        <v>190</v>
      </c>
      <c r="I1142" s="3817">
        <v>28771</v>
      </c>
    </row>
    <row r="1143" spans="1:9" hidden="1">
      <c r="A1143" s="3819">
        <v>42323</v>
      </c>
      <c r="B1143" s="3817" t="s">
        <v>3444</v>
      </c>
      <c r="C1143" s="3817">
        <v>50</v>
      </c>
      <c r="D1143" s="3817" t="s">
        <v>3491</v>
      </c>
      <c r="E1143" s="3817" t="s">
        <v>3460</v>
      </c>
      <c r="F1143" s="3817">
        <v>172</v>
      </c>
      <c r="G1143" s="3819">
        <v>42324</v>
      </c>
      <c r="H1143" s="3817">
        <v>170</v>
      </c>
      <c r="I1143" s="3817">
        <v>33465</v>
      </c>
    </row>
    <row r="1144" spans="1:9" hidden="1">
      <c r="A1144" s="3819">
        <v>42322</v>
      </c>
      <c r="B1144" s="3817" t="s">
        <v>3444</v>
      </c>
      <c r="C1144" s="3817">
        <v>71</v>
      </c>
      <c r="D1144" s="3817" t="s">
        <v>3494</v>
      </c>
      <c r="E1144" s="3817" t="s">
        <v>3453</v>
      </c>
      <c r="F1144" s="3817">
        <v>232</v>
      </c>
      <c r="G1144" s="3819">
        <v>42323</v>
      </c>
      <c r="H1144" s="3817">
        <v>232</v>
      </c>
      <c r="I1144" s="3817">
        <v>32462</v>
      </c>
    </row>
    <row r="1145" spans="1:9" hidden="1">
      <c r="A1145" s="3819">
        <v>42309</v>
      </c>
      <c r="B1145" s="3817" t="s">
        <v>3444</v>
      </c>
      <c r="C1145" s="3817">
        <v>57</v>
      </c>
      <c r="D1145" s="3817" t="s">
        <v>3533</v>
      </c>
      <c r="E1145" s="3817" t="s">
        <v>3453</v>
      </c>
      <c r="F1145" s="3817">
        <v>179</v>
      </c>
      <c r="G1145" s="3819">
        <v>42309</v>
      </c>
      <c r="H1145" s="3817">
        <v>173</v>
      </c>
      <c r="I1145" s="3817">
        <v>30245</v>
      </c>
    </row>
    <row r="1146" spans="1:9" hidden="1">
      <c r="A1146" s="3819">
        <v>42308</v>
      </c>
      <c r="B1146" s="3817" t="s">
        <v>3444</v>
      </c>
      <c r="C1146" s="3817">
        <v>61</v>
      </c>
      <c r="D1146" s="3817" t="s">
        <v>3518</v>
      </c>
      <c r="E1146" s="3817" t="s">
        <v>3464</v>
      </c>
      <c r="F1146" s="3817">
        <v>235</v>
      </c>
      <c r="G1146" s="3819">
        <v>42309</v>
      </c>
      <c r="H1146" s="3817">
        <v>236</v>
      </c>
      <c r="I1146" s="3817">
        <v>38250</v>
      </c>
    </row>
    <row r="1147" spans="1:9" hidden="1">
      <c r="A1147" s="3819">
        <v>42298</v>
      </c>
      <c r="B1147" s="3817" t="s">
        <v>3444</v>
      </c>
      <c r="C1147" s="3817">
        <v>57</v>
      </c>
      <c r="D1147" s="3817" t="s">
        <v>3533</v>
      </c>
      <c r="E1147" s="3817" t="s">
        <v>3453</v>
      </c>
      <c r="F1147" s="3817">
        <v>185</v>
      </c>
      <c r="G1147" s="3819">
        <v>42299</v>
      </c>
      <c r="H1147" s="3817">
        <v>175</v>
      </c>
      <c r="I1147" s="3817">
        <v>30595</v>
      </c>
    </row>
    <row r="1148" spans="1:9" hidden="1">
      <c r="A1148" s="3819">
        <v>42291</v>
      </c>
      <c r="B1148" s="3817" t="s">
        <v>3444</v>
      </c>
      <c r="C1148" s="3817">
        <v>54</v>
      </c>
      <c r="D1148" s="3817" t="s">
        <v>3490</v>
      </c>
      <c r="E1148" s="3817" t="s">
        <v>3453</v>
      </c>
      <c r="F1148" s="3817">
        <v>193</v>
      </c>
      <c r="G1148" s="3819">
        <v>42292</v>
      </c>
      <c r="H1148" s="3817">
        <v>186</v>
      </c>
      <c r="I1148" s="3817">
        <v>34375</v>
      </c>
    </row>
    <row r="1149" spans="1:9" hidden="1">
      <c r="A1149" s="3819">
        <v>42283</v>
      </c>
      <c r="B1149" s="3817" t="s">
        <v>3444</v>
      </c>
      <c r="C1149" s="3817">
        <v>55</v>
      </c>
      <c r="D1149" s="3817" t="s">
        <v>3490</v>
      </c>
      <c r="E1149" s="3817" t="s">
        <v>3453</v>
      </c>
      <c r="F1149" s="3817">
        <v>200</v>
      </c>
      <c r="G1149" s="3819">
        <v>42284</v>
      </c>
      <c r="H1149" s="3817">
        <v>193</v>
      </c>
      <c r="I1149" s="3817">
        <v>34990</v>
      </c>
    </row>
    <row r="1150" spans="1:9" hidden="1">
      <c r="A1150" s="3819">
        <v>42283</v>
      </c>
      <c r="B1150" s="3817" t="s">
        <v>3444</v>
      </c>
      <c r="C1150" s="3817">
        <v>64</v>
      </c>
      <c r="D1150" s="3817" t="s">
        <v>3495</v>
      </c>
      <c r="E1150" s="3817" t="s">
        <v>3429</v>
      </c>
      <c r="F1150" s="3817">
        <v>225</v>
      </c>
      <c r="G1150" s="3819">
        <v>42283</v>
      </c>
      <c r="H1150" s="3817">
        <v>221</v>
      </c>
      <c r="I1150" s="3817">
        <v>34146</v>
      </c>
    </row>
    <row r="1151" spans="1:9" hidden="1">
      <c r="A1151" s="3819">
        <v>42282</v>
      </c>
      <c r="B1151" s="3817" t="s">
        <v>3444</v>
      </c>
      <c r="C1151" s="3817">
        <v>62</v>
      </c>
      <c r="D1151" s="3817" t="s">
        <v>3495</v>
      </c>
      <c r="E1151" s="3817" t="s">
        <v>3469</v>
      </c>
      <c r="F1151" s="3817">
        <v>217</v>
      </c>
      <c r="G1151" s="3819">
        <v>42283</v>
      </c>
      <c r="H1151" s="3817">
        <v>213</v>
      </c>
      <c r="I1151" s="3817">
        <v>33999</v>
      </c>
    </row>
    <row r="1152" spans="1:9" hidden="1">
      <c r="A1152" s="3819">
        <v>42273</v>
      </c>
      <c r="B1152" s="3817" t="s">
        <v>3444</v>
      </c>
      <c r="C1152" s="3817">
        <v>77</v>
      </c>
      <c r="D1152" s="3817" t="s">
        <v>3532</v>
      </c>
      <c r="E1152" s="3817" t="s">
        <v>3442</v>
      </c>
      <c r="F1152" s="3817">
        <v>215</v>
      </c>
      <c r="G1152" s="3819">
        <v>42273</v>
      </c>
      <c r="H1152" s="3817">
        <v>208</v>
      </c>
      <c r="I1152" s="3817">
        <v>26860</v>
      </c>
    </row>
    <row r="1153" spans="1:9" hidden="1">
      <c r="A1153" s="3819">
        <v>42273</v>
      </c>
      <c r="B1153" s="3817" t="s">
        <v>3444</v>
      </c>
      <c r="C1153" s="3817">
        <v>58</v>
      </c>
      <c r="D1153" s="3817" t="s">
        <v>3533</v>
      </c>
      <c r="E1153" s="3817" t="s">
        <v>3453</v>
      </c>
      <c r="F1153" s="3817">
        <v>178</v>
      </c>
      <c r="G1153" s="3819">
        <v>42274</v>
      </c>
      <c r="H1153" s="3817">
        <v>172</v>
      </c>
      <c r="I1153" s="3817">
        <v>29387</v>
      </c>
    </row>
    <row r="1154" spans="1:9" hidden="1">
      <c r="A1154" s="3819">
        <v>42261</v>
      </c>
      <c r="B1154" s="3817" t="s">
        <v>3444</v>
      </c>
      <c r="C1154" s="3817">
        <v>57</v>
      </c>
      <c r="D1154" s="3817" t="s">
        <v>3497</v>
      </c>
      <c r="E1154" s="3817" t="s">
        <v>3453</v>
      </c>
      <c r="F1154" s="3817">
        <v>205</v>
      </c>
      <c r="G1154" s="3819">
        <v>42261</v>
      </c>
      <c r="H1154" s="3817">
        <v>200</v>
      </c>
      <c r="I1154" s="3817">
        <v>34966</v>
      </c>
    </row>
    <row r="1155" spans="1:9" hidden="1">
      <c r="A1155" s="3819">
        <v>42256</v>
      </c>
      <c r="B1155" s="3817" t="s">
        <v>3444</v>
      </c>
      <c r="C1155" s="3817">
        <v>69</v>
      </c>
      <c r="D1155" s="3817" t="s">
        <v>3491</v>
      </c>
      <c r="E1155" s="3817" t="s">
        <v>3453</v>
      </c>
      <c r="F1155" s="3817">
        <v>240</v>
      </c>
      <c r="G1155" s="3819">
        <v>42257</v>
      </c>
      <c r="H1155" s="3817">
        <v>238</v>
      </c>
      <c r="I1155" s="3817">
        <v>34488</v>
      </c>
    </row>
    <row r="1156" spans="1:9" hidden="1">
      <c r="A1156" s="3819">
        <v>42249</v>
      </c>
      <c r="B1156" s="3817" t="s">
        <v>3444</v>
      </c>
      <c r="C1156" s="3817">
        <v>52</v>
      </c>
      <c r="D1156" s="3817" t="s">
        <v>3530</v>
      </c>
      <c r="E1156" s="3817" t="s">
        <v>3453</v>
      </c>
      <c r="F1156" s="3817">
        <v>200</v>
      </c>
      <c r="G1156" s="3819">
        <v>42249</v>
      </c>
      <c r="H1156" s="3817">
        <v>194</v>
      </c>
      <c r="I1156" s="3817">
        <v>36953</v>
      </c>
    </row>
    <row r="1157" spans="1:9">
      <c r="A1157" s="3819">
        <v>42247</v>
      </c>
      <c r="B1157" s="3817" t="s">
        <v>3444</v>
      </c>
      <c r="C1157" s="3817">
        <v>73</v>
      </c>
      <c r="D1157" s="3817" t="s">
        <v>3495</v>
      </c>
      <c r="E1157" s="3817" t="s">
        <v>3485</v>
      </c>
      <c r="F1157" s="3817">
        <v>230</v>
      </c>
      <c r="G1157" s="3819">
        <v>42247</v>
      </c>
      <c r="H1157" s="3817">
        <v>229</v>
      </c>
      <c r="I1157" s="3817">
        <v>31102</v>
      </c>
    </row>
    <row r="1158" spans="1:9" s="3823" customFormat="1">
      <c r="A1158" s="3821">
        <v>42234</v>
      </c>
      <c r="B1158" s="3822" t="s">
        <v>3444</v>
      </c>
      <c r="C1158" s="3822">
        <v>57</v>
      </c>
      <c r="D1158" s="3822" t="s">
        <v>3490</v>
      </c>
      <c r="E1158" s="3822" t="s">
        <v>3453</v>
      </c>
      <c r="F1158" s="3822">
        <v>198</v>
      </c>
      <c r="G1158" s="3821">
        <v>42234</v>
      </c>
      <c r="H1158" s="3822">
        <v>194</v>
      </c>
      <c r="I1158" s="3822">
        <v>33917</v>
      </c>
    </row>
    <row r="1159" spans="1:9" s="3823" customFormat="1">
      <c r="A1159" s="3821">
        <v>42232</v>
      </c>
      <c r="B1159" s="3822" t="s">
        <v>3444</v>
      </c>
      <c r="C1159" s="3822">
        <v>54</v>
      </c>
      <c r="D1159" s="3822" t="s">
        <v>3490</v>
      </c>
      <c r="E1159" s="3822" t="s">
        <v>3453</v>
      </c>
      <c r="F1159" s="3822">
        <v>195</v>
      </c>
      <c r="G1159" s="3821">
        <v>42232</v>
      </c>
      <c r="H1159" s="3822">
        <v>189</v>
      </c>
      <c r="I1159" s="3822">
        <v>34598</v>
      </c>
    </row>
    <row r="1160" spans="1:9">
      <c r="A1160" s="3819">
        <v>42232</v>
      </c>
      <c r="B1160" s="3817" t="s">
        <v>3444</v>
      </c>
      <c r="C1160" s="3817">
        <v>62</v>
      </c>
      <c r="D1160" s="3817" t="s">
        <v>3496</v>
      </c>
      <c r="E1160" s="3817" t="s">
        <v>3466</v>
      </c>
      <c r="F1160" s="3817">
        <v>240</v>
      </c>
      <c r="G1160" s="3819">
        <v>42233</v>
      </c>
      <c r="H1160" s="3817">
        <v>235</v>
      </c>
      <c r="I1160" s="3817">
        <v>37867</v>
      </c>
    </row>
    <row r="1161" spans="1:9">
      <c r="A1161" s="3819">
        <v>42231</v>
      </c>
      <c r="B1161" s="3817" t="s">
        <v>3444</v>
      </c>
      <c r="C1161" s="3817">
        <v>62</v>
      </c>
      <c r="D1161" s="3817" t="s">
        <v>3496</v>
      </c>
      <c r="E1161" s="3817" t="s">
        <v>3464</v>
      </c>
      <c r="F1161" s="3817">
        <v>210</v>
      </c>
      <c r="G1161" s="3819">
        <v>42232</v>
      </c>
      <c r="H1161" s="3817">
        <v>198</v>
      </c>
      <c r="I1161" s="3817">
        <v>31605</v>
      </c>
    </row>
    <row r="1162" spans="1:9">
      <c r="A1162" s="3819">
        <v>42225</v>
      </c>
      <c r="B1162" s="3817" t="s">
        <v>3444</v>
      </c>
      <c r="C1162" s="3817">
        <v>62</v>
      </c>
      <c r="D1162" s="3817" t="s">
        <v>3518</v>
      </c>
      <c r="E1162" s="3817" t="s">
        <v>3469</v>
      </c>
      <c r="F1162" s="3817">
        <v>230</v>
      </c>
      <c r="G1162" s="3819">
        <v>42225</v>
      </c>
      <c r="H1162" s="3817">
        <v>230</v>
      </c>
      <c r="I1162" s="3817">
        <v>37061</v>
      </c>
    </row>
    <row r="1163" spans="1:9" s="3823" customFormat="1">
      <c r="A1163" s="3821">
        <v>42224</v>
      </c>
      <c r="B1163" s="3822" t="s">
        <v>3449</v>
      </c>
      <c r="C1163" s="3822">
        <v>69</v>
      </c>
      <c r="D1163" s="3822" t="s">
        <v>3491</v>
      </c>
      <c r="E1163" s="3822" t="s">
        <v>3453</v>
      </c>
      <c r="F1163" s="3822">
        <v>257</v>
      </c>
      <c r="G1163" s="3821">
        <v>42224</v>
      </c>
      <c r="H1163" s="3822">
        <v>249</v>
      </c>
      <c r="I1163" s="3822">
        <v>36180</v>
      </c>
    </row>
    <row r="1164" spans="1:9">
      <c r="A1164" s="3819">
        <v>42224</v>
      </c>
      <c r="B1164" s="3817" t="s">
        <v>3471</v>
      </c>
      <c r="C1164" s="3817">
        <v>47</v>
      </c>
      <c r="D1164" s="3817" t="s">
        <v>3533</v>
      </c>
      <c r="E1164" s="3817" t="s">
        <v>3453</v>
      </c>
      <c r="F1164" s="3817">
        <v>145</v>
      </c>
      <c r="G1164" s="3819">
        <v>42225</v>
      </c>
      <c r="H1164" s="3817">
        <v>143</v>
      </c>
      <c r="I1164" s="3817">
        <v>30364</v>
      </c>
    </row>
    <row r="1165" spans="1:9">
      <c r="A1165" s="3819">
        <v>42221</v>
      </c>
      <c r="B1165" s="3817" t="s">
        <v>3444</v>
      </c>
      <c r="C1165" s="3817">
        <v>77</v>
      </c>
      <c r="D1165" s="3817" t="s">
        <v>3494</v>
      </c>
      <c r="E1165" s="3817" t="s">
        <v>3442</v>
      </c>
      <c r="F1165" s="3817">
        <v>240</v>
      </c>
      <c r="G1165" s="3819">
        <v>42222</v>
      </c>
      <c r="H1165" s="3817">
        <v>180</v>
      </c>
      <c r="I1165" s="3817">
        <v>23244</v>
      </c>
    </row>
    <row r="1166" spans="1:9">
      <c r="A1166" s="3819">
        <v>42216</v>
      </c>
      <c r="B1166" s="3817" t="s">
        <v>3444</v>
      </c>
      <c r="C1166" s="3817">
        <v>58</v>
      </c>
      <c r="D1166" s="3817" t="s">
        <v>3533</v>
      </c>
      <c r="E1166" s="3817" t="s">
        <v>3453</v>
      </c>
      <c r="F1166" s="3817">
        <v>172</v>
      </c>
      <c r="G1166" s="3819">
        <v>42216</v>
      </c>
      <c r="H1166" s="3817">
        <v>168</v>
      </c>
      <c r="I1166" s="3817">
        <v>28621</v>
      </c>
    </row>
    <row r="1167" spans="1:9">
      <c r="A1167" s="3819">
        <v>42211</v>
      </c>
      <c r="B1167" s="3817" t="s">
        <v>3444</v>
      </c>
      <c r="C1167" s="3817">
        <v>62</v>
      </c>
      <c r="D1167" s="3817" t="s">
        <v>3495</v>
      </c>
      <c r="E1167" s="3817" t="s">
        <v>3464</v>
      </c>
      <c r="F1167" s="3817">
        <v>236</v>
      </c>
      <c r="G1167" s="3819">
        <v>42211</v>
      </c>
      <c r="H1167" s="3817">
        <v>230</v>
      </c>
      <c r="I1167" s="3817">
        <v>37061</v>
      </c>
    </row>
    <row r="1168" spans="1:9">
      <c r="A1168" s="3819">
        <v>42204</v>
      </c>
      <c r="B1168" s="3817" t="s">
        <v>3444</v>
      </c>
      <c r="C1168" s="3817">
        <v>54</v>
      </c>
      <c r="D1168" s="3817" t="s">
        <v>3490</v>
      </c>
      <c r="E1168" s="3817" t="s">
        <v>3453</v>
      </c>
      <c r="F1168" s="3817">
        <v>195</v>
      </c>
      <c r="G1168" s="3819">
        <v>42205</v>
      </c>
      <c r="H1168" s="3817">
        <v>185</v>
      </c>
      <c r="I1168" s="3817">
        <v>33933</v>
      </c>
    </row>
    <row r="1169" spans="1:9">
      <c r="A1169" s="3819">
        <v>42199</v>
      </c>
      <c r="B1169" s="3817" t="s">
        <v>3444</v>
      </c>
      <c r="C1169" s="3817">
        <v>63</v>
      </c>
      <c r="D1169" s="3817" t="s">
        <v>3533</v>
      </c>
      <c r="E1169" s="3817" t="s">
        <v>3457</v>
      </c>
      <c r="F1169" s="3817">
        <v>193</v>
      </c>
      <c r="G1169" s="3819">
        <v>42200</v>
      </c>
      <c r="H1169" s="3817">
        <v>188</v>
      </c>
      <c r="I1169" s="3817">
        <v>29832</v>
      </c>
    </row>
    <row r="1170" spans="1:9">
      <c r="A1170" s="3819">
        <v>42185</v>
      </c>
      <c r="B1170" s="3817" t="s">
        <v>3444</v>
      </c>
      <c r="C1170" s="3817">
        <v>62</v>
      </c>
      <c r="D1170" s="3817" t="s">
        <v>3518</v>
      </c>
      <c r="E1170" s="3817" t="s">
        <v>3464</v>
      </c>
      <c r="F1170" s="3817">
        <v>223</v>
      </c>
      <c r="G1170" s="3819">
        <v>42185</v>
      </c>
      <c r="H1170" s="3817">
        <v>215</v>
      </c>
      <c r="I1170" s="3817">
        <v>34644</v>
      </c>
    </row>
    <row r="1171" spans="1:9">
      <c r="A1171" s="3819">
        <v>42169</v>
      </c>
      <c r="B1171" s="3817" t="s">
        <v>3444</v>
      </c>
      <c r="C1171" s="3817">
        <v>69</v>
      </c>
      <c r="D1171" s="3817" t="s">
        <v>3533</v>
      </c>
      <c r="E1171" s="3817" t="s">
        <v>3453</v>
      </c>
      <c r="F1171" s="3817">
        <v>220</v>
      </c>
      <c r="G1171" s="3819">
        <v>42169</v>
      </c>
      <c r="H1171" s="3817">
        <v>210</v>
      </c>
      <c r="I1171" s="3817">
        <v>30431</v>
      </c>
    </row>
    <row r="1172" spans="1:9">
      <c r="A1172" s="3819">
        <v>42162</v>
      </c>
      <c r="B1172" s="3817" t="s">
        <v>3444</v>
      </c>
      <c r="C1172" s="3817">
        <v>54</v>
      </c>
      <c r="D1172" s="3817" t="s">
        <v>3491</v>
      </c>
      <c r="E1172" s="3817" t="s">
        <v>3453</v>
      </c>
      <c r="F1172" s="3817">
        <v>199</v>
      </c>
      <c r="G1172" s="3819">
        <v>42163</v>
      </c>
      <c r="H1172" s="3817">
        <v>194</v>
      </c>
      <c r="I1172" s="3817">
        <v>35946</v>
      </c>
    </row>
    <row r="1173" spans="1:9">
      <c r="A1173" s="3819">
        <v>42141</v>
      </c>
      <c r="B1173" s="3817" t="s">
        <v>3444</v>
      </c>
      <c r="C1173" s="3817">
        <v>52</v>
      </c>
      <c r="D1173" s="3817" t="s">
        <v>3530</v>
      </c>
      <c r="E1173" s="3817" t="s">
        <v>3453</v>
      </c>
      <c r="F1173" s="3817">
        <v>180</v>
      </c>
      <c r="G1173" s="3819">
        <v>42142</v>
      </c>
      <c r="H1173" s="3817">
        <v>179</v>
      </c>
      <c r="I1173" s="3817">
        <v>34096</v>
      </c>
    </row>
    <row r="1174" spans="1:9">
      <c r="A1174" s="3819">
        <v>42139</v>
      </c>
      <c r="B1174" s="3817" t="s">
        <v>3444</v>
      </c>
      <c r="C1174" s="3817">
        <v>55</v>
      </c>
      <c r="D1174" s="3817" t="s">
        <v>3491</v>
      </c>
      <c r="E1174" s="3817" t="s">
        <v>3457</v>
      </c>
      <c r="F1174" s="3817">
        <v>180</v>
      </c>
      <c r="G1174" s="3819">
        <v>42140</v>
      </c>
      <c r="H1174" s="3817">
        <v>176</v>
      </c>
      <c r="I1174" s="3817">
        <v>31854</v>
      </c>
    </row>
    <row r="1175" spans="1:9">
      <c r="A1175" s="3819">
        <v>42134</v>
      </c>
      <c r="B1175" s="3817" t="s">
        <v>3444</v>
      </c>
      <c r="C1175" s="3817">
        <v>53</v>
      </c>
      <c r="D1175" s="3817" t="s">
        <v>3491</v>
      </c>
      <c r="E1175" s="3817" t="s">
        <v>3429</v>
      </c>
      <c r="F1175" s="3817">
        <v>190</v>
      </c>
      <c r="G1175" s="3819">
        <v>42135</v>
      </c>
      <c r="H1175" s="3817">
        <v>185</v>
      </c>
      <c r="I1175" s="3817">
        <v>34371</v>
      </c>
    </row>
    <row r="1176" spans="1:9">
      <c r="A1176" s="3819">
        <v>42126</v>
      </c>
      <c r="B1176" s="3817" t="s">
        <v>3444</v>
      </c>
      <c r="C1176" s="3817">
        <v>58</v>
      </c>
      <c r="D1176" s="3817" t="s">
        <v>3533</v>
      </c>
      <c r="E1176" s="3817" t="s">
        <v>3453</v>
      </c>
      <c r="F1176" s="3817">
        <v>180</v>
      </c>
      <c r="G1176" s="3819">
        <v>42126</v>
      </c>
      <c r="H1176" s="3817">
        <v>165</v>
      </c>
      <c r="I1176" s="3817">
        <v>28147</v>
      </c>
    </row>
    <row r="1177" spans="1:9">
      <c r="A1177" s="3819">
        <v>42124</v>
      </c>
      <c r="B1177" s="3817" t="s">
        <v>3444</v>
      </c>
      <c r="C1177" s="3817">
        <v>61</v>
      </c>
      <c r="D1177" s="3817" t="s">
        <v>3496</v>
      </c>
      <c r="E1177" s="3817" t="s">
        <v>3469</v>
      </c>
      <c r="F1177" s="3817">
        <v>217</v>
      </c>
      <c r="G1177" s="3819">
        <v>42124</v>
      </c>
      <c r="H1177" s="3817">
        <v>215</v>
      </c>
      <c r="I1177" s="3817">
        <v>34847</v>
      </c>
    </row>
    <row r="1178" spans="1:9">
      <c r="A1178" s="3819">
        <v>42118</v>
      </c>
      <c r="B1178" s="3817" t="s">
        <v>3444</v>
      </c>
      <c r="C1178" s="3817">
        <v>54</v>
      </c>
      <c r="D1178" s="3817" t="s">
        <v>3533</v>
      </c>
      <c r="E1178" s="3817" t="s">
        <v>3429</v>
      </c>
      <c r="F1178" s="3817">
        <v>166</v>
      </c>
      <c r="G1178" s="3819">
        <v>42119</v>
      </c>
      <c r="H1178" s="3817">
        <v>160</v>
      </c>
      <c r="I1178" s="3817">
        <v>29548</v>
      </c>
    </row>
    <row r="1179" spans="1:9">
      <c r="A1179" s="3819">
        <v>42114</v>
      </c>
      <c r="B1179" s="3817" t="s">
        <v>3444</v>
      </c>
      <c r="C1179" s="3817">
        <v>73</v>
      </c>
      <c r="D1179" s="3817" t="s">
        <v>3495</v>
      </c>
      <c r="E1179" s="3817" t="s">
        <v>3498</v>
      </c>
      <c r="F1179" s="3817">
        <v>230</v>
      </c>
      <c r="G1179" s="3819">
        <v>42115</v>
      </c>
      <c r="H1179" s="3817">
        <v>228</v>
      </c>
      <c r="I1179" s="3817">
        <v>30966</v>
      </c>
    </row>
    <row r="1180" spans="1:9">
      <c r="A1180" s="3819">
        <v>42113</v>
      </c>
      <c r="B1180" s="3817" t="s">
        <v>3444</v>
      </c>
      <c r="C1180" s="3817">
        <v>67</v>
      </c>
      <c r="D1180" s="3817" t="s">
        <v>3533</v>
      </c>
      <c r="E1180" s="3817" t="s">
        <v>3453</v>
      </c>
      <c r="F1180" s="3817">
        <v>228</v>
      </c>
      <c r="G1180" s="3819">
        <v>42114</v>
      </c>
      <c r="H1180" s="3817">
        <v>219</v>
      </c>
      <c r="I1180" s="3817">
        <v>32308</v>
      </c>
    </row>
    <row r="1181" spans="1:9">
      <c r="A1181" s="3819">
        <v>42107</v>
      </c>
      <c r="B1181" s="3817" t="s">
        <v>3444</v>
      </c>
      <c r="C1181" s="3817">
        <v>64</v>
      </c>
      <c r="D1181" s="3817" t="s">
        <v>3496</v>
      </c>
      <c r="E1181" s="3817" t="s">
        <v>3429</v>
      </c>
      <c r="F1181" s="3817">
        <v>230</v>
      </c>
      <c r="G1181" s="3819">
        <v>42107</v>
      </c>
      <c r="H1181" s="3817">
        <v>230</v>
      </c>
      <c r="I1181" s="3817">
        <v>35566</v>
      </c>
    </row>
    <row r="1182" spans="1:9">
      <c r="A1182" s="3819">
        <v>42100</v>
      </c>
      <c r="B1182" s="3817" t="s">
        <v>3471</v>
      </c>
      <c r="C1182" s="3817">
        <v>41</v>
      </c>
      <c r="D1182" s="3817" t="s">
        <v>3491</v>
      </c>
      <c r="E1182" s="3817" t="s">
        <v>3429</v>
      </c>
      <c r="F1182" s="3817">
        <v>160</v>
      </c>
      <c r="G1182" s="3819">
        <v>42100</v>
      </c>
      <c r="H1182" s="3817">
        <v>157</v>
      </c>
      <c r="I1182" s="3817">
        <v>37650</v>
      </c>
    </row>
    <row r="1183" spans="1:9">
      <c r="A1183" s="3819">
        <v>42074</v>
      </c>
      <c r="B1183" s="3817" t="s">
        <v>3444</v>
      </c>
      <c r="C1183" s="3817">
        <v>58</v>
      </c>
      <c r="D1183" s="3817" t="s">
        <v>3533</v>
      </c>
      <c r="E1183" s="3817" t="s">
        <v>3453</v>
      </c>
      <c r="F1183" s="3817">
        <v>175</v>
      </c>
      <c r="G1183" s="3819">
        <v>42075</v>
      </c>
      <c r="H1183" s="3817">
        <v>165</v>
      </c>
      <c r="I1183" s="3817">
        <v>28195</v>
      </c>
    </row>
    <row r="1184" spans="1:9">
      <c r="A1184" s="3819">
        <v>42071</v>
      </c>
      <c r="B1184" s="3817" t="s">
        <v>3444</v>
      </c>
      <c r="C1184" s="3817">
        <v>61</v>
      </c>
      <c r="D1184" s="3817" t="s">
        <v>3497</v>
      </c>
      <c r="E1184" s="3817" t="s">
        <v>3457</v>
      </c>
      <c r="F1184" s="3817">
        <v>195</v>
      </c>
      <c r="G1184" s="3819">
        <v>42072</v>
      </c>
      <c r="H1184" s="3817">
        <v>185</v>
      </c>
      <c r="I1184" s="3817">
        <v>29936</v>
      </c>
    </row>
    <row r="1185" spans="1:9">
      <c r="A1185" s="3819">
        <v>42071</v>
      </c>
      <c r="B1185" s="3817" t="s">
        <v>3444</v>
      </c>
      <c r="C1185" s="3817">
        <v>54</v>
      </c>
      <c r="D1185" s="3817" t="s">
        <v>3491</v>
      </c>
      <c r="E1185" s="3817" t="s">
        <v>3429</v>
      </c>
      <c r="F1185" s="3817">
        <v>188</v>
      </c>
      <c r="G1185" s="3819">
        <v>42072</v>
      </c>
      <c r="H1185" s="3817">
        <v>187</v>
      </c>
      <c r="I1185" s="3817">
        <v>34187</v>
      </c>
    </row>
    <row r="1186" spans="1:9">
      <c r="A1186" s="3819">
        <v>42070</v>
      </c>
      <c r="B1186" s="3817" t="s">
        <v>3444</v>
      </c>
      <c r="C1186" s="3817">
        <v>73</v>
      </c>
      <c r="D1186" s="3817" t="s">
        <v>3518</v>
      </c>
      <c r="E1186" s="3817" t="s">
        <v>3442</v>
      </c>
      <c r="F1186" s="3817">
        <v>229</v>
      </c>
      <c r="G1186" s="3819">
        <v>42071</v>
      </c>
      <c r="H1186" s="3817">
        <v>227</v>
      </c>
      <c r="I1186" s="3817">
        <v>30830</v>
      </c>
    </row>
    <row r="1187" spans="1:9">
      <c r="A1187" s="3819">
        <v>42069</v>
      </c>
      <c r="B1187" s="3817" t="s">
        <v>3444</v>
      </c>
      <c r="C1187" s="3817">
        <v>63</v>
      </c>
      <c r="D1187" s="3817" t="s">
        <v>3533</v>
      </c>
      <c r="E1187" s="3817" t="s">
        <v>3453</v>
      </c>
      <c r="F1187" s="3817">
        <v>198</v>
      </c>
      <c r="G1187" s="3819">
        <v>42070</v>
      </c>
      <c r="H1187" s="3817">
        <v>185</v>
      </c>
      <c r="I1187" s="3817">
        <v>29134</v>
      </c>
    </row>
    <row r="1188" spans="1:9">
      <c r="A1188" s="3819">
        <v>42067</v>
      </c>
      <c r="B1188" s="3817" t="s">
        <v>3449</v>
      </c>
      <c r="C1188" s="3817">
        <v>68</v>
      </c>
      <c r="D1188" s="3817" t="s">
        <v>3530</v>
      </c>
      <c r="E1188" s="3817" t="s">
        <v>3474</v>
      </c>
      <c r="F1188" s="3817">
        <v>215</v>
      </c>
      <c r="G1188" s="3819">
        <v>42068</v>
      </c>
      <c r="H1188" s="3817">
        <v>215</v>
      </c>
      <c r="I1188" s="3817">
        <v>31397</v>
      </c>
    </row>
    <row r="1189" spans="1:9">
      <c r="A1189" s="3819">
        <v>42049</v>
      </c>
      <c r="B1189" s="3817" t="s">
        <v>3444</v>
      </c>
      <c r="C1189" s="3817">
        <v>54</v>
      </c>
      <c r="D1189" s="3817" t="s">
        <v>3491</v>
      </c>
      <c r="E1189" s="3817" t="s">
        <v>3453</v>
      </c>
      <c r="F1189" s="3817">
        <v>193</v>
      </c>
      <c r="G1189" s="3819">
        <v>42049</v>
      </c>
      <c r="H1189" s="3817">
        <v>190</v>
      </c>
      <c r="I1189" s="3817">
        <v>34863</v>
      </c>
    </row>
    <row r="1190" spans="1:9">
      <c r="A1190" s="3819">
        <v>42048</v>
      </c>
      <c r="B1190" s="3817" t="s">
        <v>3444</v>
      </c>
      <c r="C1190" s="3817">
        <v>57</v>
      </c>
      <c r="D1190" s="3817" t="s">
        <v>3533</v>
      </c>
      <c r="E1190" s="3817" t="s">
        <v>3453</v>
      </c>
      <c r="F1190" s="3817">
        <v>165</v>
      </c>
      <c r="G1190" s="3819">
        <v>42048</v>
      </c>
      <c r="H1190" s="3817">
        <v>162</v>
      </c>
      <c r="I1190" s="3817">
        <v>28322</v>
      </c>
    </row>
    <row r="1191" spans="1:9">
      <c r="A1191" s="3819">
        <v>42040</v>
      </c>
      <c r="B1191" s="3817" t="s">
        <v>3444</v>
      </c>
      <c r="C1191" s="3817">
        <v>62</v>
      </c>
      <c r="D1191" s="3817" t="s">
        <v>3518</v>
      </c>
      <c r="E1191" s="3817" t="s">
        <v>3468</v>
      </c>
      <c r="F1191" s="3817">
        <v>220</v>
      </c>
      <c r="G1191" s="3819">
        <v>42041</v>
      </c>
      <c r="H1191" s="3817">
        <v>218</v>
      </c>
      <c r="I1191" s="3817">
        <v>34877</v>
      </c>
    </row>
    <row r="1192" spans="1:9">
      <c r="A1192" s="3819">
        <v>42038</v>
      </c>
      <c r="B1192" s="3817" t="s">
        <v>3444</v>
      </c>
      <c r="C1192" s="3817">
        <v>52</v>
      </c>
      <c r="D1192" s="3817" t="s">
        <v>3530</v>
      </c>
      <c r="E1192" s="3817" t="s">
        <v>3453</v>
      </c>
      <c r="F1192" s="3817">
        <v>177</v>
      </c>
      <c r="G1192" s="3819">
        <v>42039</v>
      </c>
      <c r="H1192" s="3817">
        <v>174</v>
      </c>
      <c r="I1192" s="3817">
        <v>33178</v>
      </c>
    </row>
    <row r="1193" spans="1:9">
      <c r="A1193" s="3819">
        <v>42038</v>
      </c>
      <c r="B1193" s="3817" t="s">
        <v>3449</v>
      </c>
      <c r="C1193" s="3817">
        <v>67</v>
      </c>
      <c r="D1193" s="3817" t="s">
        <v>3533</v>
      </c>
      <c r="E1193" s="3817" t="s">
        <v>3453</v>
      </c>
      <c r="F1193" s="3817">
        <v>225</v>
      </c>
      <c r="G1193" s="3819">
        <v>42038</v>
      </c>
      <c r="H1193" s="3817">
        <v>218</v>
      </c>
      <c r="I1193" s="3817">
        <v>32088</v>
      </c>
    </row>
    <row r="1194" spans="1:9">
      <c r="A1194" s="3819">
        <v>42028</v>
      </c>
      <c r="B1194" s="3817" t="s">
        <v>3444</v>
      </c>
      <c r="C1194" s="3817">
        <v>58</v>
      </c>
      <c r="D1194" s="3817" t="s">
        <v>3533</v>
      </c>
      <c r="E1194" s="3817" t="s">
        <v>3453</v>
      </c>
      <c r="F1194" s="3817">
        <v>170</v>
      </c>
      <c r="G1194" s="3819">
        <v>42028</v>
      </c>
      <c r="H1194" s="3817">
        <v>162</v>
      </c>
      <c r="I1194" s="3817">
        <v>27598</v>
      </c>
    </row>
    <row r="1195" spans="1:9">
      <c r="A1195" s="3819">
        <v>42022</v>
      </c>
      <c r="B1195" s="3817" t="s">
        <v>3444</v>
      </c>
      <c r="C1195" s="3817">
        <v>57</v>
      </c>
      <c r="D1195" s="3817" t="s">
        <v>3491</v>
      </c>
      <c r="E1195" s="3817" t="s">
        <v>3453</v>
      </c>
      <c r="F1195" s="3817">
        <v>190</v>
      </c>
      <c r="G1195" s="3819">
        <v>42023</v>
      </c>
      <c r="H1195" s="3817">
        <v>185</v>
      </c>
      <c r="I1195" s="3817">
        <v>32343</v>
      </c>
    </row>
    <row r="1196" spans="1:9">
      <c r="A1196" s="3819">
        <v>42022</v>
      </c>
      <c r="B1196" s="3817" t="s">
        <v>3444</v>
      </c>
      <c r="C1196" s="3817">
        <v>58</v>
      </c>
      <c r="D1196" s="3817" t="s">
        <v>3533</v>
      </c>
      <c r="E1196" s="3817" t="s">
        <v>3453</v>
      </c>
      <c r="F1196" s="3817">
        <v>168</v>
      </c>
      <c r="G1196" s="3819">
        <v>42023</v>
      </c>
      <c r="H1196" s="3817">
        <v>168</v>
      </c>
      <c r="I1196" s="3817">
        <v>28621</v>
      </c>
    </row>
    <row r="1197" spans="1:9">
      <c r="A1197" s="3819">
        <v>42015</v>
      </c>
      <c r="B1197" s="3817" t="s">
        <v>3444</v>
      </c>
      <c r="C1197" s="3817">
        <v>57</v>
      </c>
      <c r="D1197" s="3817" t="s">
        <v>3491</v>
      </c>
      <c r="E1197" s="3817" t="s">
        <v>3453</v>
      </c>
      <c r="F1197" s="3817">
        <v>189</v>
      </c>
      <c r="G1197" s="3819">
        <v>42016</v>
      </c>
      <c r="H1197" s="3817">
        <v>188</v>
      </c>
      <c r="I1197" s="3817">
        <v>32753</v>
      </c>
    </row>
    <row r="1198" spans="1:9">
      <c r="A1198" s="3819">
        <v>42011</v>
      </c>
      <c r="B1198" s="3817" t="s">
        <v>3444</v>
      </c>
      <c r="C1198" s="3817">
        <v>84</v>
      </c>
      <c r="D1198" s="3817" t="s">
        <v>3499</v>
      </c>
      <c r="E1198" s="3817" t="s">
        <v>3428</v>
      </c>
      <c r="F1198" s="3817">
        <v>235</v>
      </c>
      <c r="G1198" s="3819">
        <v>42018</v>
      </c>
      <c r="H1198" s="3817">
        <v>232</v>
      </c>
      <c r="I1198" s="3817">
        <v>27301</v>
      </c>
    </row>
    <row r="1199" spans="1:9">
      <c r="A1199" s="3819">
        <v>42010</v>
      </c>
      <c r="B1199" s="3817" t="s">
        <v>3444</v>
      </c>
      <c r="C1199" s="3817">
        <v>57</v>
      </c>
      <c r="D1199" s="3817" t="s">
        <v>3490</v>
      </c>
      <c r="E1199" s="3817" t="s">
        <v>3453</v>
      </c>
      <c r="F1199" s="3817">
        <v>175</v>
      </c>
      <c r="G1199" s="3819">
        <v>42011</v>
      </c>
      <c r="H1199" s="3817">
        <v>170</v>
      </c>
      <c r="I1199" s="3817">
        <v>29808</v>
      </c>
    </row>
    <row r="1200" spans="1:9">
      <c r="A1200" s="3819">
        <v>42008</v>
      </c>
      <c r="B1200" s="3817" t="s">
        <v>3444</v>
      </c>
      <c r="C1200" s="3817">
        <v>69</v>
      </c>
      <c r="D1200" s="3817" t="s">
        <v>3490</v>
      </c>
      <c r="E1200" s="3817" t="s">
        <v>3453</v>
      </c>
      <c r="F1200" s="3817">
        <v>233</v>
      </c>
      <c r="G1200" s="3819">
        <v>42009</v>
      </c>
      <c r="H1200" s="3817">
        <v>228</v>
      </c>
      <c r="I1200" s="3817">
        <v>32806</v>
      </c>
    </row>
    <row r="1201" spans="1:9">
      <c r="A1201" s="3819">
        <v>42006</v>
      </c>
      <c r="B1201" s="3817" t="s">
        <v>3471</v>
      </c>
      <c r="C1201" s="3817">
        <v>44</v>
      </c>
      <c r="D1201" s="3817" t="s">
        <v>3530</v>
      </c>
      <c r="E1201" s="3817" t="s">
        <v>3464</v>
      </c>
      <c r="F1201" s="3817">
        <v>150</v>
      </c>
      <c r="G1201" s="3819">
        <v>42007</v>
      </c>
      <c r="H1201" s="3817">
        <v>138</v>
      </c>
      <c r="I1201" s="3817">
        <v>31089</v>
      </c>
    </row>
    <row r="1202" spans="1:9">
      <c r="A1202" s="3819">
        <v>42001</v>
      </c>
      <c r="B1202" s="3817" t="s">
        <v>3444</v>
      </c>
      <c r="C1202" s="3817">
        <v>53</v>
      </c>
      <c r="D1202" s="3817" t="s">
        <v>3497</v>
      </c>
      <c r="E1202" s="3817" t="s">
        <v>3453</v>
      </c>
      <c r="F1202" s="3817">
        <v>203</v>
      </c>
      <c r="G1202" s="3819">
        <v>42001</v>
      </c>
      <c r="H1202" s="3817">
        <v>202</v>
      </c>
      <c r="I1202" s="3817">
        <v>37708</v>
      </c>
    </row>
    <row r="1203" spans="1:9">
      <c r="A1203" s="3819">
        <v>42001</v>
      </c>
      <c r="B1203" s="3817" t="s">
        <v>3444</v>
      </c>
      <c r="C1203" s="3817">
        <v>57</v>
      </c>
      <c r="D1203" s="3817" t="s">
        <v>3533</v>
      </c>
      <c r="E1203" s="3817" t="s">
        <v>3453</v>
      </c>
      <c r="F1203" s="3817">
        <v>163</v>
      </c>
      <c r="G1203" s="3819">
        <v>42001</v>
      </c>
      <c r="H1203" s="3817">
        <v>158</v>
      </c>
      <c r="I1203" s="3817">
        <v>27623</v>
      </c>
    </row>
    <row r="1204" spans="1:9">
      <c r="A1204" s="3819">
        <v>42000</v>
      </c>
      <c r="B1204" s="3817" t="s">
        <v>3449</v>
      </c>
      <c r="C1204" s="3817">
        <v>76</v>
      </c>
      <c r="D1204" s="3817" t="s">
        <v>3490</v>
      </c>
      <c r="E1204" s="3817" t="s">
        <v>3453</v>
      </c>
      <c r="F1204" s="3817">
        <v>235</v>
      </c>
      <c r="G1204" s="3819">
        <v>42000</v>
      </c>
      <c r="H1204" s="3817">
        <v>225</v>
      </c>
      <c r="I1204" s="3817">
        <v>29259</v>
      </c>
    </row>
    <row r="1205" spans="1:9">
      <c r="A1205" s="3819">
        <v>41998</v>
      </c>
      <c r="B1205" s="3817" t="s">
        <v>3444</v>
      </c>
      <c r="C1205" s="3817">
        <v>62</v>
      </c>
      <c r="D1205" s="3817" t="s">
        <v>3495</v>
      </c>
      <c r="E1205" s="3817" t="s">
        <v>3468</v>
      </c>
      <c r="F1205" s="3817">
        <v>200</v>
      </c>
      <c r="G1205" s="3819">
        <v>41998</v>
      </c>
      <c r="H1205" s="3817">
        <v>198</v>
      </c>
      <c r="I1205" s="3817">
        <v>31605</v>
      </c>
    </row>
    <row r="1206" spans="1:9">
      <c r="A1206" s="3819">
        <v>41994</v>
      </c>
      <c r="B1206" s="3817" t="s">
        <v>3444</v>
      </c>
      <c r="C1206" s="3817">
        <v>57</v>
      </c>
      <c r="D1206" s="3817" t="s">
        <v>3490</v>
      </c>
      <c r="E1206" s="3817" t="s">
        <v>3453</v>
      </c>
      <c r="F1206" s="3817">
        <v>175</v>
      </c>
      <c r="G1206" s="3819">
        <v>41994</v>
      </c>
      <c r="H1206" s="3817">
        <v>170</v>
      </c>
      <c r="I1206" s="3817">
        <v>29721</v>
      </c>
    </row>
    <row r="1207" spans="1:9">
      <c r="A1207" s="3819">
        <v>41993</v>
      </c>
      <c r="B1207" s="3817" t="s">
        <v>3444</v>
      </c>
      <c r="C1207" s="3817">
        <v>58</v>
      </c>
      <c r="D1207" s="3817" t="s">
        <v>3533</v>
      </c>
      <c r="E1207" s="3817" t="s">
        <v>3453</v>
      </c>
      <c r="F1207" s="3817">
        <v>165</v>
      </c>
      <c r="G1207" s="3819">
        <v>41993</v>
      </c>
      <c r="H1207" s="3817">
        <v>159</v>
      </c>
      <c r="I1207" s="3817">
        <v>27087</v>
      </c>
    </row>
    <row r="1208" spans="1:9">
      <c r="A1208" s="3819">
        <v>41987</v>
      </c>
      <c r="B1208" s="3817" t="s">
        <v>3444</v>
      </c>
      <c r="C1208" s="3817">
        <v>62</v>
      </c>
      <c r="D1208" s="3817" t="s">
        <v>3496</v>
      </c>
      <c r="E1208" s="3817" t="s">
        <v>3464</v>
      </c>
      <c r="F1208" s="3817">
        <v>220</v>
      </c>
      <c r="G1208" s="3819">
        <v>41987</v>
      </c>
      <c r="H1208" s="3817">
        <v>216</v>
      </c>
      <c r="I1208" s="3817">
        <v>34886</v>
      </c>
    </row>
    <row r="1209" spans="1:9">
      <c r="A1209" s="3819">
        <v>41972</v>
      </c>
      <c r="B1209" s="3817" t="s">
        <v>3444</v>
      </c>
      <c r="C1209" s="3817">
        <v>57</v>
      </c>
      <c r="D1209" s="3817" t="s">
        <v>3533</v>
      </c>
      <c r="E1209" s="3817" t="s">
        <v>3453</v>
      </c>
      <c r="F1209" s="3817">
        <v>170</v>
      </c>
      <c r="G1209" s="3819">
        <v>41972</v>
      </c>
      <c r="H1209" s="3817">
        <v>162</v>
      </c>
      <c r="I1209" s="3817">
        <v>28125</v>
      </c>
    </row>
    <row r="1210" spans="1:9">
      <c r="A1210" s="3819">
        <v>41967</v>
      </c>
      <c r="B1210" s="3817" t="s">
        <v>3444</v>
      </c>
      <c r="C1210" s="3817">
        <v>54</v>
      </c>
      <c r="D1210" s="3817" t="s">
        <v>3490</v>
      </c>
      <c r="E1210" s="3817" t="s">
        <v>3453</v>
      </c>
      <c r="F1210" s="3817">
        <v>186</v>
      </c>
      <c r="G1210" s="3819">
        <v>41973</v>
      </c>
      <c r="H1210" s="3817">
        <v>185</v>
      </c>
      <c r="I1210" s="3817">
        <v>34190</v>
      </c>
    </row>
    <row r="1211" spans="1:9">
      <c r="A1211" s="3819">
        <v>41959</v>
      </c>
      <c r="B1211" s="3817" t="s">
        <v>3444</v>
      </c>
      <c r="C1211" s="3817">
        <v>54</v>
      </c>
      <c r="D1211" s="3817" t="s">
        <v>3533</v>
      </c>
      <c r="E1211" s="3817" t="s">
        <v>3457</v>
      </c>
      <c r="F1211" s="3817">
        <v>151</v>
      </c>
      <c r="G1211" s="3819">
        <v>41959</v>
      </c>
      <c r="H1211" s="3817">
        <v>146</v>
      </c>
      <c r="I1211" s="3817">
        <v>26983</v>
      </c>
    </row>
    <row r="1212" spans="1:9">
      <c r="A1212" s="3819">
        <v>41959</v>
      </c>
      <c r="B1212" s="3817" t="s">
        <v>3444</v>
      </c>
      <c r="C1212" s="3817">
        <v>71</v>
      </c>
      <c r="D1212" s="3817" t="s">
        <v>3532</v>
      </c>
      <c r="E1212" s="3817" t="s">
        <v>3429</v>
      </c>
      <c r="F1212" s="3817">
        <v>230</v>
      </c>
      <c r="G1212" s="3819">
        <v>41959</v>
      </c>
      <c r="H1212" s="3817">
        <v>218</v>
      </c>
      <c r="I1212" s="3817">
        <v>30503</v>
      </c>
    </row>
    <row r="1213" spans="1:9">
      <c r="A1213" s="3819">
        <v>41958</v>
      </c>
      <c r="B1213" s="3817" t="s">
        <v>3444</v>
      </c>
      <c r="C1213" s="3817">
        <v>57</v>
      </c>
      <c r="D1213" s="3817" t="s">
        <v>3491</v>
      </c>
      <c r="E1213" s="3817" t="s">
        <v>3453</v>
      </c>
      <c r="F1213" s="3817">
        <v>182</v>
      </c>
      <c r="G1213" s="3819">
        <v>41959</v>
      </c>
      <c r="H1213" s="3817">
        <v>200</v>
      </c>
      <c r="I1213" s="3817">
        <v>34966</v>
      </c>
    </row>
    <row r="1214" spans="1:9">
      <c r="A1214" s="3819">
        <v>41953</v>
      </c>
      <c r="B1214" s="3817" t="s">
        <v>3444</v>
      </c>
      <c r="C1214" s="3817">
        <v>84</v>
      </c>
      <c r="D1214" s="3817" t="s">
        <v>3541</v>
      </c>
      <c r="E1214" s="3817" t="s">
        <v>3545</v>
      </c>
      <c r="F1214" s="3817">
        <v>240</v>
      </c>
      <c r="G1214" s="3819">
        <v>41956</v>
      </c>
      <c r="H1214" s="3817">
        <v>223</v>
      </c>
      <c r="I1214" s="3817">
        <v>26242</v>
      </c>
    </row>
    <row r="1215" spans="1:9">
      <c r="A1215" s="3819">
        <v>41950</v>
      </c>
      <c r="B1215" s="3817" t="s">
        <v>3444</v>
      </c>
      <c r="C1215" s="3817">
        <v>57</v>
      </c>
      <c r="D1215" s="3817" t="s">
        <v>3497</v>
      </c>
      <c r="E1215" s="3817" t="s">
        <v>3453</v>
      </c>
      <c r="F1215" s="3817">
        <v>175</v>
      </c>
      <c r="G1215" s="3819">
        <v>41951</v>
      </c>
      <c r="H1215" s="3817">
        <v>171</v>
      </c>
      <c r="I1215" s="3817">
        <v>29896</v>
      </c>
    </row>
    <row r="1216" spans="1:9">
      <c r="A1216" s="3819">
        <v>41947</v>
      </c>
      <c r="B1216" s="3817" t="s">
        <v>3444</v>
      </c>
      <c r="C1216" s="3817">
        <v>57</v>
      </c>
      <c r="D1216" s="3817" t="s">
        <v>3490</v>
      </c>
      <c r="E1216" s="3817" t="s">
        <v>3453</v>
      </c>
      <c r="F1216" s="3817">
        <v>175</v>
      </c>
      <c r="G1216" s="3819">
        <v>41955</v>
      </c>
      <c r="H1216" s="3817">
        <v>170</v>
      </c>
      <c r="I1216" s="3817">
        <v>29721</v>
      </c>
    </row>
    <row r="1217" spans="1:9">
      <c r="A1217" s="3819">
        <v>41941</v>
      </c>
      <c r="B1217" s="3817" t="s">
        <v>3471</v>
      </c>
      <c r="C1217" s="3817">
        <v>42</v>
      </c>
      <c r="D1217" s="3817" t="s">
        <v>3490</v>
      </c>
      <c r="E1217" s="3817" t="s">
        <v>3442</v>
      </c>
      <c r="F1217" s="3817">
        <v>139</v>
      </c>
      <c r="G1217" s="3819">
        <v>41942</v>
      </c>
      <c r="H1217" s="3817">
        <v>136</v>
      </c>
      <c r="I1217" s="3817">
        <v>32152</v>
      </c>
    </row>
    <row r="1218" spans="1:9">
      <c r="A1218" s="3819">
        <v>41940</v>
      </c>
      <c r="B1218" s="3817" t="s">
        <v>3471</v>
      </c>
      <c r="C1218" s="3817">
        <v>43</v>
      </c>
      <c r="D1218" s="3817" t="s">
        <v>3490</v>
      </c>
      <c r="E1218" s="3817" t="s">
        <v>3442</v>
      </c>
      <c r="F1218" s="3817">
        <v>138</v>
      </c>
      <c r="G1218" s="3819">
        <v>41943</v>
      </c>
      <c r="H1218" s="3817">
        <v>128</v>
      </c>
      <c r="I1218" s="3817">
        <v>29746</v>
      </c>
    </row>
    <row r="1219" spans="1:9">
      <c r="A1219" s="3819">
        <v>41939</v>
      </c>
      <c r="B1219" s="3817" t="s">
        <v>3444</v>
      </c>
      <c r="C1219" s="3817">
        <v>57</v>
      </c>
      <c r="D1219" s="3817" t="s">
        <v>3491</v>
      </c>
      <c r="E1219" s="3817" t="s">
        <v>3453</v>
      </c>
      <c r="F1219" s="3817">
        <v>188</v>
      </c>
      <c r="G1219" s="3819">
        <v>41941</v>
      </c>
      <c r="H1219" s="3817">
        <v>188</v>
      </c>
      <c r="I1219" s="3817">
        <v>32868</v>
      </c>
    </row>
    <row r="1220" spans="1:9">
      <c r="A1220" s="3819">
        <v>41937</v>
      </c>
      <c r="B1220" s="3817" t="s">
        <v>3444</v>
      </c>
      <c r="C1220" s="3817">
        <v>57</v>
      </c>
      <c r="D1220" s="3817" t="s">
        <v>3490</v>
      </c>
      <c r="E1220" s="3817" t="s">
        <v>3453</v>
      </c>
      <c r="F1220" s="3817">
        <v>175</v>
      </c>
      <c r="G1220" s="3819">
        <v>41939</v>
      </c>
      <c r="H1220" s="3817">
        <v>174</v>
      </c>
      <c r="I1220" s="3817">
        <v>30420</v>
      </c>
    </row>
    <row r="1221" spans="1:9">
      <c r="A1221" s="3819">
        <v>41937</v>
      </c>
      <c r="B1221" s="3817" t="s">
        <v>3444</v>
      </c>
      <c r="C1221" s="3817">
        <v>57</v>
      </c>
      <c r="D1221" s="3817" t="s">
        <v>3490</v>
      </c>
      <c r="E1221" s="3817" t="s">
        <v>3453</v>
      </c>
      <c r="F1221" s="3817">
        <v>177</v>
      </c>
      <c r="G1221" s="3819">
        <v>41939</v>
      </c>
      <c r="H1221" s="3817">
        <v>174</v>
      </c>
      <c r="I1221" s="3817">
        <v>30420</v>
      </c>
    </row>
    <row r="1222" spans="1:9">
      <c r="A1222" s="3819">
        <v>41932</v>
      </c>
      <c r="B1222" s="3817" t="s">
        <v>3471</v>
      </c>
      <c r="C1222" s="3817">
        <v>43</v>
      </c>
      <c r="D1222" s="3817" t="s">
        <v>3497</v>
      </c>
      <c r="E1222" s="3817" t="s">
        <v>3442</v>
      </c>
      <c r="F1222" s="3817">
        <v>146</v>
      </c>
      <c r="G1222" s="3819">
        <v>41938</v>
      </c>
      <c r="H1222" s="3817">
        <v>146</v>
      </c>
      <c r="I1222" s="3817">
        <v>33797</v>
      </c>
    </row>
    <row r="1223" spans="1:9">
      <c r="A1223" s="3819">
        <v>41924</v>
      </c>
      <c r="B1223" s="3817" t="s">
        <v>3444</v>
      </c>
      <c r="C1223" s="3817">
        <v>62</v>
      </c>
      <c r="D1223" s="3817" t="s">
        <v>3518</v>
      </c>
      <c r="E1223" s="3817" t="s">
        <v>3468</v>
      </c>
      <c r="F1223" s="3817">
        <v>205</v>
      </c>
      <c r="G1223" s="3819">
        <v>41975</v>
      </c>
      <c r="H1223" s="3817">
        <v>200</v>
      </c>
      <c r="I1223" s="3817">
        <v>31898</v>
      </c>
    </row>
    <row r="1224" spans="1:9">
      <c r="A1224" s="3819">
        <v>41924</v>
      </c>
      <c r="B1224" s="3817" t="s">
        <v>3444</v>
      </c>
      <c r="C1224" s="3817">
        <v>62</v>
      </c>
      <c r="D1224" s="3817" t="s">
        <v>3496</v>
      </c>
      <c r="E1224" s="3817" t="s">
        <v>3468</v>
      </c>
      <c r="F1224" s="3817">
        <v>208</v>
      </c>
      <c r="G1224" s="3819">
        <v>41935</v>
      </c>
      <c r="H1224" s="3817">
        <v>200</v>
      </c>
      <c r="I1224" s="3817">
        <v>31924</v>
      </c>
    </row>
    <row r="1225" spans="1:9">
      <c r="A1225" s="3819">
        <v>41920</v>
      </c>
      <c r="B1225" s="3817" t="s">
        <v>3444</v>
      </c>
      <c r="C1225" s="3817">
        <v>57</v>
      </c>
      <c r="D1225" s="3817" t="s">
        <v>3497</v>
      </c>
      <c r="E1225" s="3817" t="s">
        <v>3453</v>
      </c>
      <c r="F1225" s="3817">
        <v>177</v>
      </c>
      <c r="G1225" s="3819">
        <v>41921</v>
      </c>
      <c r="H1225" s="3817">
        <v>175</v>
      </c>
      <c r="I1225" s="3817">
        <v>30595</v>
      </c>
    </row>
    <row r="1226" spans="1:9">
      <c r="A1226" s="3819">
        <v>41916</v>
      </c>
      <c r="B1226" s="3817" t="s">
        <v>3444</v>
      </c>
      <c r="C1226" s="3817">
        <v>54</v>
      </c>
      <c r="D1226" s="3817" t="s">
        <v>3490</v>
      </c>
      <c r="E1226" s="3817" t="s">
        <v>3453</v>
      </c>
      <c r="F1226" s="3817">
        <v>178</v>
      </c>
      <c r="G1226" s="3819">
        <v>41927</v>
      </c>
      <c r="H1226" s="3817">
        <v>178</v>
      </c>
      <c r="I1226" s="3817">
        <v>32896</v>
      </c>
    </row>
    <row r="1227" spans="1:9">
      <c r="A1227" s="3819">
        <v>41862</v>
      </c>
      <c r="B1227" s="3817" t="s">
        <v>3444</v>
      </c>
      <c r="C1227" s="3817">
        <v>54</v>
      </c>
      <c r="D1227" s="3817" t="s">
        <v>3491</v>
      </c>
      <c r="E1227" s="3817" t="s">
        <v>3453</v>
      </c>
      <c r="F1227" s="3817">
        <v>205</v>
      </c>
      <c r="G1227" s="3819">
        <v>41875</v>
      </c>
      <c r="H1227" s="3817">
        <v>197</v>
      </c>
      <c r="I1227" s="3817">
        <v>36134</v>
      </c>
    </row>
    <row r="1228" spans="1:9">
      <c r="A1228" s="3819">
        <v>41855</v>
      </c>
      <c r="B1228" s="3817" t="s">
        <v>3449</v>
      </c>
      <c r="C1228" s="3817">
        <v>69</v>
      </c>
      <c r="D1228" s="3817" t="s">
        <v>3491</v>
      </c>
      <c r="E1228" s="3817" t="s">
        <v>3453</v>
      </c>
      <c r="F1228" s="3817">
        <v>235</v>
      </c>
      <c r="G1228" s="3819">
        <v>41862</v>
      </c>
      <c r="H1228" s="3817">
        <v>222</v>
      </c>
      <c r="I1228" s="3817">
        <v>32170</v>
      </c>
    </row>
    <row r="1229" spans="1:9">
      <c r="A1229" s="3819">
        <v>41847</v>
      </c>
      <c r="B1229" s="3817" t="s">
        <v>3444</v>
      </c>
      <c r="C1229" s="3817">
        <v>61</v>
      </c>
      <c r="D1229" s="3817" t="s">
        <v>3495</v>
      </c>
      <c r="E1229" s="3817" t="s">
        <v>3468</v>
      </c>
      <c r="F1229" s="3817">
        <v>225</v>
      </c>
      <c r="G1229" s="3819">
        <v>41850</v>
      </c>
      <c r="H1229" s="3817">
        <v>220</v>
      </c>
      <c r="I1229" s="3817">
        <v>35673</v>
      </c>
    </row>
    <row r="1230" spans="1:9">
      <c r="A1230" s="3819">
        <v>41788</v>
      </c>
      <c r="B1230" s="3817" t="s">
        <v>3444</v>
      </c>
      <c r="C1230" s="3817">
        <v>56</v>
      </c>
      <c r="D1230" s="3817" t="s">
        <v>3491</v>
      </c>
      <c r="E1230" s="3817" t="s">
        <v>3453</v>
      </c>
      <c r="F1230" s="3817">
        <v>195</v>
      </c>
      <c r="G1230" s="3819">
        <v>41789</v>
      </c>
      <c r="H1230" s="3817">
        <v>190</v>
      </c>
      <c r="I1230" s="3817">
        <v>33569</v>
      </c>
    </row>
    <row r="1231" spans="1:9">
      <c r="A1231" s="3819">
        <v>41771</v>
      </c>
      <c r="B1231" s="3817" t="s">
        <v>3444</v>
      </c>
      <c r="C1231" s="3817">
        <v>57</v>
      </c>
      <c r="D1231" s="3817" t="s">
        <v>3491</v>
      </c>
      <c r="E1231" s="3817" t="s">
        <v>3453</v>
      </c>
      <c r="F1231" s="3817">
        <v>210</v>
      </c>
      <c r="G1231" s="3819">
        <v>41773</v>
      </c>
      <c r="H1231" s="3817">
        <v>196</v>
      </c>
      <c r="I1231" s="3817">
        <v>34266</v>
      </c>
    </row>
    <row r="1232" spans="1:9">
      <c r="A1232" s="3819">
        <v>41721</v>
      </c>
      <c r="B1232" s="3817" t="s">
        <v>3444</v>
      </c>
      <c r="C1232" s="3817">
        <v>55</v>
      </c>
      <c r="D1232" s="3817" t="s">
        <v>3491</v>
      </c>
      <c r="E1232" s="3817" t="s">
        <v>3453</v>
      </c>
      <c r="F1232" s="3817">
        <v>228</v>
      </c>
      <c r="G1232" s="3819">
        <v>41722</v>
      </c>
      <c r="H1232" s="3817">
        <v>218</v>
      </c>
      <c r="I1232" s="3817">
        <v>39522</v>
      </c>
    </row>
    <row r="1233" spans="1:9">
      <c r="A1233" s="3819">
        <v>41713</v>
      </c>
      <c r="B1233" s="3817" t="s">
        <v>3444</v>
      </c>
      <c r="C1233" s="3817">
        <v>57</v>
      </c>
      <c r="D1233" s="3817" t="s">
        <v>3490</v>
      </c>
      <c r="E1233" s="3817" t="s">
        <v>3453</v>
      </c>
      <c r="F1233" s="3817">
        <v>235</v>
      </c>
      <c r="G1233" s="3819">
        <v>41718</v>
      </c>
      <c r="H1233" s="3817">
        <v>225</v>
      </c>
      <c r="I1233" s="3817">
        <v>39199</v>
      </c>
    </row>
    <row r="1234" spans="1:9">
      <c r="A1234" s="3819">
        <v>41708</v>
      </c>
      <c r="B1234" s="3817" t="s">
        <v>3449</v>
      </c>
      <c r="C1234" s="3817">
        <v>69</v>
      </c>
      <c r="D1234" s="3817" t="s">
        <v>3533</v>
      </c>
      <c r="E1234" s="3817" t="s">
        <v>3453</v>
      </c>
      <c r="F1234" s="3817">
        <v>250</v>
      </c>
      <c r="G1234" s="3819">
        <v>41712</v>
      </c>
      <c r="H1234" s="3817">
        <v>246</v>
      </c>
      <c r="I1234" s="3817">
        <v>35648</v>
      </c>
    </row>
    <row r="1235" spans="1:9">
      <c r="A1235" s="3819">
        <v>41707</v>
      </c>
      <c r="B1235" s="3817" t="s">
        <v>3444</v>
      </c>
      <c r="C1235" s="3817">
        <v>64</v>
      </c>
      <c r="D1235" s="3817" t="s">
        <v>3496</v>
      </c>
      <c r="E1235" s="3817" t="s">
        <v>3429</v>
      </c>
      <c r="F1235" s="3817">
        <v>255</v>
      </c>
      <c r="G1235" s="3819">
        <v>41708</v>
      </c>
      <c r="H1235" s="3817">
        <v>248</v>
      </c>
      <c r="I1235" s="3817">
        <v>38266</v>
      </c>
    </row>
    <row r="1236" spans="1:9">
      <c r="A1236" s="3819">
        <v>41682</v>
      </c>
      <c r="B1236" s="3817" t="s">
        <v>3444</v>
      </c>
      <c r="C1236" s="3817">
        <v>57</v>
      </c>
      <c r="D1236" s="3817" t="s">
        <v>3497</v>
      </c>
      <c r="E1236" s="3817" t="s">
        <v>3453</v>
      </c>
      <c r="F1236" s="3817">
        <v>215</v>
      </c>
      <c r="G1236" s="3819">
        <v>41682</v>
      </c>
      <c r="H1236" s="3817">
        <v>215</v>
      </c>
      <c r="I1236" s="3817">
        <v>37588</v>
      </c>
    </row>
    <row r="1237" spans="1:9">
      <c r="A1237" s="3819">
        <v>41676</v>
      </c>
      <c r="B1237" s="3817" t="s">
        <v>3449</v>
      </c>
      <c r="C1237" s="3817">
        <v>69</v>
      </c>
      <c r="D1237" s="3817" t="s">
        <v>3533</v>
      </c>
      <c r="E1237" s="3817" t="s">
        <v>3457</v>
      </c>
      <c r="F1237" s="3817">
        <v>245</v>
      </c>
      <c r="G1237" s="3819">
        <v>41677</v>
      </c>
      <c r="H1237" s="3817">
        <v>238</v>
      </c>
      <c r="I1237" s="3817">
        <v>34488</v>
      </c>
    </row>
    <row r="1238" spans="1:9">
      <c r="A1238" s="3819">
        <v>41665</v>
      </c>
      <c r="B1238" s="3817" t="s">
        <v>3444</v>
      </c>
      <c r="C1238" s="3817">
        <v>57</v>
      </c>
      <c r="D1238" s="3817" t="s">
        <v>3491</v>
      </c>
      <c r="E1238" s="3817" t="s">
        <v>3453</v>
      </c>
      <c r="F1238" s="3817">
        <v>220</v>
      </c>
      <c r="G1238" s="3819">
        <v>41665</v>
      </c>
      <c r="H1238" s="3817">
        <v>210</v>
      </c>
      <c r="I1238" s="3817">
        <v>36586</v>
      </c>
    </row>
    <row r="1239" spans="1:9">
      <c r="A1239" s="3819">
        <v>41665</v>
      </c>
      <c r="B1239" s="3817" t="s">
        <v>3444</v>
      </c>
      <c r="C1239" s="3817">
        <v>58</v>
      </c>
      <c r="D1239" s="3817" t="s">
        <v>3530</v>
      </c>
      <c r="E1239" s="3817" t="s">
        <v>3457</v>
      </c>
      <c r="F1239" s="3817">
        <v>225</v>
      </c>
      <c r="G1239" s="3819">
        <v>41678</v>
      </c>
      <c r="H1239" s="3817">
        <v>220</v>
      </c>
      <c r="I1239" s="3817">
        <v>37396</v>
      </c>
    </row>
    <row r="1240" spans="1:9">
      <c r="A1240" s="3819">
        <v>41664</v>
      </c>
      <c r="B1240" s="3817" t="s">
        <v>3444</v>
      </c>
      <c r="C1240" s="3817">
        <v>62</v>
      </c>
      <c r="D1240" s="3817" t="s">
        <v>3518</v>
      </c>
      <c r="E1240" s="3817" t="s">
        <v>3469</v>
      </c>
      <c r="F1240" s="3817">
        <v>245</v>
      </c>
      <c r="G1240" s="3819">
        <v>41664</v>
      </c>
      <c r="H1240" s="3817">
        <v>239</v>
      </c>
      <c r="I1240" s="3817">
        <v>38229</v>
      </c>
    </row>
    <row r="1241" spans="1:9">
      <c r="A1241" s="3819">
        <v>41656</v>
      </c>
      <c r="B1241" s="3817" t="s">
        <v>3444</v>
      </c>
      <c r="C1241" s="3817">
        <v>62</v>
      </c>
      <c r="D1241" s="3817" t="s">
        <v>3495</v>
      </c>
      <c r="E1241" s="3817" t="s">
        <v>3466</v>
      </c>
      <c r="F1241" s="3817">
        <v>240</v>
      </c>
      <c r="G1241" s="3819">
        <v>41661</v>
      </c>
      <c r="H1241" s="3817">
        <v>234</v>
      </c>
      <c r="I1241" s="3817">
        <v>37431</v>
      </c>
    </row>
    <row r="1242" spans="1:9">
      <c r="A1242" s="3819">
        <v>41654</v>
      </c>
      <c r="B1242" s="3817" t="s">
        <v>3444</v>
      </c>
      <c r="C1242" s="3817">
        <v>51</v>
      </c>
      <c r="D1242" s="3817" t="s">
        <v>3491</v>
      </c>
      <c r="E1242" s="3817" t="s">
        <v>3470</v>
      </c>
      <c r="F1242" s="3817">
        <v>215</v>
      </c>
      <c r="G1242" s="3819">
        <v>41655</v>
      </c>
      <c r="H1242" s="3817">
        <v>210</v>
      </c>
      <c r="I1242" s="3817">
        <v>40698</v>
      </c>
    </row>
    <row r="1243" spans="1:9">
      <c r="A1243" s="3819">
        <v>41653</v>
      </c>
      <c r="B1243" s="3817" t="s">
        <v>3444</v>
      </c>
      <c r="C1243" s="3817">
        <v>62</v>
      </c>
      <c r="D1243" s="3817" t="s">
        <v>3496</v>
      </c>
      <c r="E1243" s="3817" t="s">
        <v>3466</v>
      </c>
      <c r="F1243" s="3817">
        <v>228</v>
      </c>
      <c r="G1243" s="3819">
        <v>41654</v>
      </c>
      <c r="H1243" s="3817">
        <v>222</v>
      </c>
      <c r="I1243" s="3817">
        <v>35531</v>
      </c>
    </row>
    <row r="1244" spans="1:9">
      <c r="A1244" s="3819">
        <v>41651</v>
      </c>
      <c r="B1244" s="3817" t="s">
        <v>3444</v>
      </c>
      <c r="C1244" s="3817">
        <v>53</v>
      </c>
      <c r="D1244" s="3817" t="s">
        <v>3491</v>
      </c>
      <c r="E1244" s="3817" t="s">
        <v>3469</v>
      </c>
      <c r="F1244" s="3817">
        <v>218</v>
      </c>
      <c r="G1244" s="3819">
        <v>41651</v>
      </c>
      <c r="H1244" s="3817">
        <v>205</v>
      </c>
      <c r="I1244" s="3817">
        <v>37985</v>
      </c>
    </row>
    <row r="1245" spans="1:9">
      <c r="A1245" s="3819">
        <v>41647</v>
      </c>
      <c r="B1245" s="3817" t="s">
        <v>3449</v>
      </c>
      <c r="C1245" s="3817">
        <v>76</v>
      </c>
      <c r="D1245" s="3817" t="s">
        <v>3491</v>
      </c>
      <c r="E1245" s="3817" t="s">
        <v>3458</v>
      </c>
      <c r="F1245" s="3817">
        <v>289</v>
      </c>
      <c r="G1245" s="3819">
        <v>41656</v>
      </c>
      <c r="H1245" s="3817">
        <v>268</v>
      </c>
      <c r="I1245" s="3817">
        <v>34851</v>
      </c>
    </row>
    <row r="1246" spans="1:9">
      <c r="A1246" s="3819">
        <v>41637</v>
      </c>
      <c r="B1246" s="3817" t="s">
        <v>3444</v>
      </c>
      <c r="C1246" s="3817">
        <v>57</v>
      </c>
      <c r="D1246" s="3817" t="s">
        <v>3491</v>
      </c>
      <c r="E1246" s="3817" t="s">
        <v>3453</v>
      </c>
      <c r="F1246" s="3817">
        <v>210</v>
      </c>
      <c r="G1246" s="3819">
        <v>41638</v>
      </c>
      <c r="H1246" s="3817">
        <v>207</v>
      </c>
      <c r="I1246" s="3817">
        <v>36189</v>
      </c>
    </row>
    <row r="1247" spans="1:9">
      <c r="A1247" s="3819">
        <v>41627</v>
      </c>
      <c r="B1247" s="3817" t="s">
        <v>3444</v>
      </c>
      <c r="C1247" s="3817">
        <v>58</v>
      </c>
      <c r="D1247" s="3817" t="s">
        <v>3533</v>
      </c>
      <c r="E1247" s="3817" t="s">
        <v>3453</v>
      </c>
      <c r="F1247" s="3817">
        <v>198</v>
      </c>
      <c r="G1247" s="3819">
        <v>41638</v>
      </c>
      <c r="H1247" s="3817">
        <v>195</v>
      </c>
      <c r="I1247" s="3817">
        <v>33249</v>
      </c>
    </row>
    <row r="1248" spans="1:9">
      <c r="A1248" s="3819">
        <v>41611</v>
      </c>
      <c r="B1248" s="3817" t="s">
        <v>3444</v>
      </c>
      <c r="C1248" s="3817">
        <v>54</v>
      </c>
      <c r="D1248" s="3817" t="s">
        <v>3491</v>
      </c>
      <c r="E1248" s="3817" t="s">
        <v>3429</v>
      </c>
      <c r="F1248" s="3817">
        <v>233</v>
      </c>
      <c r="G1248" s="3819">
        <v>41612</v>
      </c>
      <c r="H1248" s="3817">
        <v>227</v>
      </c>
      <c r="I1248" s="3817">
        <v>41952</v>
      </c>
    </row>
    <row r="1249" spans="1:9">
      <c r="A1249" s="3819">
        <v>41593</v>
      </c>
      <c r="B1249" s="3817" t="s">
        <v>3444</v>
      </c>
      <c r="C1249" s="3817">
        <v>54</v>
      </c>
      <c r="D1249" s="3817" t="s">
        <v>3491</v>
      </c>
      <c r="E1249" s="3817" t="s">
        <v>3453</v>
      </c>
      <c r="F1249" s="3817">
        <v>220</v>
      </c>
      <c r="G1249" s="3819">
        <v>41594</v>
      </c>
      <c r="H1249" s="3817">
        <v>215</v>
      </c>
      <c r="I1249" s="3817">
        <v>39450</v>
      </c>
    </row>
    <row r="1250" spans="1:9">
      <c r="A1250" s="3819">
        <v>41567</v>
      </c>
      <c r="B1250" s="3817" t="s">
        <v>3444</v>
      </c>
      <c r="C1250" s="3817">
        <v>68</v>
      </c>
      <c r="D1250" s="3817" t="s">
        <v>3497</v>
      </c>
      <c r="E1250" s="3817" t="s">
        <v>3457</v>
      </c>
      <c r="F1250" s="3817">
        <v>265</v>
      </c>
      <c r="G1250" s="3819">
        <v>41568</v>
      </c>
      <c r="H1250" s="3817">
        <v>265</v>
      </c>
      <c r="I1250" s="3817">
        <v>38698</v>
      </c>
    </row>
    <row r="1251" spans="1:9">
      <c r="A1251" s="3819">
        <v>41565</v>
      </c>
      <c r="B1251" s="3817" t="s">
        <v>3444</v>
      </c>
      <c r="C1251" s="3817">
        <v>73</v>
      </c>
      <c r="D1251" s="3817" t="s">
        <v>3495</v>
      </c>
      <c r="E1251" s="3817" t="s">
        <v>3545</v>
      </c>
      <c r="F1251" s="3817">
        <v>255</v>
      </c>
      <c r="G1251" s="3819">
        <v>41570</v>
      </c>
      <c r="H1251" s="3817">
        <v>247</v>
      </c>
      <c r="I1251" s="3817">
        <v>33547</v>
      </c>
    </row>
    <row r="1252" spans="1:9">
      <c r="A1252" s="3819">
        <v>41557</v>
      </c>
      <c r="B1252" s="3817" t="s">
        <v>3444</v>
      </c>
      <c r="C1252" s="3817">
        <v>57</v>
      </c>
      <c r="D1252" s="3817" t="s">
        <v>3533</v>
      </c>
      <c r="E1252" s="3817" t="s">
        <v>3453</v>
      </c>
      <c r="F1252" s="3817">
        <v>205</v>
      </c>
      <c r="G1252" s="3819">
        <v>41573</v>
      </c>
      <c r="H1252" s="3817">
        <v>198</v>
      </c>
      <c r="I1252" s="3817">
        <v>34616</v>
      </c>
    </row>
    <row r="1253" spans="1:9">
      <c r="A1253" s="3819">
        <v>41532</v>
      </c>
      <c r="B1253" s="3817" t="s">
        <v>3444</v>
      </c>
      <c r="C1253" s="3817">
        <v>62</v>
      </c>
      <c r="D1253" s="3817" t="s">
        <v>3495</v>
      </c>
      <c r="E1253" s="3817" t="s">
        <v>3469</v>
      </c>
      <c r="F1253" s="3817">
        <v>250</v>
      </c>
      <c r="G1253" s="3819">
        <v>41532</v>
      </c>
      <c r="H1253" s="3817">
        <v>248</v>
      </c>
      <c r="I1253" s="3817">
        <v>39962</v>
      </c>
    </row>
    <row r="1254" spans="1:9">
      <c r="A1254" s="3819">
        <v>41531</v>
      </c>
      <c r="B1254" s="3817" t="s">
        <v>3489</v>
      </c>
      <c r="C1254" s="3817">
        <v>64</v>
      </c>
      <c r="D1254" s="3817" t="s">
        <v>3530</v>
      </c>
      <c r="E1254" s="3817" t="s">
        <v>3453</v>
      </c>
      <c r="F1254" s="3817">
        <v>270</v>
      </c>
      <c r="G1254" s="3819">
        <v>41532</v>
      </c>
      <c r="H1254" s="3817">
        <v>258</v>
      </c>
      <c r="I1254" s="3817">
        <v>39988</v>
      </c>
    </row>
    <row r="1255" spans="1:9">
      <c r="A1255" s="3819">
        <v>41528</v>
      </c>
      <c r="B1255" s="3817" t="s">
        <v>3444</v>
      </c>
      <c r="C1255" s="3817">
        <v>59</v>
      </c>
      <c r="D1255" s="3817" t="s">
        <v>3491</v>
      </c>
      <c r="E1255" s="3817" t="s">
        <v>3453</v>
      </c>
      <c r="F1255" s="3817">
        <v>220</v>
      </c>
      <c r="G1255" s="3819">
        <v>41529</v>
      </c>
      <c r="H1255" s="3817">
        <v>216</v>
      </c>
      <c r="I1255" s="3817">
        <v>36242</v>
      </c>
    </row>
    <row r="1256" spans="1:9">
      <c r="A1256" s="3819">
        <v>41519</v>
      </c>
      <c r="B1256" s="3817" t="s">
        <v>3449</v>
      </c>
      <c r="C1256" s="3817">
        <v>90</v>
      </c>
      <c r="D1256" s="3817" t="s">
        <v>3495</v>
      </c>
      <c r="E1256" s="3817" t="s">
        <v>3545</v>
      </c>
      <c r="F1256" s="3817">
        <v>300</v>
      </c>
      <c r="G1256" s="3819">
        <v>41526</v>
      </c>
      <c r="H1256" s="3817">
        <v>290</v>
      </c>
      <c r="I1256" s="3817">
        <v>31992</v>
      </c>
    </row>
    <row r="1257" spans="1:9">
      <c r="A1257" s="3819">
        <v>41501</v>
      </c>
      <c r="B1257" s="3817" t="s">
        <v>3444</v>
      </c>
      <c r="C1257" s="3817">
        <v>55</v>
      </c>
      <c r="D1257" s="3817" t="s">
        <v>3491</v>
      </c>
      <c r="E1257" s="3817" t="s">
        <v>3498</v>
      </c>
      <c r="F1257" s="3817">
        <v>220</v>
      </c>
      <c r="G1257" s="3819">
        <v>41505</v>
      </c>
      <c r="H1257" s="3817">
        <v>209</v>
      </c>
      <c r="I1257" s="3817">
        <v>37890</v>
      </c>
    </row>
    <row r="1258" spans="1:9">
      <c r="A1258" s="3819">
        <v>41495</v>
      </c>
      <c r="B1258" s="3817" t="s">
        <v>3444</v>
      </c>
      <c r="C1258" s="3817">
        <v>62</v>
      </c>
      <c r="D1258" s="3817" t="s">
        <v>3496</v>
      </c>
      <c r="E1258" s="3817" t="s">
        <v>3469</v>
      </c>
      <c r="F1258" s="3817">
        <v>252</v>
      </c>
      <c r="G1258" s="3819">
        <v>41496</v>
      </c>
      <c r="H1258" s="3817">
        <v>243</v>
      </c>
      <c r="I1258" s="3817">
        <v>39156</v>
      </c>
    </row>
    <row r="1259" spans="1:9">
      <c r="A1259" s="3819">
        <v>41495</v>
      </c>
      <c r="B1259" s="3817" t="s">
        <v>3444</v>
      </c>
      <c r="C1259" s="3817">
        <v>55</v>
      </c>
      <c r="D1259" s="3817" t="s">
        <v>3533</v>
      </c>
      <c r="E1259" s="3817" t="s">
        <v>3453</v>
      </c>
      <c r="F1259" s="3817">
        <v>210</v>
      </c>
      <c r="G1259" s="3819">
        <v>41498</v>
      </c>
      <c r="H1259" s="3817">
        <v>210</v>
      </c>
      <c r="I1259" s="3817">
        <v>38072</v>
      </c>
    </row>
    <row r="1260" spans="1:9">
      <c r="A1260" s="3819">
        <v>41486</v>
      </c>
      <c r="B1260" s="3817" t="s">
        <v>3444</v>
      </c>
      <c r="C1260" s="3817">
        <v>62</v>
      </c>
      <c r="D1260" s="3817" t="s">
        <v>3518</v>
      </c>
      <c r="E1260" s="3817" t="s">
        <v>3458</v>
      </c>
      <c r="F1260" s="3817">
        <v>225</v>
      </c>
      <c r="G1260" s="3819">
        <v>41486</v>
      </c>
      <c r="H1260" s="3817">
        <v>225</v>
      </c>
      <c r="I1260" s="3817">
        <v>35914</v>
      </c>
    </row>
    <row r="1261" spans="1:9">
      <c r="A1261" s="3819">
        <v>41485</v>
      </c>
      <c r="B1261" s="3817" t="s">
        <v>3444</v>
      </c>
      <c r="C1261" s="3817">
        <v>55</v>
      </c>
      <c r="D1261" s="3817" t="s">
        <v>3491</v>
      </c>
      <c r="E1261" s="3817" t="s">
        <v>3453</v>
      </c>
      <c r="F1261" s="3817">
        <v>215</v>
      </c>
      <c r="G1261" s="3819">
        <v>41486</v>
      </c>
      <c r="H1261" s="3817">
        <v>207</v>
      </c>
      <c r="I1261" s="3817">
        <v>37618</v>
      </c>
    </row>
    <row r="1262" spans="1:9">
      <c r="A1262" s="3819">
        <v>41484</v>
      </c>
      <c r="B1262" s="3817" t="s">
        <v>3444</v>
      </c>
      <c r="C1262" s="3817">
        <v>62</v>
      </c>
      <c r="D1262" s="3817" t="s">
        <v>3495</v>
      </c>
      <c r="E1262" s="3817" t="s">
        <v>3466</v>
      </c>
      <c r="F1262" s="3817">
        <v>230</v>
      </c>
      <c r="G1262" s="3819">
        <v>41485</v>
      </c>
      <c r="H1262" s="3817">
        <v>222</v>
      </c>
      <c r="I1262" s="3817">
        <v>35515</v>
      </c>
    </row>
    <row r="1263" spans="1:9">
      <c r="A1263" s="3819">
        <v>41482</v>
      </c>
      <c r="B1263" s="3817" t="s">
        <v>3444</v>
      </c>
      <c r="C1263" s="3817">
        <v>64</v>
      </c>
      <c r="D1263" s="3817" t="s">
        <v>3496</v>
      </c>
      <c r="E1263" s="3817" t="s">
        <v>3429</v>
      </c>
      <c r="F1263" s="3817">
        <v>248</v>
      </c>
      <c r="G1263" s="3819">
        <v>41485</v>
      </c>
      <c r="H1263" s="3817">
        <v>238</v>
      </c>
      <c r="I1263" s="3817">
        <v>36723</v>
      </c>
    </row>
    <row r="1264" spans="1:9">
      <c r="A1264" s="3819">
        <v>41478</v>
      </c>
      <c r="B1264" s="3817" t="s">
        <v>3444</v>
      </c>
      <c r="C1264" s="3817">
        <v>57</v>
      </c>
      <c r="D1264" s="3817" t="s">
        <v>3491</v>
      </c>
      <c r="E1264" s="3817" t="s">
        <v>3453</v>
      </c>
      <c r="F1264" s="3817">
        <v>210</v>
      </c>
      <c r="G1264" s="3819">
        <v>41481</v>
      </c>
      <c r="H1264" s="3817">
        <v>209</v>
      </c>
      <c r="I1264" s="3817">
        <v>36412</v>
      </c>
    </row>
    <row r="1265" spans="1:9">
      <c r="A1265" s="3819">
        <v>41476</v>
      </c>
      <c r="B1265" s="3817" t="s">
        <v>3444</v>
      </c>
      <c r="C1265" s="3817">
        <v>70</v>
      </c>
      <c r="D1265" s="3817" t="s">
        <v>3490</v>
      </c>
      <c r="E1265" s="3817" t="s">
        <v>3457</v>
      </c>
      <c r="F1265" s="3817">
        <v>240</v>
      </c>
      <c r="G1265" s="3819">
        <v>41478</v>
      </c>
      <c r="H1265" s="3817">
        <v>235</v>
      </c>
      <c r="I1265" s="3817">
        <v>33562</v>
      </c>
    </row>
    <row r="1266" spans="1:9">
      <c r="A1266" s="3819">
        <v>41469</v>
      </c>
      <c r="B1266" s="3817" t="s">
        <v>3449</v>
      </c>
      <c r="C1266" s="3817">
        <v>64</v>
      </c>
      <c r="D1266" s="3817" t="s">
        <v>3530</v>
      </c>
      <c r="E1266" s="3817" t="s">
        <v>3453</v>
      </c>
      <c r="F1266" s="3817">
        <v>270</v>
      </c>
      <c r="G1266" s="3819">
        <v>41473</v>
      </c>
      <c r="H1266" s="3817">
        <v>250</v>
      </c>
      <c r="I1266" s="3817">
        <v>38748</v>
      </c>
    </row>
    <row r="1267" spans="1:9">
      <c r="A1267" s="3819">
        <v>41464</v>
      </c>
      <c r="B1267" s="3817" t="s">
        <v>3444</v>
      </c>
      <c r="C1267" s="3817">
        <v>69</v>
      </c>
      <c r="D1267" s="3817" t="s">
        <v>3491</v>
      </c>
      <c r="E1267" s="3817" t="s">
        <v>3453</v>
      </c>
      <c r="F1267" s="3817">
        <v>262</v>
      </c>
      <c r="G1267" s="3819">
        <v>41466</v>
      </c>
      <c r="H1267" s="3817">
        <v>258</v>
      </c>
      <c r="I1267" s="3817">
        <v>36974</v>
      </c>
    </row>
    <row r="1268" spans="1:9">
      <c r="A1268" s="3819">
        <v>41462</v>
      </c>
      <c r="B1268" s="3817" t="s">
        <v>3444</v>
      </c>
      <c r="C1268" s="3817">
        <v>57</v>
      </c>
      <c r="D1268" s="3817" t="s">
        <v>3490</v>
      </c>
      <c r="E1268" s="3817" t="s">
        <v>3453</v>
      </c>
      <c r="F1268" s="3817">
        <v>205</v>
      </c>
      <c r="G1268" s="3819">
        <v>41466</v>
      </c>
      <c r="H1268" s="3817">
        <v>199</v>
      </c>
      <c r="I1268" s="3817">
        <v>34669</v>
      </c>
    </row>
    <row r="1269" spans="1:9">
      <c r="A1269" s="3819">
        <v>41455</v>
      </c>
      <c r="B1269" s="3817" t="s">
        <v>3444</v>
      </c>
      <c r="C1269" s="3817">
        <v>57</v>
      </c>
      <c r="D1269" s="3817" t="s">
        <v>3491</v>
      </c>
      <c r="E1269" s="3817" t="s">
        <v>3453</v>
      </c>
      <c r="F1269" s="3817">
        <v>200</v>
      </c>
      <c r="G1269" s="3819">
        <v>41455</v>
      </c>
      <c r="H1269" s="3817">
        <v>188</v>
      </c>
      <c r="I1269" s="3817">
        <v>32753</v>
      </c>
    </row>
    <row r="1270" spans="1:9">
      <c r="A1270" s="3819">
        <v>41440</v>
      </c>
      <c r="B1270" s="3817" t="s">
        <v>3444</v>
      </c>
      <c r="C1270" s="3817">
        <v>73</v>
      </c>
      <c r="D1270" s="3817" t="s">
        <v>3518</v>
      </c>
      <c r="E1270" s="3817" t="s">
        <v>3470</v>
      </c>
      <c r="F1270" s="3817">
        <v>230</v>
      </c>
      <c r="G1270" s="3819">
        <v>41444</v>
      </c>
      <c r="H1270" s="3817">
        <v>225</v>
      </c>
      <c r="I1270" s="3817">
        <v>30559</v>
      </c>
    </row>
    <row r="1271" spans="1:9">
      <c r="A1271" s="3819">
        <v>41440</v>
      </c>
      <c r="B1271" s="3817" t="s">
        <v>3471</v>
      </c>
      <c r="C1271" s="3817">
        <v>43</v>
      </c>
      <c r="D1271" s="3817" t="s">
        <v>3533</v>
      </c>
      <c r="E1271" s="3817" t="s">
        <v>3442</v>
      </c>
      <c r="F1271" s="3817">
        <v>165</v>
      </c>
      <c r="G1271" s="3819">
        <v>41443</v>
      </c>
      <c r="H1271" s="3817">
        <v>160</v>
      </c>
      <c r="I1271" s="3817">
        <v>37038</v>
      </c>
    </row>
    <row r="1272" spans="1:9">
      <c r="A1272" s="3819">
        <v>41440</v>
      </c>
      <c r="B1272" s="3817" t="s">
        <v>3449</v>
      </c>
      <c r="C1272" s="3817">
        <v>76</v>
      </c>
      <c r="D1272" s="3817" t="s">
        <v>3490</v>
      </c>
      <c r="E1272" s="3817" t="s">
        <v>3453</v>
      </c>
      <c r="F1272" s="3817">
        <v>250</v>
      </c>
      <c r="G1272" s="3819">
        <v>41445</v>
      </c>
      <c r="H1272" s="3817">
        <v>248</v>
      </c>
      <c r="I1272" s="3817">
        <v>32354</v>
      </c>
    </row>
    <row r="1273" spans="1:9">
      <c r="A1273" s="3819">
        <v>41429</v>
      </c>
      <c r="B1273" s="3817" t="s">
        <v>3444</v>
      </c>
      <c r="C1273" s="3817">
        <v>73</v>
      </c>
      <c r="D1273" s="3817" t="s">
        <v>3496</v>
      </c>
      <c r="E1273" s="3817" t="s">
        <v>3545</v>
      </c>
      <c r="F1273" s="3817">
        <v>235</v>
      </c>
      <c r="G1273" s="3819">
        <v>41430</v>
      </c>
      <c r="H1273" s="3817">
        <v>230</v>
      </c>
      <c r="I1273" s="3817">
        <v>31238</v>
      </c>
    </row>
    <row r="1274" spans="1:9">
      <c r="A1274" s="3819">
        <v>41427</v>
      </c>
      <c r="B1274" s="3817" t="s">
        <v>3444</v>
      </c>
      <c r="C1274" s="3817">
        <v>62</v>
      </c>
      <c r="D1274" s="3817" t="s">
        <v>3491</v>
      </c>
      <c r="E1274" s="3817" t="s">
        <v>3453</v>
      </c>
      <c r="F1274" s="3817">
        <v>235</v>
      </c>
      <c r="G1274" s="3819">
        <v>41431</v>
      </c>
      <c r="H1274" s="3817">
        <v>228</v>
      </c>
      <c r="I1274" s="3817">
        <v>36249</v>
      </c>
    </row>
    <row r="1275" spans="1:9">
      <c r="A1275" s="3819">
        <v>41420</v>
      </c>
      <c r="B1275" s="3817" t="s">
        <v>3444</v>
      </c>
      <c r="C1275" s="3817">
        <v>57</v>
      </c>
      <c r="D1275" s="3817" t="s">
        <v>3491</v>
      </c>
      <c r="E1275" s="3817" t="s">
        <v>3453</v>
      </c>
      <c r="F1275" s="3817">
        <v>190</v>
      </c>
      <c r="G1275" s="3819">
        <v>41421</v>
      </c>
      <c r="H1275" s="3817">
        <v>182</v>
      </c>
      <c r="I1275" s="3817">
        <v>31819</v>
      </c>
    </row>
    <row r="1276" spans="1:9">
      <c r="A1276" s="3819">
        <v>41413</v>
      </c>
      <c r="B1276" s="3817" t="s">
        <v>3444</v>
      </c>
      <c r="C1276" s="3817">
        <v>57</v>
      </c>
      <c r="D1276" s="3817" t="s">
        <v>3497</v>
      </c>
      <c r="E1276" s="3817" t="s">
        <v>3453</v>
      </c>
      <c r="F1276" s="3817">
        <v>200</v>
      </c>
      <c r="G1276" s="3819">
        <v>41414</v>
      </c>
      <c r="H1276" s="3817">
        <v>194</v>
      </c>
      <c r="I1276" s="3817">
        <v>33768</v>
      </c>
    </row>
    <row r="1277" spans="1:9">
      <c r="A1277" s="3819">
        <v>41400</v>
      </c>
      <c r="B1277" s="3817" t="s">
        <v>3444</v>
      </c>
      <c r="C1277" s="3817">
        <v>55</v>
      </c>
      <c r="D1277" s="3817" t="s">
        <v>3491</v>
      </c>
      <c r="E1277" s="3817" t="s">
        <v>3498</v>
      </c>
      <c r="F1277" s="3817">
        <v>210</v>
      </c>
      <c r="G1277" s="3819">
        <v>41403</v>
      </c>
      <c r="H1277" s="3817">
        <v>205</v>
      </c>
      <c r="I1277" s="3817">
        <v>37165</v>
      </c>
    </row>
    <row r="1278" spans="1:9">
      <c r="A1278" s="3819">
        <v>41384</v>
      </c>
      <c r="B1278" s="3817" t="s">
        <v>3444</v>
      </c>
      <c r="C1278" s="3817">
        <v>55</v>
      </c>
      <c r="D1278" s="3817" t="s">
        <v>3533</v>
      </c>
      <c r="E1278" s="3817" t="s">
        <v>3458</v>
      </c>
      <c r="F1278" s="3817">
        <v>170</v>
      </c>
      <c r="G1278" s="3819">
        <v>41386</v>
      </c>
      <c r="H1278" s="3817">
        <v>161</v>
      </c>
      <c r="I1278" s="3817">
        <v>29279</v>
      </c>
    </row>
    <row r="1279" spans="1:9">
      <c r="A1279" s="3819">
        <v>41361</v>
      </c>
      <c r="B1279" s="3817" t="s">
        <v>3444</v>
      </c>
      <c r="C1279" s="3817">
        <v>49</v>
      </c>
      <c r="D1279" s="3817" t="s">
        <v>3490</v>
      </c>
      <c r="E1279" s="3817" t="s">
        <v>3470</v>
      </c>
      <c r="F1279" s="3817">
        <v>170</v>
      </c>
      <c r="G1279" s="3819">
        <v>41364</v>
      </c>
      <c r="H1279" s="3817">
        <v>168</v>
      </c>
      <c r="I1279" s="3817">
        <v>33831</v>
      </c>
    </row>
    <row r="1280" spans="1:9">
      <c r="A1280" s="3819">
        <v>41353</v>
      </c>
      <c r="B1280" s="3817" t="s">
        <v>3444</v>
      </c>
      <c r="C1280" s="3817">
        <v>59</v>
      </c>
      <c r="D1280" s="3817" t="s">
        <v>3530</v>
      </c>
      <c r="E1280" s="3817" t="s">
        <v>3453</v>
      </c>
      <c r="F1280" s="3817">
        <v>180</v>
      </c>
      <c r="G1280" s="3819">
        <v>41356</v>
      </c>
      <c r="H1280" s="3817">
        <v>175</v>
      </c>
      <c r="I1280" s="3817">
        <v>29314</v>
      </c>
    </row>
    <row r="1281" spans="1:9">
      <c r="A1281" s="3819">
        <v>41348</v>
      </c>
      <c r="B1281" s="3817" t="s">
        <v>3444</v>
      </c>
      <c r="C1281" s="3817">
        <v>58</v>
      </c>
      <c r="D1281" s="3817" t="s">
        <v>3533</v>
      </c>
      <c r="E1281" s="3817" t="s">
        <v>3453</v>
      </c>
      <c r="F1281" s="3817">
        <v>190</v>
      </c>
      <c r="G1281" s="3819">
        <v>41348</v>
      </c>
      <c r="H1281" s="3817">
        <v>183</v>
      </c>
      <c r="I1281" s="3817">
        <v>31123</v>
      </c>
    </row>
    <row r="1282" spans="1:9">
      <c r="A1282" s="3819">
        <v>41348</v>
      </c>
      <c r="B1282" s="3817" t="s">
        <v>3471</v>
      </c>
      <c r="C1282" s="3817">
        <v>40</v>
      </c>
      <c r="D1282" s="3817" t="s">
        <v>3490</v>
      </c>
      <c r="E1282" s="3817" t="s">
        <v>3429</v>
      </c>
      <c r="F1282" s="3817">
        <v>155</v>
      </c>
      <c r="G1282" s="3819">
        <v>41349</v>
      </c>
      <c r="H1282" s="3817">
        <v>146</v>
      </c>
      <c r="I1282" s="3817">
        <v>36020</v>
      </c>
    </row>
    <row r="1283" spans="1:9">
      <c r="A1283" s="3819">
        <v>41345</v>
      </c>
      <c r="B1283" s="3817" t="s">
        <v>3471</v>
      </c>
      <c r="C1283" s="3817">
        <v>43</v>
      </c>
      <c r="D1283" s="3817" t="s">
        <v>3491</v>
      </c>
      <c r="E1283" s="3817" t="s">
        <v>3442</v>
      </c>
      <c r="F1283" s="3817">
        <v>155</v>
      </c>
      <c r="G1283" s="3819">
        <v>41346</v>
      </c>
      <c r="H1283" s="3817">
        <v>153</v>
      </c>
      <c r="I1283" s="3817">
        <v>35533</v>
      </c>
    </row>
    <row r="1284" spans="1:9">
      <c r="A1284" s="3819">
        <v>41342</v>
      </c>
      <c r="B1284" s="3817" t="s">
        <v>3444</v>
      </c>
      <c r="C1284" s="3817">
        <v>62</v>
      </c>
      <c r="D1284" s="3817" t="s">
        <v>3496</v>
      </c>
      <c r="E1284" s="3817" t="s">
        <v>3469</v>
      </c>
      <c r="F1284" s="3817">
        <v>215</v>
      </c>
      <c r="G1284" s="3819">
        <v>41343</v>
      </c>
      <c r="H1284" s="3817">
        <v>215</v>
      </c>
      <c r="I1284" s="3817">
        <v>34644</v>
      </c>
    </row>
    <row r="1285" spans="1:9">
      <c r="A1285" s="3819">
        <v>41337</v>
      </c>
      <c r="B1285" s="3817" t="s">
        <v>3444</v>
      </c>
      <c r="C1285" s="3817">
        <v>58</v>
      </c>
      <c r="D1285" s="3817" t="s">
        <v>3533</v>
      </c>
      <c r="E1285" s="3817" t="s">
        <v>3453</v>
      </c>
      <c r="F1285" s="3817">
        <v>165</v>
      </c>
      <c r="G1285" s="3819">
        <v>41340</v>
      </c>
      <c r="H1285" s="3817">
        <v>164</v>
      </c>
      <c r="I1285" s="3817">
        <v>27892</v>
      </c>
    </row>
    <row r="1286" spans="1:9">
      <c r="A1286" s="3819">
        <v>41337</v>
      </c>
      <c r="B1286" s="3817" t="s">
        <v>3471</v>
      </c>
      <c r="C1286" s="3817">
        <v>45</v>
      </c>
      <c r="D1286" s="3817" t="s">
        <v>3496</v>
      </c>
      <c r="E1286" s="3817" t="s">
        <v>3466</v>
      </c>
      <c r="F1286" s="3817">
        <v>165</v>
      </c>
      <c r="G1286" s="3819">
        <v>41338</v>
      </c>
      <c r="H1286" s="3817">
        <v>168</v>
      </c>
      <c r="I1286" s="3817">
        <v>36818</v>
      </c>
    </row>
    <row r="1287" spans="1:9">
      <c r="A1287" s="3819">
        <v>41335</v>
      </c>
      <c r="B1287" s="3817" t="s">
        <v>3444</v>
      </c>
      <c r="C1287" s="3817">
        <v>62</v>
      </c>
      <c r="D1287" s="3817" t="s">
        <v>3538</v>
      </c>
      <c r="E1287" s="3817" t="s">
        <v>3468</v>
      </c>
      <c r="F1287" s="3817">
        <v>220</v>
      </c>
      <c r="G1287" s="3819">
        <v>41338</v>
      </c>
      <c r="H1287" s="3817">
        <v>211</v>
      </c>
      <c r="I1287" s="3817">
        <v>33680</v>
      </c>
    </row>
    <row r="1288" spans="1:9">
      <c r="A1288" s="3819">
        <v>41332</v>
      </c>
      <c r="B1288" s="3817" t="s">
        <v>3444</v>
      </c>
      <c r="C1288" s="3817">
        <v>58</v>
      </c>
      <c r="D1288" s="3817" t="s">
        <v>3533</v>
      </c>
      <c r="E1288" s="3817" t="s">
        <v>3453</v>
      </c>
      <c r="F1288" s="3817">
        <v>193</v>
      </c>
      <c r="G1288" s="3819">
        <v>41333</v>
      </c>
      <c r="H1288" s="3817">
        <v>181</v>
      </c>
      <c r="I1288" s="3817">
        <v>30783</v>
      </c>
    </row>
    <row r="1289" spans="1:9">
      <c r="A1289" s="3819">
        <v>41331</v>
      </c>
      <c r="B1289" s="3817" t="s">
        <v>3444</v>
      </c>
      <c r="C1289" s="3817">
        <v>52</v>
      </c>
      <c r="D1289" s="3817" t="s">
        <v>3530</v>
      </c>
      <c r="E1289" s="3817" t="s">
        <v>3453</v>
      </c>
      <c r="F1289" s="3817">
        <v>185</v>
      </c>
      <c r="G1289" s="3819">
        <v>41332</v>
      </c>
      <c r="H1289" s="3817">
        <v>182</v>
      </c>
      <c r="I1289" s="3817">
        <v>34667</v>
      </c>
    </row>
    <row r="1290" spans="1:9">
      <c r="A1290" s="3819">
        <v>41329</v>
      </c>
      <c r="B1290" s="3817" t="s">
        <v>3444</v>
      </c>
      <c r="C1290" s="3817">
        <v>54</v>
      </c>
      <c r="D1290" s="3817" t="s">
        <v>3490</v>
      </c>
      <c r="E1290" s="3817" t="s">
        <v>3453</v>
      </c>
      <c r="F1290" s="3817">
        <v>180</v>
      </c>
      <c r="G1290" s="3819">
        <v>41331</v>
      </c>
      <c r="H1290" s="3817">
        <v>180</v>
      </c>
      <c r="I1290" s="3817">
        <v>32925</v>
      </c>
    </row>
    <row r="1291" spans="1:9">
      <c r="A1291" s="3819">
        <v>41329</v>
      </c>
      <c r="B1291" s="3817" t="s">
        <v>3444</v>
      </c>
      <c r="C1291" s="3817">
        <v>56</v>
      </c>
      <c r="D1291" s="3817" t="s">
        <v>3534</v>
      </c>
      <c r="E1291" s="3817" t="s">
        <v>3469</v>
      </c>
      <c r="F1291" s="3817">
        <v>188</v>
      </c>
      <c r="G1291" s="3819">
        <v>41329</v>
      </c>
      <c r="H1291" s="3817">
        <v>186</v>
      </c>
      <c r="I1291" s="3817">
        <v>32966</v>
      </c>
    </row>
    <row r="1292" spans="1:9">
      <c r="A1292" s="3819">
        <v>41310</v>
      </c>
      <c r="B1292" s="3817" t="s">
        <v>3471</v>
      </c>
      <c r="C1292" s="3817">
        <v>40</v>
      </c>
      <c r="D1292" s="3817" t="s">
        <v>3491</v>
      </c>
      <c r="E1292" s="3817" t="s">
        <v>3429</v>
      </c>
      <c r="F1292" s="3817">
        <v>145</v>
      </c>
      <c r="G1292" s="3819">
        <v>41329</v>
      </c>
      <c r="H1292" s="3817">
        <v>145</v>
      </c>
      <c r="I1292" s="3817">
        <v>35627</v>
      </c>
    </row>
    <row r="1293" spans="1:9">
      <c r="A1293" s="3819">
        <v>41308</v>
      </c>
      <c r="B1293" s="3817" t="s">
        <v>3444</v>
      </c>
      <c r="C1293" s="3817">
        <v>62</v>
      </c>
      <c r="D1293" s="3817" t="s">
        <v>3518</v>
      </c>
      <c r="E1293" s="3817" t="s">
        <v>3469</v>
      </c>
      <c r="F1293" s="3817">
        <v>220</v>
      </c>
      <c r="G1293" s="3819">
        <v>41308</v>
      </c>
      <c r="H1293" s="3817">
        <v>220</v>
      </c>
      <c r="I1293" s="3817">
        <v>35450</v>
      </c>
    </row>
    <row r="1294" spans="1:9">
      <c r="A1294" s="3819">
        <v>41301</v>
      </c>
      <c r="B1294" s="3817" t="s">
        <v>3471</v>
      </c>
      <c r="C1294" s="3817">
        <v>42</v>
      </c>
      <c r="D1294" s="3817" t="s">
        <v>3490</v>
      </c>
      <c r="E1294" s="3817" t="s">
        <v>3429</v>
      </c>
      <c r="F1294" s="3817">
        <v>145</v>
      </c>
      <c r="G1294" s="3819">
        <v>41301</v>
      </c>
      <c r="H1294" s="3817">
        <v>143</v>
      </c>
      <c r="I1294" s="3817">
        <v>33727</v>
      </c>
    </row>
    <row r="1295" spans="1:9">
      <c r="A1295" s="3819">
        <v>41300</v>
      </c>
      <c r="B1295" s="3817" t="s">
        <v>3471</v>
      </c>
      <c r="C1295" s="3817">
        <v>42</v>
      </c>
      <c r="D1295" s="3817" t="s">
        <v>3491</v>
      </c>
      <c r="E1295" s="3817" t="s">
        <v>3453</v>
      </c>
      <c r="F1295" s="3817">
        <v>150</v>
      </c>
      <c r="G1295" s="3819">
        <v>41301</v>
      </c>
      <c r="H1295" s="3817">
        <v>150</v>
      </c>
      <c r="I1295" s="3817">
        <v>34966</v>
      </c>
    </row>
    <row r="1296" spans="1:9">
      <c r="A1296" s="3819">
        <v>41293</v>
      </c>
      <c r="B1296" s="3817" t="s">
        <v>3444</v>
      </c>
      <c r="C1296" s="3817">
        <v>62</v>
      </c>
      <c r="D1296" s="3817" t="s">
        <v>3497</v>
      </c>
      <c r="E1296" s="3817" t="s">
        <v>3453</v>
      </c>
      <c r="F1296" s="3817">
        <v>200</v>
      </c>
      <c r="G1296" s="3819">
        <v>41294</v>
      </c>
      <c r="H1296" s="3817">
        <v>198</v>
      </c>
      <c r="I1296" s="3817">
        <v>31731</v>
      </c>
    </row>
    <row r="1297" spans="1:9">
      <c r="A1297" s="3819">
        <v>41290</v>
      </c>
      <c r="B1297" s="3817" t="s">
        <v>3449</v>
      </c>
      <c r="C1297" s="3817">
        <v>69</v>
      </c>
      <c r="D1297" s="3817" t="s">
        <v>3491</v>
      </c>
      <c r="E1297" s="3817" t="s">
        <v>3453</v>
      </c>
      <c r="F1297" s="3817">
        <v>215</v>
      </c>
      <c r="G1297" s="3819">
        <v>41291</v>
      </c>
      <c r="H1297" s="3817">
        <v>213</v>
      </c>
      <c r="I1297" s="3817">
        <v>30848</v>
      </c>
    </row>
    <row r="1298" spans="1:9">
      <c r="A1298" s="3819">
        <v>41276</v>
      </c>
      <c r="B1298" s="3817" t="s">
        <v>3444</v>
      </c>
      <c r="C1298" s="3817">
        <v>58</v>
      </c>
      <c r="D1298" s="3817" t="s">
        <v>3491</v>
      </c>
      <c r="E1298" s="3817" t="s">
        <v>3453</v>
      </c>
      <c r="F1298" s="3817">
        <v>180</v>
      </c>
      <c r="G1298" s="3819">
        <v>41276</v>
      </c>
      <c r="H1298" s="3817">
        <v>178</v>
      </c>
      <c r="I1298" s="3817">
        <v>30480</v>
      </c>
    </row>
    <row r="1299" spans="1:9">
      <c r="A1299" s="3819">
        <v>41274</v>
      </c>
      <c r="B1299" s="3817" t="s">
        <v>3444</v>
      </c>
      <c r="C1299" s="3817">
        <v>58</v>
      </c>
      <c r="D1299" s="3817" t="s">
        <v>3533</v>
      </c>
      <c r="E1299" s="3817" t="s">
        <v>3453</v>
      </c>
      <c r="F1299" s="3817">
        <v>109</v>
      </c>
      <c r="G1299" s="3819">
        <v>40909</v>
      </c>
      <c r="H1299" s="3817">
        <v>106</v>
      </c>
      <c r="I1299" s="3817">
        <v>18058</v>
      </c>
    </row>
    <row r="1300" spans="1:9">
      <c r="A1300" s="3819">
        <v>41270</v>
      </c>
      <c r="B1300" s="3817" t="s">
        <v>3444</v>
      </c>
      <c r="C1300" s="3817">
        <v>57</v>
      </c>
      <c r="D1300" s="3817" t="s">
        <v>3490</v>
      </c>
      <c r="E1300" s="3817" t="s">
        <v>3453</v>
      </c>
      <c r="F1300" s="3817">
        <v>180</v>
      </c>
      <c r="G1300" s="3819">
        <v>41271</v>
      </c>
      <c r="H1300" s="3817">
        <v>178</v>
      </c>
      <c r="I1300" s="3817">
        <v>31011</v>
      </c>
    </row>
    <row r="1301" spans="1:9">
      <c r="A1301" s="3819">
        <v>41253</v>
      </c>
      <c r="B1301" s="3817" t="s">
        <v>3444</v>
      </c>
      <c r="C1301" s="3817">
        <v>71</v>
      </c>
      <c r="D1301" s="3817" t="s">
        <v>3490</v>
      </c>
      <c r="E1301" s="3817" t="s">
        <v>3453</v>
      </c>
      <c r="F1301" s="3817">
        <v>200</v>
      </c>
      <c r="G1301" s="3819">
        <v>41257</v>
      </c>
      <c r="H1301" s="3817">
        <v>198</v>
      </c>
      <c r="I1301" s="3817">
        <v>27763</v>
      </c>
    </row>
    <row r="1302" spans="1:9">
      <c r="A1302" s="3819">
        <v>41239</v>
      </c>
      <c r="B1302" s="3817" t="s">
        <v>3444</v>
      </c>
      <c r="C1302" s="3817">
        <v>55</v>
      </c>
      <c r="D1302" s="3817" t="s">
        <v>3533</v>
      </c>
      <c r="E1302" s="3817" t="s">
        <v>3457</v>
      </c>
      <c r="F1302" s="3817">
        <v>145</v>
      </c>
      <c r="G1302" s="3819">
        <v>41240</v>
      </c>
      <c r="H1302" s="3817">
        <v>143</v>
      </c>
      <c r="I1302" s="3817">
        <v>25925</v>
      </c>
    </row>
    <row r="1303" spans="1:9">
      <c r="A1303" s="3819">
        <v>41234</v>
      </c>
      <c r="B1303" s="3817" t="s">
        <v>3444</v>
      </c>
      <c r="C1303" s="3817">
        <v>84</v>
      </c>
      <c r="D1303" s="3817" t="s">
        <v>3499</v>
      </c>
      <c r="E1303" s="3817" t="s">
        <v>3545</v>
      </c>
      <c r="F1303" s="3817">
        <v>205</v>
      </c>
      <c r="G1303" s="3819">
        <v>41236</v>
      </c>
      <c r="H1303" s="3817">
        <v>200</v>
      </c>
      <c r="I1303" s="3817">
        <v>23535</v>
      </c>
    </row>
    <row r="1304" spans="1:9">
      <c r="A1304" s="3819">
        <v>41233</v>
      </c>
      <c r="B1304" s="3817" t="s">
        <v>3444</v>
      </c>
      <c r="C1304" s="3817">
        <v>54</v>
      </c>
      <c r="D1304" s="3817" t="s">
        <v>3497</v>
      </c>
      <c r="E1304" s="3817" t="s">
        <v>3453</v>
      </c>
      <c r="F1304" s="3817">
        <v>155</v>
      </c>
      <c r="G1304" s="3819">
        <v>41234</v>
      </c>
      <c r="H1304" s="3817">
        <v>152</v>
      </c>
      <c r="I1304" s="3817">
        <v>28097</v>
      </c>
    </row>
    <row r="1305" spans="1:9">
      <c r="A1305" s="3819">
        <v>41228</v>
      </c>
      <c r="B1305" s="3817" t="s">
        <v>3444</v>
      </c>
      <c r="C1305" s="3817">
        <v>71</v>
      </c>
      <c r="D1305" s="3817" t="s">
        <v>3499</v>
      </c>
      <c r="E1305" s="3817" t="s">
        <v>3429</v>
      </c>
      <c r="F1305" s="3817">
        <v>190</v>
      </c>
      <c r="G1305" s="3819">
        <v>41228</v>
      </c>
      <c r="H1305" s="3817">
        <v>185</v>
      </c>
      <c r="I1305" s="3817">
        <v>25885</v>
      </c>
    </row>
    <row r="1306" spans="1:9">
      <c r="A1306" s="3819">
        <v>41209</v>
      </c>
      <c r="B1306" s="3817" t="s">
        <v>3449</v>
      </c>
      <c r="C1306" s="3817">
        <v>91</v>
      </c>
      <c r="D1306" s="3817" t="s">
        <v>3532</v>
      </c>
      <c r="E1306" s="3817" t="s">
        <v>3466</v>
      </c>
      <c r="F1306" s="3817">
        <v>240</v>
      </c>
      <c r="G1306" s="3819">
        <v>41209</v>
      </c>
      <c r="H1306" s="3817">
        <v>235</v>
      </c>
      <c r="I1306" s="3817">
        <v>25734</v>
      </c>
    </row>
    <row r="1307" spans="1:9">
      <c r="A1307" s="3819">
        <v>41207</v>
      </c>
      <c r="B1307" s="3817" t="s">
        <v>3471</v>
      </c>
      <c r="C1307" s="3817">
        <v>43</v>
      </c>
      <c r="D1307" s="3817" t="s">
        <v>3490</v>
      </c>
      <c r="E1307" s="3817" t="s">
        <v>3429</v>
      </c>
      <c r="F1307" s="3817">
        <v>110</v>
      </c>
      <c r="G1307" s="3819">
        <v>41208</v>
      </c>
      <c r="H1307" s="3817">
        <v>105</v>
      </c>
      <c r="I1307" s="3817">
        <v>24312</v>
      </c>
    </row>
    <row r="1308" spans="1:9">
      <c r="A1308" s="3819">
        <v>41184</v>
      </c>
      <c r="B1308" s="3817" t="s">
        <v>3471</v>
      </c>
      <c r="C1308" s="3817">
        <v>40</v>
      </c>
      <c r="D1308" s="3817" t="s">
        <v>3491</v>
      </c>
      <c r="E1308" s="3817" t="s">
        <v>3429</v>
      </c>
      <c r="F1308" s="3817">
        <v>115</v>
      </c>
      <c r="G1308" s="3819">
        <v>41186</v>
      </c>
      <c r="H1308" s="3817">
        <v>115</v>
      </c>
      <c r="I1308" s="3817">
        <v>28256</v>
      </c>
    </row>
    <row r="1309" spans="1:9">
      <c r="A1309" s="3819">
        <v>41180</v>
      </c>
      <c r="B1309" s="3817" t="s">
        <v>3444</v>
      </c>
      <c r="C1309" s="3817">
        <v>54</v>
      </c>
      <c r="D1309" s="3817" t="s">
        <v>3490</v>
      </c>
      <c r="E1309" s="3817" t="s">
        <v>3457</v>
      </c>
      <c r="F1309" s="3817">
        <v>140</v>
      </c>
      <c r="G1309" s="3819">
        <v>41181</v>
      </c>
      <c r="H1309" s="3817">
        <v>139</v>
      </c>
      <c r="I1309" s="3817">
        <v>25365</v>
      </c>
    </row>
    <row r="1310" spans="1:9">
      <c r="A1310" s="3819">
        <v>41176</v>
      </c>
      <c r="B1310" s="3817" t="s">
        <v>3444</v>
      </c>
      <c r="C1310" s="3817">
        <v>54</v>
      </c>
      <c r="D1310" s="3817" t="s">
        <v>3491</v>
      </c>
      <c r="E1310" s="3817" t="s">
        <v>3453</v>
      </c>
      <c r="F1310" s="3817">
        <v>145</v>
      </c>
      <c r="G1310" s="3819">
        <v>41178</v>
      </c>
      <c r="H1310" s="3817">
        <v>140</v>
      </c>
      <c r="I1310" s="3817">
        <v>25874</v>
      </c>
    </row>
    <row r="1311" spans="1:9">
      <c r="A1311" s="3819">
        <v>41175</v>
      </c>
      <c r="B1311" s="3817" t="s">
        <v>3444</v>
      </c>
      <c r="C1311" s="3817">
        <v>57</v>
      </c>
      <c r="D1311" s="3817" t="s">
        <v>3533</v>
      </c>
      <c r="E1311" s="3817" t="s">
        <v>3453</v>
      </c>
      <c r="F1311" s="3817">
        <v>143</v>
      </c>
      <c r="G1311" s="3819">
        <v>41176</v>
      </c>
      <c r="H1311" s="3817">
        <v>138</v>
      </c>
      <c r="I1311" s="3817">
        <v>24046</v>
      </c>
    </row>
    <row r="1312" spans="1:9">
      <c r="A1312" s="3819">
        <v>41175</v>
      </c>
      <c r="B1312" s="3817" t="s">
        <v>3444</v>
      </c>
      <c r="C1312" s="3817">
        <v>51</v>
      </c>
      <c r="D1312" s="3817" t="s">
        <v>3533</v>
      </c>
      <c r="E1312" s="3817" t="s">
        <v>3466</v>
      </c>
      <c r="F1312" s="3817">
        <v>136</v>
      </c>
      <c r="G1312" s="3819">
        <v>41176</v>
      </c>
      <c r="H1312" s="3817">
        <v>136</v>
      </c>
      <c r="I1312" s="3817">
        <v>26646</v>
      </c>
    </row>
    <row r="1313" spans="1:9">
      <c r="A1313" s="3819">
        <v>41165</v>
      </c>
      <c r="B1313" s="3817" t="s">
        <v>3444</v>
      </c>
      <c r="C1313" s="3817">
        <v>58</v>
      </c>
      <c r="D1313" s="3817" t="s">
        <v>3533</v>
      </c>
      <c r="E1313" s="3817" t="s">
        <v>3453</v>
      </c>
      <c r="F1313" s="3817">
        <v>148</v>
      </c>
      <c r="G1313" s="3819">
        <v>41166</v>
      </c>
      <c r="H1313" s="3817">
        <v>145</v>
      </c>
      <c r="I1313" s="3817">
        <v>24702</v>
      </c>
    </row>
    <row r="1314" spans="1:9">
      <c r="A1314" s="3819">
        <v>41161</v>
      </c>
      <c r="B1314" s="3817" t="s">
        <v>3449</v>
      </c>
      <c r="C1314" s="3817">
        <v>77</v>
      </c>
      <c r="D1314" s="3817" t="s">
        <v>3497</v>
      </c>
      <c r="E1314" s="3817" t="s">
        <v>3453</v>
      </c>
      <c r="F1314" s="3817">
        <v>205</v>
      </c>
      <c r="G1314" s="3819">
        <v>41165</v>
      </c>
      <c r="H1314" s="3817">
        <v>192</v>
      </c>
      <c r="I1314" s="3817">
        <v>24936</v>
      </c>
    </row>
    <row r="1315" spans="1:9">
      <c r="A1315" s="3819">
        <v>41147</v>
      </c>
      <c r="B1315" s="3817" t="s">
        <v>3444</v>
      </c>
      <c r="C1315" s="3817">
        <v>59</v>
      </c>
      <c r="D1315" s="3817" t="s">
        <v>3491</v>
      </c>
      <c r="E1315" s="3817" t="s">
        <v>3453</v>
      </c>
      <c r="F1315" s="3817">
        <v>160</v>
      </c>
      <c r="G1315" s="3819">
        <v>41149</v>
      </c>
      <c r="H1315" s="3817">
        <v>154</v>
      </c>
      <c r="I1315" s="3817">
        <v>25839</v>
      </c>
    </row>
    <row r="1316" spans="1:9">
      <c r="A1316" s="3819">
        <v>41147</v>
      </c>
      <c r="B1316" s="3817" t="s">
        <v>3449</v>
      </c>
      <c r="C1316" s="3817">
        <v>71</v>
      </c>
      <c r="D1316" s="3817" t="s">
        <v>3490</v>
      </c>
      <c r="E1316" s="3817" t="s">
        <v>3453</v>
      </c>
      <c r="F1316" s="3817">
        <v>192</v>
      </c>
      <c r="G1316" s="3819">
        <v>41151</v>
      </c>
      <c r="H1316" s="3817">
        <v>190</v>
      </c>
      <c r="I1316" s="3817">
        <v>26500</v>
      </c>
    </row>
    <row r="1317" spans="1:9">
      <c r="A1317" s="3819">
        <v>41146</v>
      </c>
      <c r="B1317" s="3817" t="s">
        <v>3444</v>
      </c>
      <c r="C1317" s="3817">
        <v>54</v>
      </c>
      <c r="D1317" s="3817" t="s">
        <v>3491</v>
      </c>
      <c r="E1317" s="3817" t="s">
        <v>3453</v>
      </c>
      <c r="F1317" s="3817">
        <v>160</v>
      </c>
      <c r="G1317" s="3819">
        <v>41148</v>
      </c>
      <c r="H1317" s="3817">
        <v>148</v>
      </c>
      <c r="I1317" s="3817">
        <v>27057</v>
      </c>
    </row>
    <row r="1318" spans="1:9">
      <c r="A1318" s="3819">
        <v>41140</v>
      </c>
      <c r="B1318" s="3817" t="s">
        <v>3444</v>
      </c>
      <c r="C1318" s="3817">
        <v>62</v>
      </c>
      <c r="D1318" s="3817" t="s">
        <v>3538</v>
      </c>
      <c r="E1318" s="3817" t="s">
        <v>3466</v>
      </c>
      <c r="F1318" s="3817">
        <v>152</v>
      </c>
      <c r="G1318" s="3819">
        <v>41144</v>
      </c>
      <c r="H1318" s="3817">
        <v>150</v>
      </c>
      <c r="I1318" s="3817">
        <v>24023</v>
      </c>
    </row>
    <row r="1319" spans="1:9">
      <c r="A1319" s="3819">
        <v>41133</v>
      </c>
      <c r="B1319" s="3817" t="s">
        <v>3444</v>
      </c>
      <c r="C1319" s="3817">
        <v>58</v>
      </c>
      <c r="D1319" s="3817" t="s">
        <v>3533</v>
      </c>
      <c r="E1319" s="3817" t="s">
        <v>3453</v>
      </c>
      <c r="F1319" s="3817">
        <v>140</v>
      </c>
      <c r="G1319" s="3819">
        <v>41138</v>
      </c>
      <c r="H1319" s="3817">
        <v>137</v>
      </c>
      <c r="I1319" s="3817">
        <v>23340</v>
      </c>
    </row>
    <row r="1320" spans="1:9">
      <c r="A1320" s="3819">
        <v>41104</v>
      </c>
      <c r="B1320" s="3817" t="s">
        <v>3449</v>
      </c>
      <c r="C1320" s="3817">
        <v>69</v>
      </c>
      <c r="D1320" s="3817" t="s">
        <v>3490</v>
      </c>
      <c r="E1320" s="3817" t="s">
        <v>3453</v>
      </c>
      <c r="F1320" s="3817">
        <v>172</v>
      </c>
      <c r="G1320" s="3819">
        <v>41108</v>
      </c>
      <c r="H1320" s="3817">
        <v>170</v>
      </c>
      <c r="I1320" s="3817">
        <v>24635</v>
      </c>
    </row>
    <row r="1321" spans="1:9">
      <c r="A1321" s="3819">
        <v>41097</v>
      </c>
      <c r="B1321" s="3817" t="s">
        <v>3444</v>
      </c>
      <c r="C1321" s="3817">
        <v>58</v>
      </c>
      <c r="D1321" s="3817" t="s">
        <v>3533</v>
      </c>
      <c r="E1321" s="3817" t="s">
        <v>3453</v>
      </c>
      <c r="F1321" s="3817">
        <v>145</v>
      </c>
      <c r="G1321" s="3819">
        <v>41099</v>
      </c>
      <c r="H1321" s="3817">
        <v>143</v>
      </c>
      <c r="I1321" s="3817">
        <v>24405</v>
      </c>
    </row>
    <row r="1322" spans="1:9">
      <c r="A1322" s="3819">
        <v>41096</v>
      </c>
      <c r="B1322" s="3817" t="s">
        <v>3471</v>
      </c>
      <c r="C1322" s="3817">
        <v>40</v>
      </c>
      <c r="D1322" s="3817" t="s">
        <v>3490</v>
      </c>
      <c r="E1322" s="3817" t="s">
        <v>3429</v>
      </c>
      <c r="F1322" s="3817">
        <v>89</v>
      </c>
      <c r="G1322" s="3819">
        <v>41099</v>
      </c>
      <c r="H1322" s="3817">
        <v>87</v>
      </c>
      <c r="I1322" s="3817">
        <v>21499</v>
      </c>
    </row>
    <row r="1323" spans="1:9">
      <c r="A1323" s="3819">
        <v>41094</v>
      </c>
      <c r="B1323" s="3817" t="s">
        <v>3444</v>
      </c>
      <c r="C1323" s="3817">
        <v>73</v>
      </c>
      <c r="D1323" s="3817" t="s">
        <v>3496</v>
      </c>
      <c r="E1323" s="3817" t="s">
        <v>3545</v>
      </c>
      <c r="F1323" s="3817">
        <v>165</v>
      </c>
      <c r="G1323" s="3819">
        <v>41095</v>
      </c>
      <c r="H1323" s="3817">
        <v>158</v>
      </c>
      <c r="I1323" s="3817">
        <v>21527</v>
      </c>
    </row>
    <row r="1324" spans="1:9">
      <c r="A1324" s="3819">
        <v>41077</v>
      </c>
      <c r="B1324" s="3817" t="s">
        <v>3444</v>
      </c>
      <c r="C1324" s="3817">
        <v>64</v>
      </c>
      <c r="D1324" s="3817" t="s">
        <v>3518</v>
      </c>
      <c r="E1324" s="3817" t="s">
        <v>3429</v>
      </c>
      <c r="F1324" s="3817">
        <v>165</v>
      </c>
      <c r="G1324" s="3819">
        <v>41079</v>
      </c>
      <c r="H1324" s="3817">
        <v>160</v>
      </c>
      <c r="I1324" s="3817">
        <v>24688</v>
      </c>
    </row>
    <row r="1325" spans="1:9">
      <c r="A1325" s="3819">
        <v>41070</v>
      </c>
      <c r="B1325" s="3817" t="s">
        <v>3449</v>
      </c>
      <c r="C1325" s="3817">
        <v>67</v>
      </c>
      <c r="D1325" s="3817" t="s">
        <v>3497</v>
      </c>
      <c r="E1325" s="3817" t="s">
        <v>3453</v>
      </c>
      <c r="F1325" s="3817">
        <v>175</v>
      </c>
      <c r="G1325" s="3819">
        <v>41071</v>
      </c>
      <c r="H1325" s="3817">
        <v>172</v>
      </c>
      <c r="I1325" s="3817">
        <v>25383</v>
      </c>
    </row>
    <row r="1326" spans="1:9">
      <c r="A1326" s="3819">
        <v>41067</v>
      </c>
      <c r="B1326" s="3817" t="s">
        <v>3444</v>
      </c>
      <c r="C1326" s="3817">
        <v>73</v>
      </c>
      <c r="D1326" s="3817" t="s">
        <v>3495</v>
      </c>
      <c r="E1326" s="3817" t="s">
        <v>3470</v>
      </c>
      <c r="F1326" s="3817">
        <v>162</v>
      </c>
      <c r="G1326" s="3819">
        <v>41068</v>
      </c>
      <c r="H1326" s="3817">
        <v>160</v>
      </c>
      <c r="I1326" s="3817">
        <v>21710</v>
      </c>
    </row>
    <row r="1327" spans="1:9">
      <c r="A1327" s="3819">
        <v>41059</v>
      </c>
      <c r="B1327" s="3817" t="s">
        <v>3444</v>
      </c>
      <c r="C1327" s="3817">
        <v>54</v>
      </c>
      <c r="D1327" s="3817" t="s">
        <v>3533</v>
      </c>
      <c r="E1327" s="3817" t="s">
        <v>3453</v>
      </c>
      <c r="F1327" s="3817">
        <v>130</v>
      </c>
      <c r="G1327" s="3819">
        <v>41060</v>
      </c>
      <c r="H1327" s="3817">
        <v>130</v>
      </c>
      <c r="I1327" s="3817">
        <v>23854</v>
      </c>
    </row>
    <row r="1328" spans="1:9">
      <c r="A1328" s="3819">
        <v>41042</v>
      </c>
      <c r="B1328" s="3817" t="s">
        <v>3444</v>
      </c>
      <c r="C1328" s="3817">
        <v>73</v>
      </c>
      <c r="D1328" s="3817" t="s">
        <v>3495</v>
      </c>
      <c r="E1328" s="3817" t="s">
        <v>3546</v>
      </c>
      <c r="F1328" s="3817">
        <v>155</v>
      </c>
      <c r="G1328" s="3819">
        <v>41043</v>
      </c>
      <c r="H1328" s="3817">
        <v>147</v>
      </c>
      <c r="I1328" s="3817">
        <v>19965</v>
      </c>
    </row>
    <row r="1329" spans="1:9">
      <c r="A1329" s="3819">
        <v>41042</v>
      </c>
      <c r="B1329" s="3817" t="s">
        <v>3444</v>
      </c>
      <c r="C1329" s="3817">
        <v>64</v>
      </c>
      <c r="D1329" s="3817" t="s">
        <v>3518</v>
      </c>
      <c r="E1329" s="3817" t="s">
        <v>3429</v>
      </c>
      <c r="F1329" s="3817">
        <v>155</v>
      </c>
      <c r="G1329" s="3819">
        <v>41044</v>
      </c>
      <c r="H1329" s="3817">
        <v>155</v>
      </c>
      <c r="I1329" s="3817">
        <v>23917</v>
      </c>
    </row>
    <row r="1330" spans="1:9">
      <c r="A1330" s="3819">
        <v>41034</v>
      </c>
      <c r="B1330" s="3817" t="s">
        <v>3444</v>
      </c>
      <c r="C1330" s="3817">
        <v>56</v>
      </c>
      <c r="D1330" s="3817" t="s">
        <v>3530</v>
      </c>
      <c r="E1330" s="3817" t="s">
        <v>3457</v>
      </c>
      <c r="F1330" s="3817">
        <v>125</v>
      </c>
      <c r="G1330" s="3819">
        <v>41036</v>
      </c>
      <c r="H1330" s="3817">
        <v>122</v>
      </c>
      <c r="I1330" s="3817">
        <v>21658</v>
      </c>
    </row>
    <row r="1331" spans="1:9">
      <c r="A1331" s="3819">
        <v>41029</v>
      </c>
      <c r="B1331" s="3817" t="s">
        <v>3444</v>
      </c>
      <c r="C1331" s="3817">
        <v>54</v>
      </c>
      <c r="D1331" s="3817" t="s">
        <v>3497</v>
      </c>
      <c r="E1331" s="3817" t="s">
        <v>3453</v>
      </c>
      <c r="F1331" s="3817">
        <v>130</v>
      </c>
      <c r="G1331" s="3819">
        <v>41029</v>
      </c>
      <c r="H1331" s="3817">
        <v>130</v>
      </c>
      <c r="I1331" s="3817">
        <v>23766</v>
      </c>
    </row>
    <row r="1332" spans="1:9">
      <c r="A1332" s="3819">
        <v>41025</v>
      </c>
      <c r="B1332" s="3817" t="s">
        <v>3444</v>
      </c>
      <c r="C1332" s="3817">
        <v>57</v>
      </c>
      <c r="D1332" s="3817" t="s">
        <v>3491</v>
      </c>
      <c r="E1332" s="3817" t="s">
        <v>3453</v>
      </c>
      <c r="F1332" s="3817">
        <v>135</v>
      </c>
      <c r="G1332" s="3819">
        <v>41025</v>
      </c>
      <c r="H1332" s="3817">
        <v>130</v>
      </c>
      <c r="I1332" s="3817">
        <v>22728</v>
      </c>
    </row>
    <row r="1333" spans="1:9">
      <c r="A1333" s="3819">
        <v>41013</v>
      </c>
      <c r="B1333" s="3817" t="s">
        <v>3444</v>
      </c>
      <c r="C1333" s="3817">
        <v>73</v>
      </c>
      <c r="D1333" s="3817" t="s">
        <v>3496</v>
      </c>
      <c r="E1333" s="3817" t="s">
        <v>3545</v>
      </c>
      <c r="F1333" s="3817">
        <v>155</v>
      </c>
      <c r="G1333" s="3819">
        <v>41014</v>
      </c>
      <c r="H1333" s="3817">
        <v>155</v>
      </c>
      <c r="I1333" s="3817">
        <v>21052</v>
      </c>
    </row>
    <row r="1334" spans="1:9">
      <c r="A1334" s="3819">
        <v>41007</v>
      </c>
      <c r="B1334" s="3817" t="s">
        <v>3444</v>
      </c>
      <c r="C1334" s="3817">
        <v>62</v>
      </c>
      <c r="D1334" s="3817" t="s">
        <v>3495</v>
      </c>
      <c r="E1334" s="3817" t="s">
        <v>3442</v>
      </c>
      <c r="F1334" s="3817">
        <v>138</v>
      </c>
      <c r="G1334" s="3819">
        <v>41007</v>
      </c>
      <c r="H1334" s="3817">
        <v>106</v>
      </c>
      <c r="I1334" s="3817">
        <v>16920</v>
      </c>
    </row>
    <row r="1335" spans="1:9">
      <c r="A1335" s="3819">
        <v>41005</v>
      </c>
      <c r="B1335" s="3817" t="s">
        <v>3471</v>
      </c>
      <c r="C1335" s="3817">
        <v>46</v>
      </c>
      <c r="D1335" s="3817" t="s">
        <v>3491</v>
      </c>
      <c r="E1335" s="3817" t="s">
        <v>3457</v>
      </c>
      <c r="F1335" s="3817">
        <v>90</v>
      </c>
      <c r="G1335" s="3819">
        <v>41008</v>
      </c>
      <c r="H1335" s="3817">
        <v>86</v>
      </c>
      <c r="I1335" s="3817">
        <v>18710</v>
      </c>
    </row>
    <row r="1336" spans="1:9">
      <c r="A1336" s="3819">
        <v>41003</v>
      </c>
      <c r="B1336" s="3817" t="s">
        <v>3449</v>
      </c>
      <c r="C1336" s="3817">
        <v>69</v>
      </c>
      <c r="D1336" s="3817" t="s">
        <v>3533</v>
      </c>
      <c r="E1336" s="3817" t="s">
        <v>3453</v>
      </c>
      <c r="F1336" s="3817">
        <v>152</v>
      </c>
      <c r="G1336" s="3819">
        <v>41004</v>
      </c>
      <c r="H1336" s="3817">
        <v>147</v>
      </c>
      <c r="I1336" s="3817">
        <v>21302</v>
      </c>
    </row>
    <row r="1337" spans="1:9">
      <c r="A1337" s="3819">
        <v>40999</v>
      </c>
      <c r="B1337" s="3817" t="s">
        <v>3444</v>
      </c>
      <c r="C1337" s="3817">
        <v>64</v>
      </c>
      <c r="D1337" s="3817" t="s">
        <v>3518</v>
      </c>
      <c r="E1337" s="3817" t="s">
        <v>3429</v>
      </c>
      <c r="F1337" s="3817">
        <v>150</v>
      </c>
      <c r="G1337" s="3819">
        <v>40999</v>
      </c>
      <c r="H1337" s="3817">
        <v>120</v>
      </c>
      <c r="I1337" s="3817">
        <v>18516</v>
      </c>
    </row>
    <row r="1338" spans="1:9">
      <c r="A1338" s="3819">
        <v>40998</v>
      </c>
      <c r="B1338" s="3817" t="s">
        <v>3449</v>
      </c>
      <c r="C1338" s="3817">
        <v>70</v>
      </c>
      <c r="D1338" s="3817" t="s">
        <v>3496</v>
      </c>
      <c r="E1338" s="3817" t="s">
        <v>3470</v>
      </c>
      <c r="F1338" s="3817">
        <v>150</v>
      </c>
      <c r="G1338" s="3819">
        <v>40998</v>
      </c>
      <c r="H1338" s="3817">
        <v>120</v>
      </c>
      <c r="I1338" s="3817">
        <v>17044</v>
      </c>
    </row>
    <row r="1339" spans="1:9">
      <c r="A1339" s="3819">
        <v>40980</v>
      </c>
      <c r="B1339" s="3817" t="s">
        <v>3471</v>
      </c>
      <c r="C1339" s="3817">
        <v>41</v>
      </c>
      <c r="D1339" s="3817" t="s">
        <v>3490</v>
      </c>
      <c r="E1339" s="3817" t="s">
        <v>3453</v>
      </c>
      <c r="F1339" s="3817">
        <v>95</v>
      </c>
      <c r="G1339" s="3819">
        <v>40983</v>
      </c>
      <c r="H1339" s="3817">
        <v>95</v>
      </c>
      <c r="I1339" s="3817">
        <v>23115</v>
      </c>
    </row>
    <row r="1340" spans="1:9">
      <c r="A1340" s="3819">
        <v>40976</v>
      </c>
      <c r="B1340" s="3817" t="s">
        <v>3444</v>
      </c>
      <c r="C1340" s="3817">
        <v>52</v>
      </c>
      <c r="D1340" s="3817" t="s">
        <v>3491</v>
      </c>
      <c r="E1340" s="3817" t="s">
        <v>3470</v>
      </c>
      <c r="F1340" s="3817">
        <v>110</v>
      </c>
      <c r="G1340" s="3819">
        <v>40978</v>
      </c>
      <c r="H1340" s="3817">
        <v>98</v>
      </c>
      <c r="I1340" s="3817">
        <v>18731</v>
      </c>
    </row>
    <row r="1341" spans="1:9">
      <c r="A1341" s="3819">
        <v>40975</v>
      </c>
      <c r="B1341" s="3817" t="s">
        <v>3449</v>
      </c>
      <c r="C1341" s="3817">
        <v>67</v>
      </c>
      <c r="D1341" s="3817" t="s">
        <v>3530</v>
      </c>
      <c r="E1341" s="3817" t="s">
        <v>3457</v>
      </c>
      <c r="F1341" s="3817">
        <v>142</v>
      </c>
      <c r="G1341" s="3819">
        <v>40975</v>
      </c>
      <c r="H1341" s="3817">
        <v>135</v>
      </c>
      <c r="I1341" s="3817">
        <v>19871</v>
      </c>
    </row>
    <row r="1342" spans="1:9">
      <c r="A1342" s="3819">
        <v>40975</v>
      </c>
      <c r="B1342" s="3817" t="s">
        <v>3444</v>
      </c>
      <c r="C1342" s="3817">
        <v>55</v>
      </c>
      <c r="D1342" s="3817" t="s">
        <v>3533</v>
      </c>
      <c r="E1342" s="3817" t="s">
        <v>3453</v>
      </c>
      <c r="F1342" s="3817">
        <v>116</v>
      </c>
      <c r="G1342" s="3819">
        <v>40980</v>
      </c>
      <c r="H1342" s="3817">
        <v>112</v>
      </c>
      <c r="I1342" s="3817">
        <v>20305</v>
      </c>
    </row>
    <row r="1343" spans="1:9">
      <c r="A1343" s="3819">
        <v>40974</v>
      </c>
      <c r="B1343" s="3817" t="s">
        <v>3444</v>
      </c>
      <c r="C1343" s="3817">
        <v>58</v>
      </c>
      <c r="D1343" s="3817" t="s">
        <v>3533</v>
      </c>
      <c r="E1343" s="3817" t="s">
        <v>3453</v>
      </c>
      <c r="F1343" s="3817">
        <v>120</v>
      </c>
      <c r="G1343" s="3819">
        <v>40975</v>
      </c>
      <c r="H1343" s="3817">
        <v>119</v>
      </c>
      <c r="I1343" s="3817">
        <v>20375</v>
      </c>
    </row>
    <row r="1344" spans="1:9">
      <c r="A1344" s="3819">
        <v>40965</v>
      </c>
      <c r="B1344" s="3817" t="s">
        <v>3444</v>
      </c>
      <c r="C1344" s="3817">
        <v>69</v>
      </c>
      <c r="D1344" s="3817" t="s">
        <v>3491</v>
      </c>
      <c r="E1344" s="3817" t="s">
        <v>3453</v>
      </c>
      <c r="F1344" s="3817">
        <v>120</v>
      </c>
      <c r="G1344" s="3819">
        <v>40966</v>
      </c>
      <c r="H1344" s="3817">
        <v>115</v>
      </c>
      <c r="I1344" s="3817">
        <v>16655</v>
      </c>
    </row>
    <row r="1345" spans="1:9">
      <c r="A1345" s="3819">
        <v>40965</v>
      </c>
      <c r="B1345" s="3817" t="s">
        <v>3444</v>
      </c>
      <c r="C1345" s="3817">
        <v>58</v>
      </c>
      <c r="D1345" s="3817" t="s">
        <v>3533</v>
      </c>
      <c r="E1345" s="3817" t="s">
        <v>3453</v>
      </c>
      <c r="F1345" s="3817">
        <v>116</v>
      </c>
      <c r="G1345" s="3819">
        <v>40966</v>
      </c>
      <c r="H1345" s="3817">
        <v>116</v>
      </c>
      <c r="I1345" s="3817">
        <v>19762</v>
      </c>
    </row>
    <row r="1346" spans="1:9">
      <c r="A1346" s="3819">
        <v>40957</v>
      </c>
      <c r="B1346" s="3817" t="s">
        <v>3444</v>
      </c>
      <c r="C1346" s="3817">
        <v>73</v>
      </c>
      <c r="D1346" s="3817" t="s">
        <v>3496</v>
      </c>
      <c r="E1346" s="3817" t="s">
        <v>3545</v>
      </c>
      <c r="F1346" s="3817">
        <v>143</v>
      </c>
      <c r="G1346" s="3819">
        <v>40961</v>
      </c>
      <c r="H1346" s="3817">
        <v>142</v>
      </c>
      <c r="I1346" s="3817">
        <v>19286</v>
      </c>
    </row>
    <row r="1347" spans="1:9">
      <c r="A1347" s="3819">
        <v>40956</v>
      </c>
      <c r="B1347" s="3817" t="s">
        <v>3444</v>
      </c>
      <c r="C1347" s="3817">
        <v>69</v>
      </c>
      <c r="D1347" s="3817" t="s">
        <v>3533</v>
      </c>
      <c r="E1347" s="3817" t="s">
        <v>3453</v>
      </c>
      <c r="F1347" s="3817">
        <v>145</v>
      </c>
      <c r="G1347" s="3819">
        <v>40957</v>
      </c>
      <c r="H1347" s="3817">
        <v>143</v>
      </c>
      <c r="I1347" s="3817">
        <v>20710</v>
      </c>
    </row>
    <row r="1348" spans="1:9">
      <c r="A1348" s="3819">
        <v>40955</v>
      </c>
      <c r="B1348" s="3817" t="s">
        <v>3444</v>
      </c>
      <c r="C1348" s="3817">
        <v>54</v>
      </c>
      <c r="D1348" s="3817" t="s">
        <v>3490</v>
      </c>
      <c r="E1348" s="3817" t="s">
        <v>3453</v>
      </c>
      <c r="F1348" s="3817">
        <v>100</v>
      </c>
      <c r="G1348" s="3819">
        <v>40959</v>
      </c>
      <c r="H1348" s="3817">
        <v>97</v>
      </c>
      <c r="I1348" s="3817">
        <v>18023</v>
      </c>
    </row>
    <row r="1349" spans="1:9">
      <c r="A1349" s="3819">
        <v>40894</v>
      </c>
      <c r="B1349" s="3817" t="s">
        <v>3444</v>
      </c>
      <c r="C1349" s="3817">
        <v>52</v>
      </c>
      <c r="D1349" s="3817" t="s">
        <v>3530</v>
      </c>
      <c r="E1349" s="3817" t="s">
        <v>3453</v>
      </c>
      <c r="F1349" s="3817">
        <v>125</v>
      </c>
      <c r="G1349" s="3819">
        <v>40895</v>
      </c>
      <c r="H1349" s="3817">
        <v>123</v>
      </c>
      <c r="I1349" s="3817">
        <v>23429</v>
      </c>
    </row>
    <row r="1350" spans="1:9">
      <c r="A1350" s="3819">
        <v>40889</v>
      </c>
      <c r="B1350" s="3817" t="s">
        <v>3444</v>
      </c>
      <c r="C1350" s="3817">
        <v>53</v>
      </c>
      <c r="D1350" s="3817" t="s">
        <v>3490</v>
      </c>
      <c r="E1350" s="3817" t="s">
        <v>3469</v>
      </c>
      <c r="F1350" s="3817">
        <v>110</v>
      </c>
      <c r="G1350" s="3819">
        <v>40890</v>
      </c>
      <c r="H1350" s="3817">
        <v>105</v>
      </c>
      <c r="I1350" s="3817">
        <v>19548</v>
      </c>
    </row>
    <row r="1351" spans="1:9">
      <c r="A1351" s="3819">
        <v>40877</v>
      </c>
      <c r="B1351" s="3817" t="s">
        <v>3444</v>
      </c>
      <c r="C1351" s="3817">
        <v>54</v>
      </c>
      <c r="D1351" s="3817" t="s">
        <v>3491</v>
      </c>
      <c r="E1351" s="3817" t="s">
        <v>3453</v>
      </c>
      <c r="F1351" s="3817">
        <v>117</v>
      </c>
      <c r="G1351" s="3819">
        <v>40877</v>
      </c>
      <c r="H1351" s="3817">
        <v>110</v>
      </c>
      <c r="I1351" s="3817">
        <v>20177</v>
      </c>
    </row>
    <row r="1352" spans="1:9">
      <c r="A1352" s="3819">
        <v>40828</v>
      </c>
      <c r="B1352" s="3817" t="s">
        <v>3449</v>
      </c>
      <c r="C1352" s="3817">
        <v>90</v>
      </c>
      <c r="D1352" s="3817" t="s">
        <v>3518</v>
      </c>
      <c r="E1352" s="3817" t="s">
        <v>3545</v>
      </c>
      <c r="F1352" s="3817">
        <v>178</v>
      </c>
      <c r="G1352" s="3819">
        <v>40829</v>
      </c>
      <c r="H1352" s="3817">
        <v>170</v>
      </c>
      <c r="I1352" s="3817">
        <v>18754</v>
      </c>
    </row>
    <row r="1353" spans="1:9">
      <c r="A1353" s="3819">
        <v>40786</v>
      </c>
      <c r="B1353" s="3817" t="s">
        <v>3444</v>
      </c>
      <c r="C1353" s="3817">
        <v>71</v>
      </c>
      <c r="D1353" s="3817" t="s">
        <v>3494</v>
      </c>
      <c r="E1353" s="3817" t="s">
        <v>3429</v>
      </c>
      <c r="F1353" s="3817">
        <v>155</v>
      </c>
      <c r="G1353" s="3819">
        <v>40786</v>
      </c>
      <c r="H1353" s="3817">
        <v>150</v>
      </c>
      <c r="I1353" s="3817">
        <v>20988</v>
      </c>
    </row>
    <row r="1354" spans="1:9">
      <c r="A1354" s="3819">
        <v>40783</v>
      </c>
      <c r="B1354" s="3817" t="s">
        <v>3444</v>
      </c>
      <c r="C1354" s="3817">
        <v>58</v>
      </c>
      <c r="D1354" s="3817" t="s">
        <v>3533</v>
      </c>
      <c r="E1354" s="3817" t="s">
        <v>3453</v>
      </c>
      <c r="F1354" s="3817">
        <v>117</v>
      </c>
      <c r="G1354" s="3819">
        <v>40786</v>
      </c>
      <c r="H1354" s="3817">
        <v>118</v>
      </c>
      <c r="I1354" s="3817">
        <v>20188</v>
      </c>
    </row>
  </sheetData>
  <phoneticPr fontId="135" type="noConversion"/>
  <pageMargins left="0.75" right="0.75" top="1" bottom="1" header="0.5" footer="0.5"/>
  <pageSetup paperSize="9" orientation="portrait" horizontalDpi="300" verticalDpi="300"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57.2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03" t="s">
        <v>1769</v>
      </c>
      <c r="D4" s="3704"/>
      <c r="E4" s="3705" t="s">
        <v>1770</v>
      </c>
      <c r="F4" s="3706"/>
      <c r="G4" s="3703" t="s">
        <v>1771</v>
      </c>
      <c r="H4" s="3704"/>
      <c r="I4" s="3703" t="s">
        <v>1772</v>
      </c>
      <c r="J4" s="3704"/>
      <c r="K4" s="559" t="s">
        <v>1773</v>
      </c>
      <c r="L4" s="2715"/>
      <c r="M4" s="2716"/>
      <c r="N4" s="2716"/>
      <c r="O4" s="2716"/>
      <c r="P4" s="3707" t="s">
        <v>1774</v>
      </c>
      <c r="Q4" s="3708"/>
      <c r="R4" s="3689" t="s">
        <v>1770</v>
      </c>
      <c r="S4" s="3690"/>
      <c r="T4" s="3689" t="s">
        <v>1771</v>
      </c>
      <c r="U4" s="3690"/>
      <c r="V4" s="3715" t="s">
        <v>1772</v>
      </c>
      <c r="W4" s="3715"/>
      <c r="X4" s="1355"/>
      <c r="Y4" s="3689" t="s">
        <v>1774</v>
      </c>
      <c r="Z4" s="3690"/>
      <c r="AA4" s="3684" t="s">
        <v>1770</v>
      </c>
      <c r="AB4" s="3715" t="s">
        <v>1771</v>
      </c>
      <c r="AC4" s="3684" t="s">
        <v>1772</v>
      </c>
    </row>
    <row r="5" spans="1:29">
      <c r="A5" s="358"/>
      <c r="B5" s="359"/>
      <c r="C5" s="3733" t="s">
        <v>1673</v>
      </c>
      <c r="D5" s="3696"/>
      <c r="E5" s="3731" t="s">
        <v>1674</v>
      </c>
      <c r="F5" s="3732"/>
      <c r="G5" s="3733" t="s">
        <v>1675</v>
      </c>
      <c r="H5" s="3696"/>
      <c r="I5" s="3733" t="s">
        <v>1676</v>
      </c>
      <c r="J5" s="3696"/>
      <c r="K5" s="559"/>
      <c r="L5" s="2715"/>
      <c r="M5" s="2716"/>
      <c r="N5" s="2716"/>
      <c r="O5" s="2716"/>
      <c r="P5" s="3709"/>
      <c r="Q5" s="3710"/>
      <c r="R5" s="3691"/>
      <c r="S5" s="3692"/>
      <c r="T5" s="3691"/>
      <c r="U5" s="3692"/>
      <c r="V5" s="3715"/>
      <c r="W5" s="3715"/>
      <c r="X5" s="1355"/>
      <c r="Y5" s="3691"/>
      <c r="Z5" s="3692"/>
      <c r="AA5" s="3685"/>
      <c r="AB5" s="3715"/>
      <c r="AC5" s="3685"/>
    </row>
    <row r="6" spans="1:29" ht="15" thickBot="1">
      <c r="A6" s="360"/>
      <c r="B6" s="361"/>
      <c r="C6" s="3734" t="s">
        <v>1677</v>
      </c>
      <c r="D6" s="3698"/>
      <c r="E6" s="3735" t="s">
        <v>1677</v>
      </c>
      <c r="F6" s="3701"/>
      <c r="G6" s="3734" t="s">
        <v>1677</v>
      </c>
      <c r="H6" s="3698"/>
      <c r="I6" s="3734" t="s">
        <v>1677</v>
      </c>
      <c r="J6" s="3698"/>
      <c r="K6" s="559" t="s">
        <v>1678</v>
      </c>
      <c r="L6" s="2715"/>
      <c r="M6" s="2716"/>
      <c r="N6" s="2716"/>
      <c r="O6" s="2716"/>
      <c r="P6" s="3711"/>
      <c r="Q6" s="3712"/>
      <c r="R6" s="3691"/>
      <c r="S6" s="3692"/>
      <c r="T6" s="3713"/>
      <c r="U6" s="3714"/>
      <c r="V6" s="3715"/>
      <c r="W6" s="3715"/>
      <c r="X6" s="1355"/>
      <c r="Y6" s="3713"/>
      <c r="Z6" s="3714"/>
      <c r="AA6" s="3686"/>
      <c r="AB6" s="3715"/>
      <c r="AC6" s="3686"/>
    </row>
    <row r="7" spans="1:29" s="108" customFormat="1" ht="15" thickBot="1">
      <c r="A7" s="362" t="s">
        <v>1679</v>
      </c>
      <c r="B7" s="363"/>
      <c r="C7" s="364">
        <f>'数据-取费表'!B2</f>
        <v>42235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7" t="s">
        <v>1680</v>
      </c>
      <c r="Q7" s="3716"/>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7" t="s">
        <v>1683</v>
      </c>
      <c r="Q8" s="3688"/>
      <c r="R8" s="701" t="s">
        <v>14</v>
      </c>
      <c r="S8" s="702">
        <f t="shared" si="0"/>
        <v>100</v>
      </c>
      <c r="T8" s="701" t="s">
        <v>14</v>
      </c>
      <c r="U8" s="702">
        <f t="shared" si="1"/>
        <v>100</v>
      </c>
      <c r="V8" s="701" t="s">
        <v>14</v>
      </c>
      <c r="W8" s="702">
        <f t="shared" si="2"/>
        <v>100</v>
      </c>
      <c r="X8" s="703"/>
      <c r="Y8" s="3687" t="s">
        <v>1683</v>
      </c>
      <c r="Z8" s="368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2"/>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2"/>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9" t="s">
        <v>1691</v>
      </c>
      <c r="Q15" s="1352" t="str">
        <f t="shared" si="6"/>
        <v>商业繁华度</v>
      </c>
      <c r="R15" s="705" t="s">
        <v>14</v>
      </c>
      <c r="S15" s="706">
        <f t="shared" si="0"/>
        <v>100</v>
      </c>
      <c r="T15" s="705" t="s">
        <v>14</v>
      </c>
      <c r="U15" s="706">
        <f t="shared" si="1"/>
        <v>100</v>
      </c>
      <c r="V15" s="705" t="s">
        <v>14</v>
      </c>
      <c r="W15" s="706">
        <f t="shared" si="2"/>
        <v>100</v>
      </c>
      <c r="X15" s="1355"/>
      <c r="Y15" s="372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0"/>
      <c r="Q16" s="1352"/>
      <c r="R16" s="705"/>
      <c r="S16" s="706"/>
      <c r="T16" s="705"/>
      <c r="U16" s="706"/>
      <c r="V16" s="705"/>
      <c r="W16" s="706"/>
      <c r="X16" s="1355"/>
      <c r="Y16" s="372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0"/>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0"/>
      <c r="Q18" s="1352"/>
      <c r="R18" s="705"/>
      <c r="S18" s="706"/>
      <c r="T18" s="705"/>
      <c r="U18" s="706"/>
      <c r="V18" s="705"/>
      <c r="W18" s="706"/>
      <c r="X18" s="1355"/>
      <c r="Y18" s="3723"/>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0"/>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0"/>
      <c r="Q20" s="1352"/>
      <c r="R20" s="705"/>
      <c r="S20" s="706"/>
      <c r="T20" s="705"/>
      <c r="U20" s="706"/>
      <c r="V20" s="705"/>
      <c r="W20" s="706"/>
      <c r="X20" s="1355"/>
      <c r="Y20" s="3723"/>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0"/>
      <c r="Q22" s="1352"/>
      <c r="R22" s="705"/>
      <c r="S22" s="706"/>
      <c r="T22" s="705"/>
      <c r="U22" s="706"/>
      <c r="V22" s="705"/>
      <c r="W22" s="706"/>
      <c r="X22" s="1355"/>
      <c r="Y22" s="372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0"/>
      <c r="Q23" s="1352" t="str">
        <f>B23</f>
        <v>自然及人文环境</v>
      </c>
      <c r="R23" s="705" t="s">
        <v>14</v>
      </c>
      <c r="S23" s="706">
        <f>F23</f>
        <v>100</v>
      </c>
      <c r="T23" s="705" t="s">
        <v>14</v>
      </c>
      <c r="U23" s="706">
        <f>H23</f>
        <v>100</v>
      </c>
      <c r="V23" s="705" t="s">
        <v>14</v>
      </c>
      <c r="W23" s="706">
        <f>J23</f>
        <v>100</v>
      </c>
      <c r="X23" s="1355"/>
      <c r="Y23" s="372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0"/>
      <c r="Q24" s="1352"/>
      <c r="R24" s="705"/>
      <c r="S24" s="706"/>
      <c r="T24" s="705"/>
      <c r="U24" s="706"/>
      <c r="V24" s="705"/>
      <c r="W24" s="706"/>
      <c r="X24" s="1355"/>
      <c r="Y24" s="3723"/>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0"/>
      <c r="Q25" s="1352" t="str">
        <f t="shared" ref="Q25:Q46" si="11">B25</f>
        <v>临街状况</v>
      </c>
      <c r="R25" s="705" t="s">
        <v>14</v>
      </c>
      <c r="S25" s="706">
        <f>F25</f>
        <v>100</v>
      </c>
      <c r="T25" s="705" t="s">
        <v>14</v>
      </c>
      <c r="U25" s="706">
        <f>H25</f>
        <v>100</v>
      </c>
      <c r="V25" s="705" t="s">
        <v>14</v>
      </c>
      <c r="W25" s="706">
        <f>J25</f>
        <v>100</v>
      </c>
      <c r="X25" s="1355"/>
      <c r="Y25" s="3723"/>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0"/>
      <c r="Q26" s="1352" t="str">
        <f t="shared" si="11"/>
        <v>平面位置/可视性</v>
      </c>
      <c r="R26" s="705" t="s">
        <v>14</v>
      </c>
      <c r="S26" s="706">
        <f>F26</f>
        <v>100</v>
      </c>
      <c r="T26" s="705" t="s">
        <v>14</v>
      </c>
      <c r="U26" s="706">
        <f>H26</f>
        <v>100</v>
      </c>
      <c r="V26" s="705" t="s">
        <v>14</v>
      </c>
      <c r="W26" s="706">
        <f>J26</f>
        <v>100</v>
      </c>
      <c r="X26" s="1355"/>
      <c r="Y26" s="3723"/>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0"/>
      <c r="Q27" s="1343" t="str">
        <f t="shared" si="11"/>
        <v>人流量</v>
      </c>
      <c r="R27" s="701" t="s">
        <v>14</v>
      </c>
      <c r="S27" s="702">
        <f>F27</f>
        <v>100</v>
      </c>
      <c r="T27" s="701" t="s">
        <v>14</v>
      </c>
      <c r="U27" s="702">
        <f>H27</f>
        <v>100</v>
      </c>
      <c r="V27" s="701" t="s">
        <v>14</v>
      </c>
      <c r="W27" s="702">
        <f>J27</f>
        <v>100</v>
      </c>
      <c r="X27" s="703"/>
      <c r="Y27" s="3723"/>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0"/>
      <c r="Q29" s="1352">
        <f t="shared" si="11"/>
        <v>111</v>
      </c>
      <c r="R29" s="705" t="s">
        <v>14</v>
      </c>
      <c r="S29" s="706">
        <f t="shared" si="12"/>
        <v>100</v>
      </c>
      <c r="T29" s="705" t="s">
        <v>14</v>
      </c>
      <c r="U29" s="706">
        <f t="shared" si="13"/>
        <v>100</v>
      </c>
      <c r="V29" s="705" t="s">
        <v>14</v>
      </c>
      <c r="W29" s="706">
        <f t="shared" si="14"/>
        <v>100</v>
      </c>
      <c r="X29" s="1355"/>
      <c r="Y29" s="372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0"/>
      <c r="Q30" s="1352">
        <f t="shared" si="11"/>
        <v>111</v>
      </c>
      <c r="R30" s="705" t="s">
        <v>14</v>
      </c>
      <c r="S30" s="706">
        <f t="shared" si="12"/>
        <v>100</v>
      </c>
      <c r="T30" s="705" t="s">
        <v>14</v>
      </c>
      <c r="U30" s="706">
        <f t="shared" si="13"/>
        <v>100</v>
      </c>
      <c r="V30" s="705" t="s">
        <v>14</v>
      </c>
      <c r="W30" s="706">
        <f t="shared" si="14"/>
        <v>100</v>
      </c>
      <c r="X30" s="1355"/>
      <c r="Y30" s="372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0"/>
      <c r="Q31" s="1352">
        <f t="shared" si="11"/>
        <v>111</v>
      </c>
      <c r="R31" s="705" t="s">
        <v>14</v>
      </c>
      <c r="S31" s="706">
        <f t="shared" si="12"/>
        <v>100</v>
      </c>
      <c r="T31" s="705" t="s">
        <v>14</v>
      </c>
      <c r="U31" s="706">
        <f t="shared" si="13"/>
        <v>100</v>
      </c>
      <c r="V31" s="705" t="s">
        <v>14</v>
      </c>
      <c r="W31" s="706">
        <f t="shared" si="14"/>
        <v>100</v>
      </c>
      <c r="X31" s="1355"/>
      <c r="Y31" s="3723"/>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4" t="s">
        <v>1695</v>
      </c>
      <c r="Q32" s="1352" t="str">
        <f t="shared" si="11"/>
        <v>商业类型</v>
      </c>
      <c r="R32" s="705" t="s">
        <v>14</v>
      </c>
      <c r="S32" s="706">
        <f t="shared" si="12"/>
        <v>100</v>
      </c>
      <c r="T32" s="705" t="s">
        <v>14</v>
      </c>
      <c r="U32" s="706">
        <f t="shared" si="13"/>
        <v>100</v>
      </c>
      <c r="V32" s="705" t="s">
        <v>14</v>
      </c>
      <c r="W32" s="706">
        <f t="shared" si="14"/>
        <v>100</v>
      </c>
      <c r="X32" s="1355"/>
      <c r="Y32" s="3727"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5"/>
      <c r="Q33" s="707" t="str">
        <f t="shared" si="11"/>
        <v>项目建筑规模</v>
      </c>
      <c r="R33" s="708" t="s">
        <v>14</v>
      </c>
      <c r="S33" s="709" t="e">
        <f t="shared" si="12"/>
        <v>#N/A</v>
      </c>
      <c r="T33" s="708" t="s">
        <v>14</v>
      </c>
      <c r="U33" s="709" t="e">
        <f t="shared" si="13"/>
        <v>#N/A</v>
      </c>
      <c r="V33" s="708" t="s">
        <v>14</v>
      </c>
      <c r="W33" s="709" t="e">
        <f t="shared" si="14"/>
        <v>#N/A</v>
      </c>
      <c r="X33" s="710"/>
      <c r="Y33" s="3727"/>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5"/>
      <c r="Q34" s="1352" t="str">
        <f t="shared" si="11"/>
        <v>建筑结构</v>
      </c>
      <c r="R34" s="705" t="s">
        <v>14</v>
      </c>
      <c r="S34" s="706">
        <f t="shared" si="12"/>
        <v>100</v>
      </c>
      <c r="T34" s="705" t="s">
        <v>14</v>
      </c>
      <c r="U34" s="706">
        <f t="shared" si="13"/>
        <v>100</v>
      </c>
      <c r="V34" s="705" t="s">
        <v>14</v>
      </c>
      <c r="W34" s="706">
        <f t="shared" si="14"/>
        <v>100</v>
      </c>
      <c r="X34" s="1355"/>
      <c r="Y34" s="3727"/>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5"/>
      <c r="Q35" s="1352" t="str">
        <f t="shared" si="11"/>
        <v>公共部分装修</v>
      </c>
      <c r="R35" s="705" t="s">
        <v>14</v>
      </c>
      <c r="S35" s="706">
        <f t="shared" si="12"/>
        <v>100</v>
      </c>
      <c r="T35" s="705" t="s">
        <v>14</v>
      </c>
      <c r="U35" s="706">
        <f t="shared" si="13"/>
        <v>100</v>
      </c>
      <c r="V35" s="705" t="s">
        <v>14</v>
      </c>
      <c r="W35" s="706">
        <f t="shared" si="14"/>
        <v>100</v>
      </c>
      <c r="X35" s="1355"/>
      <c r="Y35" s="3727"/>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5"/>
      <c r="Q36" s="1352" t="str">
        <f t="shared" si="11"/>
        <v>成新度</v>
      </c>
      <c r="R36" s="705" t="s">
        <v>14</v>
      </c>
      <c r="S36" s="706" t="e">
        <f t="shared" si="12"/>
        <v>#N/A</v>
      </c>
      <c r="T36" s="705" t="s">
        <v>14</v>
      </c>
      <c r="U36" s="706" t="e">
        <f t="shared" si="13"/>
        <v>#N/A</v>
      </c>
      <c r="V36" s="705" t="s">
        <v>14</v>
      </c>
      <c r="W36" s="706" t="e">
        <f t="shared" si="14"/>
        <v>#N/A</v>
      </c>
      <c r="X36" s="1355"/>
      <c r="Y36" s="3727"/>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5"/>
      <c r="Q37" s="1343" t="str">
        <f t="shared" si="11"/>
        <v>市政基础设施</v>
      </c>
      <c r="R37" s="701" t="s">
        <v>14</v>
      </c>
      <c r="S37" s="702">
        <f t="shared" si="12"/>
        <v>100</v>
      </c>
      <c r="T37" s="701" t="s">
        <v>14</v>
      </c>
      <c r="U37" s="702">
        <f t="shared" si="13"/>
        <v>100</v>
      </c>
      <c r="V37" s="701" t="s">
        <v>14</v>
      </c>
      <c r="W37" s="702">
        <f t="shared" si="14"/>
        <v>100</v>
      </c>
      <c r="X37" s="703"/>
      <c r="Y37" s="3727"/>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5" t="s">
        <v>1695</v>
      </c>
      <c r="Q38" s="1352" t="str">
        <f t="shared" si="11"/>
        <v>业态</v>
      </c>
      <c r="R38" s="705" t="s">
        <v>14</v>
      </c>
      <c r="S38" s="706">
        <f t="shared" si="12"/>
        <v>100</v>
      </c>
      <c r="T38" s="705" t="s">
        <v>14</v>
      </c>
      <c r="U38" s="706">
        <f t="shared" si="13"/>
        <v>100</v>
      </c>
      <c r="V38" s="705" t="s">
        <v>14</v>
      </c>
      <c r="W38" s="706">
        <f t="shared" si="14"/>
        <v>100</v>
      </c>
      <c r="X38" s="1355"/>
      <c r="Y38" s="3727"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5"/>
      <c r="Q39" s="1352" t="str">
        <f t="shared" si="11"/>
        <v>层高</v>
      </c>
      <c r="R39" s="705" t="s">
        <v>14</v>
      </c>
      <c r="S39" s="706">
        <f t="shared" si="12"/>
        <v>100</v>
      </c>
      <c r="T39" s="705" t="s">
        <v>14</v>
      </c>
      <c r="U39" s="706">
        <f t="shared" si="13"/>
        <v>100</v>
      </c>
      <c r="V39" s="705" t="s">
        <v>14</v>
      </c>
      <c r="W39" s="706">
        <f t="shared" si="14"/>
        <v>100</v>
      </c>
      <c r="X39" s="1355"/>
      <c r="Y39" s="3727"/>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5"/>
      <c r="Q40" s="1352" t="str">
        <f t="shared" si="11"/>
        <v>单套建筑面积</v>
      </c>
      <c r="R40" s="705" t="s">
        <v>14</v>
      </c>
      <c r="S40" s="706">
        <f t="shared" si="12"/>
        <v>100</v>
      </c>
      <c r="T40" s="705" t="s">
        <v>14</v>
      </c>
      <c r="U40" s="706">
        <f t="shared" si="13"/>
        <v>100</v>
      </c>
      <c r="V40" s="705" t="s">
        <v>14</v>
      </c>
      <c r="W40" s="706">
        <f t="shared" si="14"/>
        <v>100</v>
      </c>
      <c r="X40" s="1355"/>
      <c r="Y40" s="3727"/>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5"/>
      <c r="Q41" s="707" t="str">
        <f t="shared" si="11"/>
        <v>进深比</v>
      </c>
      <c r="R41" s="708" t="s">
        <v>14</v>
      </c>
      <c r="S41" s="709">
        <f t="shared" si="12"/>
        <v>100</v>
      </c>
      <c r="T41" s="708" t="s">
        <v>14</v>
      </c>
      <c r="U41" s="709">
        <f t="shared" si="13"/>
        <v>100</v>
      </c>
      <c r="V41" s="708" t="s">
        <v>14</v>
      </c>
      <c r="W41" s="709">
        <f t="shared" si="14"/>
        <v>100</v>
      </c>
      <c r="X41" s="710"/>
      <c r="Y41" s="3727"/>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5"/>
      <c r="Q42" s="1352" t="str">
        <f t="shared" si="11"/>
        <v>内部装修</v>
      </c>
      <c r="R42" s="705" t="s">
        <v>14</v>
      </c>
      <c r="S42" s="706">
        <f t="shared" si="12"/>
        <v>100</v>
      </c>
      <c r="T42" s="705" t="s">
        <v>14</v>
      </c>
      <c r="U42" s="706">
        <f t="shared" si="13"/>
        <v>100</v>
      </c>
      <c r="V42" s="705" t="s">
        <v>14</v>
      </c>
      <c r="W42" s="706">
        <f t="shared" si="14"/>
        <v>100</v>
      </c>
      <c r="X42" s="1355"/>
      <c r="Y42" s="3727"/>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5"/>
      <c r="Q43" s="1352" t="str">
        <f t="shared" si="11"/>
        <v>内部装修维护情况</v>
      </c>
      <c r="R43" s="705" t="s">
        <v>14</v>
      </c>
      <c r="S43" s="706">
        <f t="shared" si="12"/>
        <v>100</v>
      </c>
      <c r="T43" s="705" t="s">
        <v>14</v>
      </c>
      <c r="U43" s="706">
        <f t="shared" si="13"/>
        <v>100</v>
      </c>
      <c r="V43" s="705" t="s">
        <v>14</v>
      </c>
      <c r="W43" s="706">
        <f t="shared" si="14"/>
        <v>100</v>
      </c>
      <c r="X43" s="1355"/>
      <c r="Y43" s="372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5"/>
      <c r="Q44" s="1343">
        <f t="shared" si="11"/>
        <v>111</v>
      </c>
      <c r="R44" s="701" t="s">
        <v>14</v>
      </c>
      <c r="S44" s="702">
        <f t="shared" si="12"/>
        <v>100</v>
      </c>
      <c r="T44" s="701" t="s">
        <v>14</v>
      </c>
      <c r="U44" s="702">
        <f t="shared" si="13"/>
        <v>100</v>
      </c>
      <c r="V44" s="701" t="s">
        <v>14</v>
      </c>
      <c r="W44" s="702">
        <f t="shared" si="14"/>
        <v>100</v>
      </c>
      <c r="X44" s="703"/>
      <c r="Y44" s="372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5"/>
      <c r="Q45" s="1352">
        <f t="shared" si="11"/>
        <v>111</v>
      </c>
      <c r="R45" s="705" t="s">
        <v>14</v>
      </c>
      <c r="S45" s="706">
        <f t="shared" si="12"/>
        <v>100</v>
      </c>
      <c r="T45" s="705" t="s">
        <v>14</v>
      </c>
      <c r="U45" s="706">
        <f t="shared" si="13"/>
        <v>100</v>
      </c>
      <c r="V45" s="705" t="s">
        <v>14</v>
      </c>
      <c r="W45" s="706">
        <f t="shared" si="14"/>
        <v>100</v>
      </c>
      <c r="X45" s="1355"/>
      <c r="Y45" s="372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6"/>
      <c r="Q46" s="1352">
        <f t="shared" si="11"/>
        <v>111</v>
      </c>
      <c r="R46" s="705" t="s">
        <v>14</v>
      </c>
      <c r="S46" s="706">
        <f t="shared" si="12"/>
        <v>100</v>
      </c>
      <c r="T46" s="705" t="s">
        <v>14</v>
      </c>
      <c r="U46" s="706">
        <f t="shared" si="13"/>
        <v>100</v>
      </c>
      <c r="V46" s="705" t="s">
        <v>14</v>
      </c>
      <c r="W46" s="706">
        <f t="shared" si="14"/>
        <v>100</v>
      </c>
      <c r="X46" s="1355"/>
      <c r="Y46" s="3728"/>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20" t="str">
        <f>A47</f>
        <v>成交单价（元/平方米）</v>
      </c>
      <c r="Q47" s="3720"/>
      <c r="R47" s="3715">
        <f>E47</f>
        <v>0</v>
      </c>
      <c r="S47" s="3715"/>
      <c r="T47" s="3715">
        <f>G47</f>
        <v>0</v>
      </c>
      <c r="U47" s="3715"/>
      <c r="V47" s="3715">
        <f>I47</f>
        <v>0</v>
      </c>
      <c r="W47" s="3715"/>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20" t="str">
        <f>A48</f>
        <v>比较价值（元/平方米）</v>
      </c>
      <c r="Q48" s="3720"/>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2015-8</v>
      </c>
      <c r="D58" s="1185">
        <f>EDATE(C58,-1)</f>
        <v>42186</v>
      </c>
      <c r="E58" s="1185">
        <f t="shared" ref="E58:N58" si="16">EDATE(D58,-1)</f>
        <v>42156</v>
      </c>
      <c r="F58" s="1185">
        <f t="shared" si="16"/>
        <v>42125</v>
      </c>
      <c r="G58" s="1185">
        <f t="shared" si="16"/>
        <v>42095</v>
      </c>
      <c r="H58" s="1185">
        <f t="shared" si="16"/>
        <v>42064</v>
      </c>
      <c r="I58" s="1185">
        <f t="shared" si="16"/>
        <v>42036</v>
      </c>
      <c r="J58" s="1185">
        <f t="shared" si="16"/>
        <v>42005</v>
      </c>
      <c r="K58" s="1185">
        <f t="shared" si="16"/>
        <v>41974</v>
      </c>
      <c r="L58" s="1185">
        <f t="shared" si="16"/>
        <v>41944</v>
      </c>
      <c r="M58" s="1185">
        <f t="shared" si="16"/>
        <v>41913</v>
      </c>
      <c r="N58" s="1185">
        <f t="shared" si="16"/>
        <v>41883</v>
      </c>
      <c r="O58" s="1185">
        <f>EDATE(N58,-1)</f>
        <v>41852</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57.2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03" t="s">
        <v>1769</v>
      </c>
      <c r="D4" s="3704"/>
      <c r="E4" s="3705" t="s">
        <v>1770</v>
      </c>
      <c r="F4" s="3706"/>
      <c r="G4" s="3703" t="s">
        <v>1771</v>
      </c>
      <c r="H4" s="3704"/>
      <c r="I4" s="3703" t="s">
        <v>1772</v>
      </c>
      <c r="J4" s="3704"/>
      <c r="K4" s="559" t="s">
        <v>1773</v>
      </c>
      <c r="L4" s="2715"/>
      <c r="M4" s="2716"/>
      <c r="N4" s="2716"/>
      <c r="O4" s="2716"/>
      <c r="P4" s="3742" t="s">
        <v>1774</v>
      </c>
      <c r="Q4" s="3743"/>
      <c r="R4" s="3737" t="s">
        <v>1770</v>
      </c>
      <c r="S4" s="3738"/>
      <c r="T4" s="3737" t="s">
        <v>1771</v>
      </c>
      <c r="U4" s="3738"/>
      <c r="V4" s="3746" t="s">
        <v>1772</v>
      </c>
      <c r="W4" s="3746"/>
      <c r="X4" s="1958"/>
      <c r="Y4" s="3737" t="s">
        <v>1774</v>
      </c>
      <c r="Z4" s="3738"/>
      <c r="AA4" s="3736" t="s">
        <v>1770</v>
      </c>
      <c r="AB4" s="3736" t="s">
        <v>1771</v>
      </c>
      <c r="AC4" s="3739" t="s">
        <v>1772</v>
      </c>
    </row>
    <row r="5" spans="1:29">
      <c r="A5" s="358"/>
      <c r="B5" s="359"/>
      <c r="C5" s="3733" t="s">
        <v>1673</v>
      </c>
      <c r="D5" s="3696"/>
      <c r="E5" s="3731" t="s">
        <v>1674</v>
      </c>
      <c r="F5" s="3732"/>
      <c r="G5" s="3733" t="s">
        <v>1675</v>
      </c>
      <c r="H5" s="3696"/>
      <c r="I5" s="3733" t="s">
        <v>1676</v>
      </c>
      <c r="J5" s="3696"/>
      <c r="K5" s="559"/>
      <c r="L5" s="2715"/>
      <c r="M5" s="2716"/>
      <c r="N5" s="2716"/>
      <c r="O5" s="2716"/>
      <c r="P5" s="3744"/>
      <c r="Q5" s="3710"/>
      <c r="R5" s="3691"/>
      <c r="S5" s="3692"/>
      <c r="T5" s="3691"/>
      <c r="U5" s="3692"/>
      <c r="V5" s="3715"/>
      <c r="W5" s="3715"/>
      <c r="X5" s="1355"/>
      <c r="Y5" s="3691"/>
      <c r="Z5" s="3692"/>
      <c r="AA5" s="3685"/>
      <c r="AB5" s="3685"/>
      <c r="AC5" s="3740"/>
    </row>
    <row r="6" spans="1:29" ht="15" thickBot="1">
      <c r="A6" s="360"/>
      <c r="B6" s="361"/>
      <c r="C6" s="3734" t="s">
        <v>1677</v>
      </c>
      <c r="D6" s="3698"/>
      <c r="E6" s="3735" t="s">
        <v>1677</v>
      </c>
      <c r="F6" s="3701"/>
      <c r="G6" s="3734" t="s">
        <v>1677</v>
      </c>
      <c r="H6" s="3698"/>
      <c r="I6" s="3734" t="s">
        <v>1677</v>
      </c>
      <c r="J6" s="3698"/>
      <c r="K6" s="559" t="s">
        <v>1678</v>
      </c>
      <c r="L6" s="2715"/>
      <c r="M6" s="2716"/>
      <c r="N6" s="2716"/>
      <c r="O6" s="2716"/>
      <c r="P6" s="3745"/>
      <c r="Q6" s="3712"/>
      <c r="R6" s="3691"/>
      <c r="S6" s="3692"/>
      <c r="T6" s="3713"/>
      <c r="U6" s="3714"/>
      <c r="V6" s="3715"/>
      <c r="W6" s="3715"/>
      <c r="X6" s="1355"/>
      <c r="Y6" s="3713"/>
      <c r="Z6" s="3714"/>
      <c r="AA6" s="3686"/>
      <c r="AB6" s="3686"/>
      <c r="AC6" s="3741"/>
    </row>
    <row r="7" spans="1:29" s="108" customFormat="1" ht="15" thickBot="1">
      <c r="A7" s="362" t="s">
        <v>1679</v>
      </c>
      <c r="B7" s="363"/>
      <c r="C7" s="364">
        <f>'数据-取费表'!B2</f>
        <v>42235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7" t="s">
        <v>1680</v>
      </c>
      <c r="Q7" s="3716"/>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7" t="s">
        <v>1683</v>
      </c>
      <c r="Q8" s="3688"/>
      <c r="R8" s="701" t="s">
        <v>14</v>
      </c>
      <c r="S8" s="702">
        <f t="shared" si="0"/>
        <v>100</v>
      </c>
      <c r="T8" s="701" t="s">
        <v>14</v>
      </c>
      <c r="U8" s="702">
        <f t="shared" si="1"/>
        <v>100</v>
      </c>
      <c r="V8" s="701" t="s">
        <v>14</v>
      </c>
      <c r="W8" s="702">
        <f t="shared" si="2"/>
        <v>100</v>
      </c>
      <c r="X8" s="703"/>
      <c r="Y8" s="3687" t="s">
        <v>1683</v>
      </c>
      <c r="Z8" s="368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2"/>
      <c r="Q11" s="1343"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2"/>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9" t="s">
        <v>1691</v>
      </c>
      <c r="Q15" s="1352" t="str">
        <f t="shared" si="6"/>
        <v>办公集聚程度</v>
      </c>
      <c r="R15" s="705" t="s">
        <v>14</v>
      </c>
      <c r="S15" s="706">
        <f t="shared" si="0"/>
        <v>100</v>
      </c>
      <c r="T15" s="705" t="s">
        <v>14</v>
      </c>
      <c r="U15" s="706">
        <f t="shared" si="1"/>
        <v>100</v>
      </c>
      <c r="V15" s="705" t="s">
        <v>14</v>
      </c>
      <c r="W15" s="706">
        <f t="shared" si="2"/>
        <v>100</v>
      </c>
      <c r="X15" s="1355"/>
      <c r="Y15" s="372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0"/>
      <c r="Q16" s="1352"/>
      <c r="R16" s="705"/>
      <c r="S16" s="706"/>
      <c r="T16" s="705"/>
      <c r="U16" s="706"/>
      <c r="V16" s="705"/>
      <c r="W16" s="706"/>
      <c r="X16" s="1355"/>
      <c r="Y16" s="372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0"/>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0"/>
      <c r="Q18" s="1352"/>
      <c r="R18" s="705"/>
      <c r="S18" s="706"/>
      <c r="T18" s="705"/>
      <c r="U18" s="706"/>
      <c r="V18" s="705"/>
      <c r="W18" s="706"/>
      <c r="X18" s="1355"/>
      <c r="Y18" s="3723"/>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0"/>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0"/>
      <c r="Q20" s="1352"/>
      <c r="R20" s="705"/>
      <c r="S20" s="706"/>
      <c r="T20" s="705"/>
      <c r="U20" s="706"/>
      <c r="V20" s="705"/>
      <c r="W20" s="706"/>
      <c r="X20" s="1355"/>
      <c r="Y20" s="3723"/>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0"/>
      <c r="Q22" s="1352"/>
      <c r="R22" s="705"/>
      <c r="S22" s="706"/>
      <c r="T22" s="705"/>
      <c r="U22" s="706"/>
      <c r="V22" s="705"/>
      <c r="W22" s="706"/>
      <c r="X22" s="1355"/>
      <c r="Y22" s="3723"/>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0"/>
      <c r="Q23" s="1352" t="str">
        <f>B23</f>
        <v>环境质量</v>
      </c>
      <c r="R23" s="705" t="s">
        <v>14</v>
      </c>
      <c r="S23" s="706">
        <f>F23</f>
        <v>100</v>
      </c>
      <c r="T23" s="705" t="s">
        <v>14</v>
      </c>
      <c r="U23" s="706">
        <f>H23</f>
        <v>100</v>
      </c>
      <c r="V23" s="705" t="s">
        <v>14</v>
      </c>
      <c r="W23" s="706">
        <f>J23</f>
        <v>100</v>
      </c>
      <c r="X23" s="1355"/>
      <c r="Y23" s="372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0"/>
      <c r="Q24" s="1352"/>
      <c r="R24" s="705"/>
      <c r="S24" s="706"/>
      <c r="T24" s="705"/>
      <c r="U24" s="706"/>
      <c r="V24" s="705"/>
      <c r="W24" s="706"/>
      <c r="X24" s="1355"/>
      <c r="Y24" s="3723"/>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0"/>
      <c r="Q25" s="1352" t="str">
        <f>B25</f>
        <v>毗邻道路的类型与等级</v>
      </c>
      <c r="R25" s="705" t="s">
        <v>14</v>
      </c>
      <c r="S25" s="706">
        <f>F25</f>
        <v>100</v>
      </c>
      <c r="T25" s="705" t="s">
        <v>14</v>
      </c>
      <c r="U25" s="706">
        <f>H25</f>
        <v>100</v>
      </c>
      <c r="V25" s="705" t="s">
        <v>14</v>
      </c>
      <c r="W25" s="706">
        <f>J25</f>
        <v>100</v>
      </c>
      <c r="X25" s="1355"/>
      <c r="Y25" s="372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0"/>
      <c r="Q26" s="1352"/>
      <c r="R26" s="705"/>
      <c r="S26" s="706"/>
      <c r="T26" s="705"/>
      <c r="U26" s="706"/>
      <c r="V26" s="705"/>
      <c r="W26" s="706"/>
      <c r="X26" s="1355"/>
      <c r="Y26" s="3723"/>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0"/>
      <c r="Q27" s="1352" t="str">
        <f t="shared" ref="Q27:Q47" si="11">B27</f>
        <v>楼层</v>
      </c>
      <c r="R27" s="705" t="s">
        <v>14</v>
      </c>
      <c r="S27" s="706">
        <f>F27</f>
        <v>100</v>
      </c>
      <c r="T27" s="705" t="s">
        <v>14</v>
      </c>
      <c r="U27" s="706">
        <f>H27</f>
        <v>100</v>
      </c>
      <c r="V27" s="705" t="s">
        <v>14</v>
      </c>
      <c r="W27" s="706">
        <f>J27</f>
        <v>100</v>
      </c>
      <c r="X27" s="1355"/>
      <c r="Y27" s="3723"/>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0"/>
      <c r="Q28" s="1343" t="str">
        <f t="shared" si="11"/>
        <v>朝向</v>
      </c>
      <c r="R28" s="701" t="s">
        <v>14</v>
      </c>
      <c r="S28" s="702">
        <f>F28</f>
        <v>100</v>
      </c>
      <c r="T28" s="701" t="s">
        <v>14</v>
      </c>
      <c r="U28" s="702">
        <f>H28</f>
        <v>100</v>
      </c>
      <c r="V28" s="701" t="s">
        <v>14</v>
      </c>
      <c r="W28" s="702">
        <f>J28</f>
        <v>100</v>
      </c>
      <c r="X28" s="703"/>
      <c r="Y28" s="372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0"/>
      <c r="Q29" s="1352">
        <f t="shared" si="11"/>
        <v>111</v>
      </c>
      <c r="R29" s="705" t="s">
        <v>14</v>
      </c>
      <c r="S29" s="706">
        <f t="shared" ref="S29:S47" si="12">F29</f>
        <v>100</v>
      </c>
      <c r="T29" s="705" t="s">
        <v>14</v>
      </c>
      <c r="U29" s="706">
        <f t="shared" ref="U29:U47" si="13">H29</f>
        <v>100</v>
      </c>
      <c r="V29" s="705" t="s">
        <v>14</v>
      </c>
      <c r="W29" s="706">
        <f t="shared" ref="W29:W47" si="14">J29</f>
        <v>100</v>
      </c>
      <c r="X29" s="1355"/>
      <c r="Y29" s="372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0"/>
      <c r="Q30" s="1352">
        <f t="shared" si="11"/>
        <v>111</v>
      </c>
      <c r="R30" s="705" t="s">
        <v>14</v>
      </c>
      <c r="S30" s="706">
        <f t="shared" si="12"/>
        <v>100</v>
      </c>
      <c r="T30" s="705" t="s">
        <v>14</v>
      </c>
      <c r="U30" s="706">
        <f t="shared" si="13"/>
        <v>100</v>
      </c>
      <c r="V30" s="705" t="s">
        <v>14</v>
      </c>
      <c r="W30" s="706">
        <f t="shared" si="14"/>
        <v>100</v>
      </c>
      <c r="X30" s="1355"/>
      <c r="Y30" s="372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0"/>
      <c r="Q31" s="1352">
        <f t="shared" si="11"/>
        <v>111</v>
      </c>
      <c r="R31" s="705" t="s">
        <v>14</v>
      </c>
      <c r="S31" s="706">
        <f t="shared" si="12"/>
        <v>100</v>
      </c>
      <c r="T31" s="705" t="s">
        <v>14</v>
      </c>
      <c r="U31" s="706">
        <f t="shared" si="13"/>
        <v>100</v>
      </c>
      <c r="V31" s="705" t="s">
        <v>14</v>
      </c>
      <c r="W31" s="706">
        <f t="shared" si="14"/>
        <v>100</v>
      </c>
      <c r="X31" s="1355"/>
      <c r="Y31" s="372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0"/>
      <c r="Q32" s="1352">
        <f t="shared" si="11"/>
        <v>111</v>
      </c>
      <c r="R32" s="705" t="s">
        <v>14</v>
      </c>
      <c r="S32" s="706">
        <f t="shared" si="12"/>
        <v>100</v>
      </c>
      <c r="T32" s="705" t="s">
        <v>14</v>
      </c>
      <c r="U32" s="706">
        <f t="shared" si="13"/>
        <v>100</v>
      </c>
      <c r="V32" s="705" t="s">
        <v>14</v>
      </c>
      <c r="W32" s="706">
        <f t="shared" si="14"/>
        <v>100</v>
      </c>
      <c r="X32" s="1355"/>
      <c r="Y32" s="3723"/>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4" t="s">
        <v>1695</v>
      </c>
      <c r="Q33" s="1352" t="str">
        <f t="shared" si="11"/>
        <v>建筑类型</v>
      </c>
      <c r="R33" s="705" t="s">
        <v>14</v>
      </c>
      <c r="S33" s="706">
        <f t="shared" si="12"/>
        <v>100</v>
      </c>
      <c r="T33" s="705" t="s">
        <v>14</v>
      </c>
      <c r="U33" s="706">
        <f t="shared" si="13"/>
        <v>100</v>
      </c>
      <c r="V33" s="705" t="s">
        <v>14</v>
      </c>
      <c r="W33" s="706">
        <f t="shared" si="14"/>
        <v>100</v>
      </c>
      <c r="X33" s="1355"/>
      <c r="Y33" s="3727"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5"/>
      <c r="Q34" s="707" t="str">
        <f t="shared" si="11"/>
        <v>项目建筑规模</v>
      </c>
      <c r="R34" s="708" t="s">
        <v>14</v>
      </c>
      <c r="S34" s="709" t="e">
        <f t="shared" si="12"/>
        <v>#N/A</v>
      </c>
      <c r="T34" s="708" t="s">
        <v>14</v>
      </c>
      <c r="U34" s="709" t="e">
        <f t="shared" si="13"/>
        <v>#N/A</v>
      </c>
      <c r="V34" s="708" t="s">
        <v>14</v>
      </c>
      <c r="W34" s="709" t="e">
        <f t="shared" si="14"/>
        <v>#N/A</v>
      </c>
      <c r="X34" s="710"/>
      <c r="Y34" s="3727"/>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5"/>
      <c r="Q35" s="1352" t="str">
        <f t="shared" si="11"/>
        <v>建筑结构</v>
      </c>
      <c r="R35" s="705" t="s">
        <v>14</v>
      </c>
      <c r="S35" s="706">
        <f t="shared" si="12"/>
        <v>100</v>
      </c>
      <c r="T35" s="705" t="s">
        <v>14</v>
      </c>
      <c r="U35" s="706">
        <f t="shared" si="13"/>
        <v>100</v>
      </c>
      <c r="V35" s="705" t="s">
        <v>14</v>
      </c>
      <c r="W35" s="706">
        <f t="shared" si="14"/>
        <v>100</v>
      </c>
      <c r="X35" s="1355"/>
      <c r="Y35" s="3727"/>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5"/>
      <c r="Q36" s="1352" t="str">
        <f t="shared" si="11"/>
        <v>公共部分装修</v>
      </c>
      <c r="R36" s="705" t="s">
        <v>14</v>
      </c>
      <c r="S36" s="706">
        <f t="shared" si="12"/>
        <v>100</v>
      </c>
      <c r="T36" s="705" t="s">
        <v>14</v>
      </c>
      <c r="U36" s="706">
        <f t="shared" si="13"/>
        <v>100</v>
      </c>
      <c r="V36" s="705" t="s">
        <v>14</v>
      </c>
      <c r="W36" s="706">
        <f t="shared" si="14"/>
        <v>100</v>
      </c>
      <c r="X36" s="1355"/>
      <c r="Y36" s="3727"/>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5"/>
      <c r="Q37" s="1352" t="str">
        <f t="shared" si="11"/>
        <v>成新度</v>
      </c>
      <c r="R37" s="705" t="s">
        <v>14</v>
      </c>
      <c r="S37" s="706" t="e">
        <f t="shared" si="12"/>
        <v>#N/A</v>
      </c>
      <c r="T37" s="705" t="s">
        <v>14</v>
      </c>
      <c r="U37" s="706" t="e">
        <f t="shared" si="13"/>
        <v>#N/A</v>
      </c>
      <c r="V37" s="705" t="s">
        <v>14</v>
      </c>
      <c r="W37" s="706" t="e">
        <f t="shared" si="14"/>
        <v>#N/A</v>
      </c>
      <c r="X37" s="1355"/>
      <c r="Y37" s="3727"/>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5"/>
      <c r="Q38" s="1343" t="str">
        <f t="shared" si="11"/>
        <v>写字楼等级</v>
      </c>
      <c r="R38" s="701" t="s">
        <v>14</v>
      </c>
      <c r="S38" s="702">
        <f t="shared" si="12"/>
        <v>100</v>
      </c>
      <c r="T38" s="701" t="s">
        <v>14</v>
      </c>
      <c r="U38" s="702">
        <f t="shared" si="13"/>
        <v>100</v>
      </c>
      <c r="V38" s="701" t="s">
        <v>14</v>
      </c>
      <c r="W38" s="702">
        <f t="shared" si="14"/>
        <v>100</v>
      </c>
      <c r="X38" s="703"/>
      <c r="Y38" s="3727"/>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5" t="s">
        <v>1695</v>
      </c>
      <c r="Q39" s="1352" t="str">
        <f t="shared" si="11"/>
        <v>物业管理</v>
      </c>
      <c r="R39" s="705" t="s">
        <v>14</v>
      </c>
      <c r="S39" s="706">
        <f t="shared" si="12"/>
        <v>100</v>
      </c>
      <c r="T39" s="705" t="s">
        <v>14</v>
      </c>
      <c r="U39" s="706">
        <f t="shared" si="13"/>
        <v>100</v>
      </c>
      <c r="V39" s="705" t="s">
        <v>14</v>
      </c>
      <c r="W39" s="706">
        <f t="shared" si="14"/>
        <v>100</v>
      </c>
      <c r="X39" s="1355"/>
      <c r="Y39" s="3727"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5"/>
      <c r="Q40" s="1352" t="str">
        <f t="shared" si="11"/>
        <v>市政基础设施</v>
      </c>
      <c r="R40" s="705" t="s">
        <v>14</v>
      </c>
      <c r="S40" s="706">
        <f t="shared" si="12"/>
        <v>100</v>
      </c>
      <c r="T40" s="705" t="s">
        <v>14</v>
      </c>
      <c r="U40" s="706">
        <f t="shared" si="13"/>
        <v>100</v>
      </c>
      <c r="V40" s="705" t="s">
        <v>14</v>
      </c>
      <c r="W40" s="706">
        <f t="shared" si="14"/>
        <v>100</v>
      </c>
      <c r="X40" s="1355"/>
      <c r="Y40" s="3727"/>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5"/>
      <c r="Q41" s="1352" t="str">
        <f t="shared" si="11"/>
        <v>层高</v>
      </c>
      <c r="R41" s="705" t="s">
        <v>14</v>
      </c>
      <c r="S41" s="706">
        <f t="shared" si="12"/>
        <v>100</v>
      </c>
      <c r="T41" s="705" t="s">
        <v>14</v>
      </c>
      <c r="U41" s="706">
        <f t="shared" si="13"/>
        <v>100</v>
      </c>
      <c r="V41" s="705" t="s">
        <v>14</v>
      </c>
      <c r="W41" s="706">
        <f t="shared" si="14"/>
        <v>100</v>
      </c>
      <c r="X41" s="1355"/>
      <c r="Y41" s="3727"/>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5"/>
      <c r="Q42" s="707" t="str">
        <f t="shared" si="11"/>
        <v>单套建筑面积</v>
      </c>
      <c r="R42" s="708" t="s">
        <v>14</v>
      </c>
      <c r="S42" s="709">
        <f t="shared" si="12"/>
        <v>100</v>
      </c>
      <c r="T42" s="708" t="s">
        <v>14</v>
      </c>
      <c r="U42" s="709">
        <f t="shared" si="13"/>
        <v>100</v>
      </c>
      <c r="V42" s="708" t="s">
        <v>14</v>
      </c>
      <c r="W42" s="709">
        <f t="shared" si="14"/>
        <v>100</v>
      </c>
      <c r="X42" s="710"/>
      <c r="Y42" s="3727"/>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5"/>
      <c r="Q43" s="1352" t="str">
        <f t="shared" si="11"/>
        <v>内部装修</v>
      </c>
      <c r="R43" s="705" t="s">
        <v>14</v>
      </c>
      <c r="S43" s="706">
        <f t="shared" si="12"/>
        <v>100</v>
      </c>
      <c r="T43" s="705" t="s">
        <v>14</v>
      </c>
      <c r="U43" s="706">
        <f t="shared" si="13"/>
        <v>100</v>
      </c>
      <c r="V43" s="705" t="s">
        <v>14</v>
      </c>
      <c r="W43" s="706">
        <f t="shared" si="14"/>
        <v>100</v>
      </c>
      <c r="X43" s="1355"/>
      <c r="Y43" s="3727"/>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5"/>
      <c r="Q44" s="1352" t="str">
        <f t="shared" si="11"/>
        <v>内部装修维护情况</v>
      </c>
      <c r="R44" s="705" t="s">
        <v>14</v>
      </c>
      <c r="S44" s="706">
        <f t="shared" si="12"/>
        <v>100</v>
      </c>
      <c r="T44" s="705" t="s">
        <v>14</v>
      </c>
      <c r="U44" s="706">
        <f t="shared" si="13"/>
        <v>100</v>
      </c>
      <c r="V44" s="705" t="s">
        <v>14</v>
      </c>
      <c r="W44" s="706">
        <f t="shared" si="14"/>
        <v>100</v>
      </c>
      <c r="X44" s="1355"/>
      <c r="Y44" s="372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5"/>
      <c r="Q45" s="1343">
        <f t="shared" si="11"/>
        <v>111</v>
      </c>
      <c r="R45" s="701" t="s">
        <v>14</v>
      </c>
      <c r="S45" s="702">
        <f t="shared" si="12"/>
        <v>100</v>
      </c>
      <c r="T45" s="701" t="s">
        <v>14</v>
      </c>
      <c r="U45" s="702">
        <f t="shared" si="13"/>
        <v>100</v>
      </c>
      <c r="V45" s="701" t="s">
        <v>14</v>
      </c>
      <c r="W45" s="702">
        <f t="shared" si="14"/>
        <v>100</v>
      </c>
      <c r="X45" s="703"/>
      <c r="Y45" s="372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5"/>
      <c r="Q46" s="1352">
        <f t="shared" si="11"/>
        <v>111</v>
      </c>
      <c r="R46" s="705" t="s">
        <v>14</v>
      </c>
      <c r="S46" s="706">
        <f t="shared" si="12"/>
        <v>100</v>
      </c>
      <c r="T46" s="705" t="s">
        <v>14</v>
      </c>
      <c r="U46" s="706">
        <f t="shared" si="13"/>
        <v>100</v>
      </c>
      <c r="V46" s="705" t="s">
        <v>14</v>
      </c>
      <c r="W46" s="706">
        <f t="shared" si="14"/>
        <v>100</v>
      </c>
      <c r="X46" s="1355"/>
      <c r="Y46" s="372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6"/>
      <c r="Q47" s="1352">
        <f t="shared" si="11"/>
        <v>111</v>
      </c>
      <c r="R47" s="705" t="s">
        <v>14</v>
      </c>
      <c r="S47" s="706">
        <f t="shared" si="12"/>
        <v>100</v>
      </c>
      <c r="T47" s="705" t="s">
        <v>14</v>
      </c>
      <c r="U47" s="706">
        <f t="shared" si="13"/>
        <v>100</v>
      </c>
      <c r="V47" s="705" t="s">
        <v>14</v>
      </c>
      <c r="W47" s="706">
        <f t="shared" si="14"/>
        <v>100</v>
      </c>
      <c r="X47" s="1355"/>
      <c r="Y47" s="3728"/>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02" t="str">
        <f>A48</f>
        <v>成交单价（元/平方米）</v>
      </c>
      <c r="Q48" s="3720"/>
      <c r="R48" s="3721">
        <f>E48</f>
        <v>0</v>
      </c>
      <c r="S48" s="3721"/>
      <c r="T48" s="3721">
        <f>G48</f>
        <v>0</v>
      </c>
      <c r="U48" s="3721"/>
      <c r="V48" s="3721">
        <f>I48</f>
        <v>0</v>
      </c>
      <c r="W48" s="3721"/>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02" t="str">
        <f>A49</f>
        <v>比较价值（元/平方米）</v>
      </c>
      <c r="Q49" s="3720"/>
      <c r="R49" s="3721" t="e">
        <f>IF(F1="售价",ROUND(PRODUCT(R48,AA7:AA47),0),ROUND(PRODUCT(R48,AA7:AA47),1))</f>
        <v>#DIV/0!</v>
      </c>
      <c r="S49" s="3721"/>
      <c r="T49" s="3721" t="e">
        <f>IF(F1="售价",ROUND(PRODUCT(T48,AB7:AB47),0),ROUND(PRODUCT(T48,AB7:AB47),1))</f>
        <v>#DIV/0!</v>
      </c>
      <c r="U49" s="3721"/>
      <c r="V49" s="3721" t="e">
        <f>IF(F1="售价",ROUND(PRODUCT(V48,AC7:AC47),0),ROUND(PRODUCT(V48,AC7:AC47),1))</f>
        <v>#DIV/0!</v>
      </c>
      <c r="W49" s="3721"/>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48" t="str">
        <f>A50</f>
        <v>估价对象XX用房的比较价值（楼面单价，元/平方米）</v>
      </c>
      <c r="Q50" s="3749"/>
      <c r="R50" s="3750" t="e">
        <f>IF(F1="售价",ROUND(IF(D49="简单平均",AVERAGE(R49:V49),R49*F49+T49*H49+V49*J49),0),ROUND(IF(D49="简单平均",AVERAGE(R49:V49),R49*F49+T49*H49+V49*J49),1))</f>
        <v>#DIV/0!</v>
      </c>
      <c r="S50" s="3750"/>
      <c r="T50" s="3750"/>
      <c r="U50" s="3750"/>
      <c r="V50" s="3750"/>
      <c r="W50" s="375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2015-8</v>
      </c>
      <c r="D59" s="1185">
        <f>EDATE(C59,-1)</f>
        <v>42186</v>
      </c>
      <c r="E59" s="1185">
        <f>EDATE(D59,-1)</f>
        <v>42156</v>
      </c>
      <c r="F59" s="1185">
        <f t="shared" ref="F59:O59" si="16">EDATE(E59,-1)</f>
        <v>42125</v>
      </c>
      <c r="G59" s="1185">
        <f t="shared" si="16"/>
        <v>42095</v>
      </c>
      <c r="H59" s="1185">
        <f t="shared" si="16"/>
        <v>42064</v>
      </c>
      <c r="I59" s="1185">
        <f t="shared" si="16"/>
        <v>42036</v>
      </c>
      <c r="J59" s="1185">
        <f t="shared" si="16"/>
        <v>42005</v>
      </c>
      <c r="K59" s="1185">
        <f t="shared" si="16"/>
        <v>41974</v>
      </c>
      <c r="L59" s="1185">
        <f t="shared" si="16"/>
        <v>41944</v>
      </c>
      <c r="M59" s="1185">
        <f t="shared" si="16"/>
        <v>41913</v>
      </c>
      <c r="N59" s="1185">
        <f t="shared" si="16"/>
        <v>41883</v>
      </c>
      <c r="O59" s="1185">
        <f t="shared" si="16"/>
        <v>41852</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估价对象为北京市房地产，为所有。根据《国有土地使用证》[]，估价对象（分摊）出让国有建设用地使用权面积为0平方米，建筑面积为57.2平方米。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估价对象为北京市房地产,属开发建设的，该项目尚在开发建设中。根据《国有土地使用证》[]，估价对象（分摊）出让国有建设用地使用权面积为0平方米，规划建筑面积为57.2平方米。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2015年8月19日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2015年8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57.2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03" t="s">
        <v>1769</v>
      </c>
      <c r="D4" s="3704"/>
      <c r="E4" s="3705" t="s">
        <v>1770</v>
      </c>
      <c r="F4" s="3706"/>
      <c r="G4" s="3703" t="s">
        <v>1771</v>
      </c>
      <c r="H4" s="3704"/>
      <c r="I4" s="3703" t="s">
        <v>1772</v>
      </c>
      <c r="J4" s="3704"/>
      <c r="K4" s="559" t="s">
        <v>1773</v>
      </c>
      <c r="L4" s="913"/>
      <c r="M4" s="914"/>
      <c r="N4" s="914"/>
      <c r="O4" s="914"/>
      <c r="P4" s="3707" t="s">
        <v>1774</v>
      </c>
      <c r="Q4" s="3708"/>
      <c r="R4" s="3689" t="s">
        <v>1770</v>
      </c>
      <c r="S4" s="3690"/>
      <c r="T4" s="3689" t="s">
        <v>1771</v>
      </c>
      <c r="U4" s="3690"/>
      <c r="V4" s="3715" t="s">
        <v>1772</v>
      </c>
      <c r="W4" s="3715"/>
      <c r="X4" s="1355"/>
      <c r="Y4" s="3689" t="s">
        <v>1774</v>
      </c>
      <c r="Z4" s="3690"/>
      <c r="AA4" s="3684" t="s">
        <v>1770</v>
      </c>
      <c r="AB4" s="3685" t="s">
        <v>1771</v>
      </c>
      <c r="AC4" s="3684" t="s">
        <v>1772</v>
      </c>
    </row>
    <row r="5" spans="1:29">
      <c r="A5" s="358"/>
      <c r="B5" s="359"/>
      <c r="C5" s="3733" t="s">
        <v>1673</v>
      </c>
      <c r="D5" s="3696"/>
      <c r="E5" s="3731" t="s">
        <v>1674</v>
      </c>
      <c r="F5" s="3732"/>
      <c r="G5" s="3733" t="s">
        <v>1675</v>
      </c>
      <c r="H5" s="3696"/>
      <c r="I5" s="3733" t="s">
        <v>1676</v>
      </c>
      <c r="J5" s="3696"/>
      <c r="K5" s="559"/>
      <c r="L5" s="913"/>
      <c r="M5" s="914"/>
      <c r="N5" s="914"/>
      <c r="O5" s="914"/>
      <c r="P5" s="3709"/>
      <c r="Q5" s="3710"/>
      <c r="R5" s="3691"/>
      <c r="S5" s="3692"/>
      <c r="T5" s="3691"/>
      <c r="U5" s="3692"/>
      <c r="V5" s="3715"/>
      <c r="W5" s="3715"/>
      <c r="X5" s="1355"/>
      <c r="Y5" s="3691"/>
      <c r="Z5" s="3692"/>
      <c r="AA5" s="3685"/>
      <c r="AB5" s="3685"/>
      <c r="AC5" s="3685"/>
    </row>
    <row r="6" spans="1:29" ht="15" thickBot="1">
      <c r="A6" s="360"/>
      <c r="B6" s="361"/>
      <c r="C6" s="3734" t="s">
        <v>1677</v>
      </c>
      <c r="D6" s="3698"/>
      <c r="E6" s="3735" t="s">
        <v>1677</v>
      </c>
      <c r="F6" s="3701"/>
      <c r="G6" s="3734" t="s">
        <v>1677</v>
      </c>
      <c r="H6" s="3698"/>
      <c r="I6" s="3734" t="s">
        <v>1677</v>
      </c>
      <c r="J6" s="3698"/>
      <c r="K6" s="559" t="s">
        <v>1678</v>
      </c>
      <c r="L6" s="913"/>
      <c r="M6" s="914"/>
      <c r="N6" s="914"/>
      <c r="O6" s="914"/>
      <c r="P6" s="3711"/>
      <c r="Q6" s="3712"/>
      <c r="R6" s="3691"/>
      <c r="S6" s="3692"/>
      <c r="T6" s="3713"/>
      <c r="U6" s="3714"/>
      <c r="V6" s="3715"/>
      <c r="W6" s="3715"/>
      <c r="X6" s="1355"/>
      <c r="Y6" s="3713"/>
      <c r="Z6" s="3714"/>
      <c r="AA6" s="3686"/>
      <c r="AB6" s="3686"/>
      <c r="AC6" s="3686"/>
    </row>
    <row r="7" spans="1:29" s="108" customFormat="1" ht="15" thickBot="1">
      <c r="A7" s="362" t="s">
        <v>1679</v>
      </c>
      <c r="B7" s="363"/>
      <c r="C7" s="364">
        <f>'数据-取费表'!B2</f>
        <v>42235</v>
      </c>
      <c r="D7" s="365">
        <v>100</v>
      </c>
      <c r="E7" s="366"/>
      <c r="F7" s="367">
        <f>SUMIF(52:52,YEAR(E7)&amp;"-"&amp;MONTH(E7),53:53)</f>
        <v>0</v>
      </c>
      <c r="G7" s="366"/>
      <c r="H7" s="365">
        <f>SUMIF(52:52,YEAR(G7)&amp;"-"&amp;MONTH(G7),53:53)</f>
        <v>0</v>
      </c>
      <c r="I7" s="366"/>
      <c r="J7" s="365">
        <f>SUMIF(52:52,YEAR(I7)&amp;"-"&amp;MONTH(I7),53:53)</f>
        <v>0</v>
      </c>
      <c r="K7" s="560"/>
      <c r="L7" s="915"/>
      <c r="M7" s="916"/>
      <c r="N7" s="916"/>
      <c r="O7" s="916"/>
      <c r="P7" s="3687" t="s">
        <v>1680</v>
      </c>
      <c r="Q7" s="3716"/>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7" t="s">
        <v>1683</v>
      </c>
      <c r="Q8" s="3688"/>
      <c r="R8" s="701" t="s">
        <v>14</v>
      </c>
      <c r="S8" s="702">
        <f t="shared" si="0"/>
        <v>100</v>
      </c>
      <c r="T8" s="701" t="s">
        <v>14</v>
      </c>
      <c r="U8" s="702">
        <f t="shared" si="1"/>
        <v>100</v>
      </c>
      <c r="V8" s="701" t="s">
        <v>14</v>
      </c>
      <c r="W8" s="702">
        <f t="shared" si="2"/>
        <v>100</v>
      </c>
      <c r="X8" s="703"/>
      <c r="Y8" s="3687" t="s">
        <v>1683</v>
      </c>
      <c r="Z8" s="368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0"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0"/>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0"/>
      <c r="Q11" s="1343"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0"/>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0"/>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0"/>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2" t="s">
        <v>1691</v>
      </c>
      <c r="Q15" s="1352" t="str">
        <f t="shared" si="6"/>
        <v>产业集聚程度</v>
      </c>
      <c r="R15" s="705" t="s">
        <v>14</v>
      </c>
      <c r="S15" s="706">
        <f t="shared" si="0"/>
        <v>100</v>
      </c>
      <c r="T15" s="705" t="s">
        <v>14</v>
      </c>
      <c r="U15" s="706">
        <f t="shared" si="1"/>
        <v>100</v>
      </c>
      <c r="V15" s="705" t="s">
        <v>14</v>
      </c>
      <c r="W15" s="706">
        <f t="shared" si="2"/>
        <v>100</v>
      </c>
      <c r="X15" s="1355"/>
      <c r="Y15" s="372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3"/>
      <c r="Q16" s="1352"/>
      <c r="R16" s="705"/>
      <c r="S16" s="706"/>
      <c r="T16" s="705"/>
      <c r="U16" s="706"/>
      <c r="V16" s="705"/>
      <c r="W16" s="706"/>
      <c r="X16" s="1355"/>
      <c r="Y16" s="372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3"/>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3"/>
      <c r="Q18" s="1352"/>
      <c r="R18" s="705"/>
      <c r="S18" s="706"/>
      <c r="T18" s="705"/>
      <c r="U18" s="706"/>
      <c r="V18" s="705"/>
      <c r="W18" s="706"/>
      <c r="X18" s="1355"/>
      <c r="Y18" s="3723"/>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3"/>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3"/>
      <c r="Q20" s="1352"/>
      <c r="R20" s="705"/>
      <c r="S20" s="706"/>
      <c r="T20" s="705"/>
      <c r="U20" s="706"/>
      <c r="V20" s="705"/>
      <c r="W20" s="706"/>
      <c r="X20" s="1355"/>
      <c r="Y20" s="3723"/>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3"/>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3"/>
      <c r="Q22" s="1352"/>
      <c r="R22" s="705"/>
      <c r="S22" s="706"/>
      <c r="T22" s="705"/>
      <c r="U22" s="706"/>
      <c r="V22" s="705"/>
      <c r="W22" s="706"/>
      <c r="X22" s="1355"/>
      <c r="Y22" s="3723"/>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3"/>
      <c r="Q23" s="1352" t="str">
        <f>B23</f>
        <v>环境质量</v>
      </c>
      <c r="R23" s="705" t="s">
        <v>14</v>
      </c>
      <c r="S23" s="706">
        <f>F23</f>
        <v>100</v>
      </c>
      <c r="T23" s="705" t="s">
        <v>14</v>
      </c>
      <c r="U23" s="706">
        <f>H23</f>
        <v>100</v>
      </c>
      <c r="V23" s="705" t="s">
        <v>14</v>
      </c>
      <c r="W23" s="706">
        <f>J23</f>
        <v>100</v>
      </c>
      <c r="X23" s="1355"/>
      <c r="Y23" s="372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3"/>
      <c r="Q24" s="1352"/>
      <c r="R24" s="705"/>
      <c r="S24" s="706"/>
      <c r="T24" s="705"/>
      <c r="U24" s="706"/>
      <c r="V24" s="705"/>
      <c r="W24" s="706"/>
      <c r="X24" s="1355"/>
      <c r="Y24" s="372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3"/>
      <c r="Q25" s="1352">
        <f>B25</f>
        <v>111</v>
      </c>
      <c r="R25" s="705" t="s">
        <v>14</v>
      </c>
      <c r="S25" s="706">
        <f>F25</f>
        <v>100</v>
      </c>
      <c r="T25" s="705" t="s">
        <v>14</v>
      </c>
      <c r="U25" s="706">
        <f>H25</f>
        <v>100</v>
      </c>
      <c r="V25" s="705" t="s">
        <v>14</v>
      </c>
      <c r="W25" s="706">
        <f>J25</f>
        <v>100</v>
      </c>
      <c r="X25" s="1355"/>
      <c r="Y25" s="372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3"/>
      <c r="Q26" s="1352">
        <f t="shared" ref="Q26:Q40" si="11">B26</f>
        <v>111</v>
      </c>
      <c r="R26" s="705" t="s">
        <v>14</v>
      </c>
      <c r="S26" s="706">
        <f>F26</f>
        <v>100</v>
      </c>
      <c r="T26" s="705" t="s">
        <v>14</v>
      </c>
      <c r="U26" s="706">
        <f>H26</f>
        <v>100</v>
      </c>
      <c r="V26" s="705" t="s">
        <v>14</v>
      </c>
      <c r="W26" s="706">
        <f>J26</f>
        <v>100</v>
      </c>
      <c r="X26" s="1355"/>
      <c r="Y26" s="372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3"/>
      <c r="Q27" s="1343">
        <f t="shared" si="11"/>
        <v>111</v>
      </c>
      <c r="R27" s="701" t="s">
        <v>14</v>
      </c>
      <c r="S27" s="702">
        <f>F27</f>
        <v>100</v>
      </c>
      <c r="T27" s="701" t="s">
        <v>14</v>
      </c>
      <c r="U27" s="702">
        <f>H27</f>
        <v>100</v>
      </c>
      <c r="V27" s="701" t="s">
        <v>14</v>
      </c>
      <c r="W27" s="702">
        <f>J27</f>
        <v>100</v>
      </c>
      <c r="X27" s="703"/>
      <c r="Y27" s="372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3"/>
      <c r="Q28" s="1352">
        <f t="shared" si="11"/>
        <v>111</v>
      </c>
      <c r="R28" s="705" t="s">
        <v>14</v>
      </c>
      <c r="S28" s="706">
        <f t="shared" ref="S28:S40" si="12">F28</f>
        <v>100</v>
      </c>
      <c r="T28" s="705" t="s">
        <v>14</v>
      </c>
      <c r="U28" s="706">
        <f t="shared" ref="U28:U40" si="13">H28</f>
        <v>100</v>
      </c>
      <c r="V28" s="705" t="s">
        <v>14</v>
      </c>
      <c r="W28" s="706">
        <f t="shared" ref="W28:W40" si="14">J28</f>
        <v>100</v>
      </c>
      <c r="X28" s="1355"/>
      <c r="Y28" s="3723"/>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1695</v>
      </c>
      <c r="Q29" s="1352" t="str">
        <f t="shared" si="11"/>
        <v>建筑类型</v>
      </c>
      <c r="R29" s="705" t="s">
        <v>14</v>
      </c>
      <c r="S29" s="706">
        <f t="shared" si="12"/>
        <v>100</v>
      </c>
      <c r="T29" s="705" t="s">
        <v>14</v>
      </c>
      <c r="U29" s="706">
        <f t="shared" si="13"/>
        <v>100</v>
      </c>
      <c r="V29" s="705" t="s">
        <v>14</v>
      </c>
      <c r="W29" s="706">
        <f t="shared" si="14"/>
        <v>100</v>
      </c>
      <c r="X29" s="1355"/>
      <c r="Y29" s="3727"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7"/>
      <c r="Q30" s="707" t="str">
        <f t="shared" si="11"/>
        <v>项目建筑规模</v>
      </c>
      <c r="R30" s="708" t="s">
        <v>14</v>
      </c>
      <c r="S30" s="709" t="e">
        <f t="shared" si="12"/>
        <v>#N/A</v>
      </c>
      <c r="T30" s="708" t="s">
        <v>14</v>
      </c>
      <c r="U30" s="709" t="e">
        <f t="shared" si="13"/>
        <v>#N/A</v>
      </c>
      <c r="V30" s="708" t="s">
        <v>14</v>
      </c>
      <c r="W30" s="709" t="e">
        <f t="shared" si="14"/>
        <v>#N/A</v>
      </c>
      <c r="X30" s="710"/>
      <c r="Y30" s="3727"/>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7"/>
      <c r="Q31" s="1352" t="str">
        <f t="shared" si="11"/>
        <v>建筑结构</v>
      </c>
      <c r="R31" s="705" t="s">
        <v>14</v>
      </c>
      <c r="S31" s="706">
        <f t="shared" si="12"/>
        <v>100</v>
      </c>
      <c r="T31" s="705" t="s">
        <v>14</v>
      </c>
      <c r="U31" s="706">
        <f t="shared" si="13"/>
        <v>100</v>
      </c>
      <c r="V31" s="705" t="s">
        <v>14</v>
      </c>
      <c r="W31" s="706">
        <f t="shared" si="14"/>
        <v>100</v>
      </c>
      <c r="X31" s="1355"/>
      <c r="Y31" s="3727"/>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7"/>
      <c r="Q32" s="1352" t="str">
        <f t="shared" si="11"/>
        <v>公共部分装修</v>
      </c>
      <c r="R32" s="705" t="s">
        <v>14</v>
      </c>
      <c r="S32" s="706">
        <f t="shared" si="12"/>
        <v>100</v>
      </c>
      <c r="T32" s="705" t="s">
        <v>14</v>
      </c>
      <c r="U32" s="706">
        <f t="shared" si="13"/>
        <v>100</v>
      </c>
      <c r="V32" s="705" t="s">
        <v>14</v>
      </c>
      <c r="W32" s="706">
        <f t="shared" si="14"/>
        <v>100</v>
      </c>
      <c r="X32" s="1355"/>
      <c r="Y32" s="3727"/>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7"/>
      <c r="Q33" s="1352" t="str">
        <f t="shared" si="11"/>
        <v>成新度</v>
      </c>
      <c r="R33" s="705" t="s">
        <v>14</v>
      </c>
      <c r="S33" s="706" t="e">
        <f t="shared" si="12"/>
        <v>#N/A</v>
      </c>
      <c r="T33" s="705" t="s">
        <v>14</v>
      </c>
      <c r="U33" s="706" t="e">
        <f t="shared" si="13"/>
        <v>#N/A</v>
      </c>
      <c r="V33" s="705" t="s">
        <v>14</v>
      </c>
      <c r="W33" s="706" t="e">
        <f t="shared" si="14"/>
        <v>#N/A</v>
      </c>
      <c r="X33" s="1355"/>
      <c r="Y33" s="3727"/>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7"/>
      <c r="Q34" s="1343" t="str">
        <f t="shared" si="11"/>
        <v>物业管理</v>
      </c>
      <c r="R34" s="701" t="s">
        <v>14</v>
      </c>
      <c r="S34" s="702">
        <f t="shared" si="12"/>
        <v>100</v>
      </c>
      <c r="T34" s="701" t="s">
        <v>14</v>
      </c>
      <c r="U34" s="702">
        <f t="shared" si="13"/>
        <v>100</v>
      </c>
      <c r="V34" s="701" t="s">
        <v>14</v>
      </c>
      <c r="W34" s="702">
        <f t="shared" si="14"/>
        <v>100</v>
      </c>
      <c r="X34" s="703"/>
      <c r="Y34" s="3727"/>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7" t="s">
        <v>1695</v>
      </c>
      <c r="Q35" s="1352" t="str">
        <f t="shared" si="11"/>
        <v>市政基础设施</v>
      </c>
      <c r="R35" s="705" t="s">
        <v>14</v>
      </c>
      <c r="S35" s="706">
        <f t="shared" si="12"/>
        <v>100</v>
      </c>
      <c r="T35" s="705" t="s">
        <v>14</v>
      </c>
      <c r="U35" s="706">
        <f t="shared" si="13"/>
        <v>100</v>
      </c>
      <c r="V35" s="705" t="s">
        <v>14</v>
      </c>
      <c r="W35" s="706">
        <f t="shared" si="14"/>
        <v>100</v>
      </c>
      <c r="X35" s="1355"/>
      <c r="Y35" s="3727"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7"/>
      <c r="Q36" s="1352" t="str">
        <f t="shared" si="11"/>
        <v>内部装修</v>
      </c>
      <c r="R36" s="705" t="s">
        <v>14</v>
      </c>
      <c r="S36" s="706">
        <f t="shared" si="12"/>
        <v>100</v>
      </c>
      <c r="T36" s="705" t="s">
        <v>14</v>
      </c>
      <c r="U36" s="706">
        <f t="shared" si="13"/>
        <v>100</v>
      </c>
      <c r="V36" s="705" t="s">
        <v>14</v>
      </c>
      <c r="W36" s="706">
        <f t="shared" si="14"/>
        <v>100</v>
      </c>
      <c r="X36" s="1355"/>
      <c r="Y36" s="3727"/>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7"/>
      <c r="Q37" s="1352" t="str">
        <f t="shared" si="11"/>
        <v>内部装修状况</v>
      </c>
      <c r="R37" s="705" t="s">
        <v>14</v>
      </c>
      <c r="S37" s="706">
        <f t="shared" si="12"/>
        <v>100</v>
      </c>
      <c r="T37" s="705" t="s">
        <v>14</v>
      </c>
      <c r="U37" s="706">
        <f t="shared" si="13"/>
        <v>100</v>
      </c>
      <c r="V37" s="705" t="s">
        <v>14</v>
      </c>
      <c r="W37" s="706">
        <f t="shared" si="14"/>
        <v>100</v>
      </c>
      <c r="X37" s="1355"/>
      <c r="Y37" s="372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7"/>
      <c r="Q38" s="707">
        <f t="shared" si="11"/>
        <v>111</v>
      </c>
      <c r="R38" s="708" t="s">
        <v>14</v>
      </c>
      <c r="S38" s="709">
        <f t="shared" si="12"/>
        <v>100</v>
      </c>
      <c r="T38" s="708" t="s">
        <v>14</v>
      </c>
      <c r="U38" s="709">
        <f t="shared" si="13"/>
        <v>100</v>
      </c>
      <c r="V38" s="708" t="s">
        <v>14</v>
      </c>
      <c r="W38" s="709">
        <f t="shared" si="14"/>
        <v>100</v>
      </c>
      <c r="X38" s="710"/>
      <c r="Y38" s="372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7"/>
      <c r="Q39" s="1352">
        <f t="shared" si="11"/>
        <v>111</v>
      </c>
      <c r="R39" s="705" t="s">
        <v>14</v>
      </c>
      <c r="S39" s="706">
        <f t="shared" si="12"/>
        <v>100</v>
      </c>
      <c r="T39" s="705" t="s">
        <v>14</v>
      </c>
      <c r="U39" s="706">
        <f t="shared" si="13"/>
        <v>100</v>
      </c>
      <c r="V39" s="705" t="s">
        <v>14</v>
      </c>
      <c r="W39" s="706">
        <f t="shared" si="14"/>
        <v>100</v>
      </c>
      <c r="X39" s="1355"/>
      <c r="Y39" s="372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8"/>
      <c r="Q40" s="1352">
        <f t="shared" si="11"/>
        <v>111</v>
      </c>
      <c r="R40" s="705" t="s">
        <v>14</v>
      </c>
      <c r="S40" s="706">
        <f t="shared" si="12"/>
        <v>100</v>
      </c>
      <c r="T40" s="705" t="s">
        <v>14</v>
      </c>
      <c r="U40" s="706">
        <f t="shared" si="13"/>
        <v>100</v>
      </c>
      <c r="V40" s="705" t="s">
        <v>14</v>
      </c>
      <c r="W40" s="706">
        <f t="shared" si="14"/>
        <v>100</v>
      </c>
      <c r="X40" s="1355"/>
      <c r="Y40" s="3728"/>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20" t="str">
        <f>A41</f>
        <v>成交单价（元/平方米）</v>
      </c>
      <c r="Q41" s="3720"/>
      <c r="R41" s="3721">
        <f>E41</f>
        <v>0</v>
      </c>
      <c r="S41" s="3721"/>
      <c r="T41" s="3721">
        <f>G41</f>
        <v>0</v>
      </c>
      <c r="U41" s="3721"/>
      <c r="V41" s="3721">
        <f>I41</f>
        <v>0</v>
      </c>
      <c r="W41" s="3721"/>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0" t="str">
        <f>A42</f>
        <v>比较价值（元/平方米）</v>
      </c>
      <c r="Q42" s="3720"/>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17" t="str">
        <f>A43</f>
        <v>估价对象XX用房的比较价值（楼面单价，元/平方米）</v>
      </c>
      <c r="Q43" s="3718"/>
      <c r="R43" s="3719" t="e">
        <f>IF(F1="售价",ROUND(IF(D42="简单平均",AVERAGE(R42:V42),R42*F42+T42*H42+V42*J42),0),ROUND(IF(D42="简单平均",AVERAGE(R42:V42),R42*F42+T42*H42+V42*J42),1))</f>
        <v>#DIV/0!</v>
      </c>
      <c r="S43" s="3719"/>
      <c r="T43" s="3719"/>
      <c r="U43" s="3719"/>
      <c r="V43" s="3719"/>
      <c r="W43" s="371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2015-8</v>
      </c>
      <c r="D52" s="1185">
        <f>EDATE(C52,-1)</f>
        <v>42186</v>
      </c>
      <c r="E52" s="1185">
        <f t="shared" ref="E52:O52" si="16">EDATE(D52,-1)</f>
        <v>42156</v>
      </c>
      <c r="F52" s="1185">
        <f t="shared" si="16"/>
        <v>42125</v>
      </c>
      <c r="G52" s="1185">
        <f t="shared" si="16"/>
        <v>42095</v>
      </c>
      <c r="H52" s="1185">
        <f t="shared" si="16"/>
        <v>42064</v>
      </c>
      <c r="I52" s="1185">
        <f t="shared" si="16"/>
        <v>42036</v>
      </c>
      <c r="J52" s="1185">
        <f t="shared" si="16"/>
        <v>42005</v>
      </c>
      <c r="K52" s="1185">
        <f t="shared" si="16"/>
        <v>41974</v>
      </c>
      <c r="L52" s="1185">
        <f t="shared" si="16"/>
        <v>41944</v>
      </c>
      <c r="M52" s="1185">
        <f t="shared" si="16"/>
        <v>41913</v>
      </c>
      <c r="N52" s="1185">
        <f t="shared" si="16"/>
        <v>41883</v>
      </c>
      <c r="O52" s="1185">
        <f t="shared" si="16"/>
        <v>41852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03" t="s">
        <v>1769</v>
      </c>
      <c r="D4" s="3704"/>
      <c r="E4" s="3705" t="s">
        <v>1770</v>
      </c>
      <c r="F4" s="3706"/>
      <c r="G4" s="3703" t="s">
        <v>1771</v>
      </c>
      <c r="H4" s="3704"/>
      <c r="I4" s="3703" t="s">
        <v>1772</v>
      </c>
      <c r="J4" s="3704"/>
      <c r="K4" s="559" t="s">
        <v>1773</v>
      </c>
      <c r="L4" s="2715"/>
      <c r="M4" s="2716"/>
      <c r="N4" s="2716"/>
      <c r="O4" s="2716"/>
      <c r="P4" s="3707" t="s">
        <v>1774</v>
      </c>
      <c r="Q4" s="3708"/>
      <c r="R4" s="3689" t="s">
        <v>1770</v>
      </c>
      <c r="S4" s="3690"/>
      <c r="T4" s="3689" t="s">
        <v>1771</v>
      </c>
      <c r="U4" s="3690"/>
      <c r="V4" s="3715" t="s">
        <v>1772</v>
      </c>
      <c r="W4" s="3715"/>
      <c r="X4" s="1355"/>
      <c r="Y4" s="3689" t="s">
        <v>1774</v>
      </c>
      <c r="Z4" s="3690"/>
      <c r="AA4" s="3684" t="s">
        <v>1770</v>
      </c>
      <c r="AB4" s="3685" t="s">
        <v>1771</v>
      </c>
      <c r="AC4" s="3684" t="s">
        <v>1772</v>
      </c>
    </row>
    <row r="5" spans="1:29">
      <c r="A5" s="358"/>
      <c r="B5" s="359"/>
      <c r="C5" s="3733" t="s">
        <v>1673</v>
      </c>
      <c r="D5" s="3696"/>
      <c r="E5" s="3731" t="s">
        <v>1674</v>
      </c>
      <c r="F5" s="3732"/>
      <c r="G5" s="3733" t="s">
        <v>1675</v>
      </c>
      <c r="H5" s="3696"/>
      <c r="I5" s="3733" t="s">
        <v>1676</v>
      </c>
      <c r="J5" s="3696"/>
      <c r="K5" s="559"/>
      <c r="L5" s="2715"/>
      <c r="M5" s="2716"/>
      <c r="N5" s="2716"/>
      <c r="O5" s="2716"/>
      <c r="P5" s="3709"/>
      <c r="Q5" s="3710"/>
      <c r="R5" s="3691"/>
      <c r="S5" s="3692"/>
      <c r="T5" s="3691"/>
      <c r="U5" s="3692"/>
      <c r="V5" s="3715"/>
      <c r="W5" s="3715"/>
      <c r="X5" s="1355"/>
      <c r="Y5" s="3691"/>
      <c r="Z5" s="3692"/>
      <c r="AA5" s="3685"/>
      <c r="AB5" s="3685"/>
      <c r="AC5" s="3685"/>
    </row>
    <row r="6" spans="1:29" ht="15" thickBot="1">
      <c r="A6" s="360"/>
      <c r="B6" s="361"/>
      <c r="C6" s="3734" t="s">
        <v>1677</v>
      </c>
      <c r="D6" s="3698"/>
      <c r="E6" s="3735" t="s">
        <v>1677</v>
      </c>
      <c r="F6" s="3701"/>
      <c r="G6" s="3734" t="s">
        <v>1677</v>
      </c>
      <c r="H6" s="3698"/>
      <c r="I6" s="3734" t="s">
        <v>1677</v>
      </c>
      <c r="J6" s="3698"/>
      <c r="K6" s="559" t="s">
        <v>1678</v>
      </c>
      <c r="L6" s="2715"/>
      <c r="M6" s="2716"/>
      <c r="N6" s="2716"/>
      <c r="O6" s="2716"/>
      <c r="P6" s="3711"/>
      <c r="Q6" s="3712"/>
      <c r="R6" s="3691"/>
      <c r="S6" s="3692"/>
      <c r="T6" s="3713"/>
      <c r="U6" s="3714"/>
      <c r="V6" s="3715"/>
      <c r="W6" s="3715"/>
      <c r="X6" s="1355"/>
      <c r="Y6" s="3713"/>
      <c r="Z6" s="3714"/>
      <c r="AA6" s="3686"/>
      <c r="AB6" s="3686"/>
      <c r="AC6" s="3686"/>
    </row>
    <row r="7" spans="1:29" s="108" customFormat="1" ht="15" thickBot="1">
      <c r="A7" s="362" t="s">
        <v>1679</v>
      </c>
      <c r="B7" s="363"/>
      <c r="C7" s="364">
        <f>'数据-取费表'!B2</f>
        <v>42235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7" t="s">
        <v>1680</v>
      </c>
      <c r="Q7" s="3716"/>
      <c r="R7" s="701" t="s">
        <v>14</v>
      </c>
      <c r="S7" s="702">
        <f t="shared" ref="S7:S14" si="0">F7</f>
        <v>0</v>
      </c>
      <c r="T7" s="701" t="s">
        <v>14</v>
      </c>
      <c r="U7" s="702">
        <f t="shared" ref="U7:U14" si="1">H7</f>
        <v>0</v>
      </c>
      <c r="V7" s="701" t="s">
        <v>14</v>
      </c>
      <c r="W7" s="702">
        <f t="shared" ref="W7:W14" si="2">J7</f>
        <v>0</v>
      </c>
      <c r="X7" s="703"/>
      <c r="Y7" s="3687" t="s">
        <v>1680</v>
      </c>
      <c r="Z7" s="368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7" t="s">
        <v>1683</v>
      </c>
      <c r="Q8" s="3688"/>
      <c r="R8" s="701" t="s">
        <v>14</v>
      </c>
      <c r="S8" s="702">
        <f t="shared" si="0"/>
        <v>100</v>
      </c>
      <c r="T8" s="701" t="s">
        <v>14</v>
      </c>
      <c r="U8" s="702">
        <f t="shared" si="1"/>
        <v>100</v>
      </c>
      <c r="V8" s="701" t="s">
        <v>14</v>
      </c>
      <c r="W8" s="702">
        <f t="shared" si="2"/>
        <v>100</v>
      </c>
      <c r="X8" s="703"/>
      <c r="Y8" s="3687" t="s">
        <v>1683</v>
      </c>
      <c r="Z8" s="368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0" t="s">
        <v>1686</v>
      </c>
      <c r="Q9" s="1343" t="str">
        <f t="shared" ref="Q9:Q14" si="6">B9</f>
        <v>用途</v>
      </c>
      <c r="R9" s="701" t="s">
        <v>14</v>
      </c>
      <c r="S9" s="702">
        <f t="shared" si="0"/>
        <v>100</v>
      </c>
      <c r="T9" s="701" t="s">
        <v>14</v>
      </c>
      <c r="U9" s="702">
        <f t="shared" si="1"/>
        <v>100</v>
      </c>
      <c r="V9" s="701" t="s">
        <v>14</v>
      </c>
      <c r="W9" s="702">
        <f t="shared" si="2"/>
        <v>100</v>
      </c>
      <c r="X9" s="703"/>
      <c r="Y9" s="3631"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0"/>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0"/>
      <c r="Q11" s="1343">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0"/>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0"/>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2" t="s">
        <v>1691</v>
      </c>
      <c r="Q14" s="1352" t="str">
        <f t="shared" si="6"/>
        <v>交通便捷度</v>
      </c>
      <c r="R14" s="705" t="s">
        <v>14</v>
      </c>
      <c r="S14" s="706">
        <f t="shared" si="0"/>
        <v>100</v>
      </c>
      <c r="T14" s="705" t="s">
        <v>14</v>
      </c>
      <c r="U14" s="706">
        <f t="shared" si="1"/>
        <v>100</v>
      </c>
      <c r="V14" s="705" t="s">
        <v>14</v>
      </c>
      <c r="W14" s="706">
        <f t="shared" si="2"/>
        <v>100</v>
      </c>
      <c r="X14" s="1355"/>
      <c r="Y14" s="372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3"/>
      <c r="Q15" s="1352"/>
      <c r="R15" s="705"/>
      <c r="S15" s="706"/>
      <c r="T15" s="705"/>
      <c r="U15" s="706"/>
      <c r="V15" s="705"/>
      <c r="W15" s="706"/>
      <c r="X15" s="1355"/>
      <c r="Y15" s="3723"/>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3"/>
      <c r="Q16" s="1352" t="str">
        <f>B16</f>
        <v>公共配套设施</v>
      </c>
      <c r="R16" s="705" t="s">
        <v>14</v>
      </c>
      <c r="S16" s="706">
        <f>F16</f>
        <v>100</v>
      </c>
      <c r="T16" s="705" t="s">
        <v>14</v>
      </c>
      <c r="U16" s="706">
        <f>H16</f>
        <v>100</v>
      </c>
      <c r="V16" s="705" t="s">
        <v>14</v>
      </c>
      <c r="W16" s="706">
        <f>J16</f>
        <v>100</v>
      </c>
      <c r="X16" s="1355"/>
      <c r="Y16" s="372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3"/>
      <c r="Q17" s="1352"/>
      <c r="R17" s="705"/>
      <c r="S17" s="706"/>
      <c r="T17" s="705"/>
      <c r="U17" s="706"/>
      <c r="V17" s="705"/>
      <c r="W17" s="706"/>
      <c r="X17" s="1355"/>
      <c r="Y17" s="3723"/>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3"/>
      <c r="Q18" s="1352" t="str">
        <f>B18</f>
        <v>基础设施水平</v>
      </c>
      <c r="R18" s="705" t="s">
        <v>14</v>
      </c>
      <c r="S18" s="706">
        <f>F18</f>
        <v>100</v>
      </c>
      <c r="T18" s="705" t="s">
        <v>14</v>
      </c>
      <c r="U18" s="706">
        <f>H18</f>
        <v>100</v>
      </c>
      <c r="V18" s="705" t="s">
        <v>14</v>
      </c>
      <c r="W18" s="706">
        <f>J18</f>
        <v>100</v>
      </c>
      <c r="X18" s="1355"/>
      <c r="Y18" s="372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3"/>
      <c r="Q19" s="1352"/>
      <c r="R19" s="705"/>
      <c r="S19" s="706"/>
      <c r="T19" s="705"/>
      <c r="U19" s="706"/>
      <c r="V19" s="705"/>
      <c r="W19" s="706"/>
      <c r="X19" s="1355"/>
      <c r="Y19" s="3723"/>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3"/>
      <c r="Q20" s="1352" t="str">
        <f>B20</f>
        <v>自然及人文环境</v>
      </c>
      <c r="R20" s="705" t="s">
        <v>14</v>
      </c>
      <c r="S20" s="706">
        <f>F20</f>
        <v>100</v>
      </c>
      <c r="T20" s="705" t="s">
        <v>14</v>
      </c>
      <c r="U20" s="706">
        <f>H20</f>
        <v>100</v>
      </c>
      <c r="V20" s="705" t="s">
        <v>14</v>
      </c>
      <c r="W20" s="706">
        <f>J20</f>
        <v>100</v>
      </c>
      <c r="X20" s="1355"/>
      <c r="Y20" s="372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3"/>
      <c r="Q21" s="1352"/>
      <c r="R21" s="705"/>
      <c r="S21" s="706"/>
      <c r="T21" s="705"/>
      <c r="U21" s="706"/>
      <c r="V21" s="705"/>
      <c r="W21" s="706"/>
      <c r="X21" s="1355"/>
      <c r="Y21" s="3723"/>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3"/>
      <c r="Q22" s="1352" t="str">
        <f>B22</f>
        <v>楼层</v>
      </c>
      <c r="R22" s="705" t="s">
        <v>14</v>
      </c>
      <c r="S22" s="706">
        <f>F22</f>
        <v>100</v>
      </c>
      <c r="T22" s="705" t="s">
        <v>14</v>
      </c>
      <c r="U22" s="706">
        <f>H22</f>
        <v>100</v>
      </c>
      <c r="V22" s="705" t="s">
        <v>14</v>
      </c>
      <c r="W22" s="706">
        <f>J22</f>
        <v>100</v>
      </c>
      <c r="X22" s="1355"/>
      <c r="Y22" s="372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3"/>
      <c r="Q23" s="1352">
        <f>B23</f>
        <v>111</v>
      </c>
      <c r="R23" s="705" t="s">
        <v>14</v>
      </c>
      <c r="S23" s="706">
        <f>F23</f>
        <v>100</v>
      </c>
      <c r="T23" s="705" t="s">
        <v>14</v>
      </c>
      <c r="U23" s="706">
        <f>H23</f>
        <v>100</v>
      </c>
      <c r="V23" s="705" t="s">
        <v>14</v>
      </c>
      <c r="W23" s="706">
        <f>J23</f>
        <v>100</v>
      </c>
      <c r="X23" s="1355"/>
      <c r="Y23" s="372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3"/>
      <c r="Q24" s="1352">
        <f t="shared" ref="Q24:Q36" si="11">B24</f>
        <v>111</v>
      </c>
      <c r="R24" s="705" t="s">
        <v>14</v>
      </c>
      <c r="S24" s="706">
        <f>F24</f>
        <v>100</v>
      </c>
      <c r="T24" s="705" t="s">
        <v>14</v>
      </c>
      <c r="U24" s="706">
        <f>H24</f>
        <v>100</v>
      </c>
      <c r="V24" s="705" t="s">
        <v>14</v>
      </c>
      <c r="W24" s="706">
        <f>J24</f>
        <v>100</v>
      </c>
      <c r="X24" s="1355"/>
      <c r="Y24" s="372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3"/>
      <c r="Q25" s="1343">
        <f t="shared" si="11"/>
        <v>111</v>
      </c>
      <c r="R25" s="701" t="s">
        <v>14</v>
      </c>
      <c r="S25" s="702">
        <f>F25</f>
        <v>100</v>
      </c>
      <c r="T25" s="701" t="s">
        <v>14</v>
      </c>
      <c r="U25" s="702">
        <f>H25</f>
        <v>100</v>
      </c>
      <c r="V25" s="701" t="s">
        <v>14</v>
      </c>
      <c r="W25" s="702">
        <f>J25</f>
        <v>100</v>
      </c>
      <c r="X25" s="703"/>
      <c r="Y25" s="3723"/>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7"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7"/>
      <c r="Q27" s="707" t="str">
        <f t="shared" si="11"/>
        <v>项目停车位配比</v>
      </c>
      <c r="R27" s="708" t="s">
        <v>14</v>
      </c>
      <c r="S27" s="709">
        <f t="shared" si="12"/>
        <v>100</v>
      </c>
      <c r="T27" s="708" t="s">
        <v>14</v>
      </c>
      <c r="U27" s="709">
        <f t="shared" si="13"/>
        <v>100</v>
      </c>
      <c r="V27" s="708" t="s">
        <v>14</v>
      </c>
      <c r="W27" s="709">
        <f t="shared" si="14"/>
        <v>100</v>
      </c>
      <c r="X27" s="710"/>
      <c r="Y27" s="3727"/>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7"/>
      <c r="Q28" s="1352" t="str">
        <f t="shared" si="11"/>
        <v>公共部分装修</v>
      </c>
      <c r="R28" s="705" t="s">
        <v>14</v>
      </c>
      <c r="S28" s="706">
        <f t="shared" si="12"/>
        <v>100</v>
      </c>
      <c r="T28" s="705" t="s">
        <v>14</v>
      </c>
      <c r="U28" s="706">
        <f t="shared" si="13"/>
        <v>100</v>
      </c>
      <c r="V28" s="705" t="s">
        <v>14</v>
      </c>
      <c r="W28" s="706">
        <f t="shared" si="14"/>
        <v>100</v>
      </c>
      <c r="X28" s="1355"/>
      <c r="Y28" s="3727"/>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7"/>
      <c r="Q29" s="1352" t="str">
        <f t="shared" si="11"/>
        <v>成新率</v>
      </c>
      <c r="R29" s="705" t="s">
        <v>14</v>
      </c>
      <c r="S29" s="706" t="e">
        <f t="shared" si="12"/>
        <v>#N/A</v>
      </c>
      <c r="T29" s="705" t="s">
        <v>14</v>
      </c>
      <c r="U29" s="706" t="e">
        <f t="shared" si="13"/>
        <v>#N/A</v>
      </c>
      <c r="V29" s="705" t="s">
        <v>14</v>
      </c>
      <c r="W29" s="706" t="e">
        <f t="shared" si="14"/>
        <v>#N/A</v>
      </c>
      <c r="X29" s="1355"/>
      <c r="Y29" s="3727"/>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7"/>
      <c r="Q30" s="1352" t="str">
        <f t="shared" si="11"/>
        <v>物业等级</v>
      </c>
      <c r="R30" s="705" t="s">
        <v>14</v>
      </c>
      <c r="S30" s="706">
        <f t="shared" si="12"/>
        <v>100</v>
      </c>
      <c r="T30" s="705" t="s">
        <v>14</v>
      </c>
      <c r="U30" s="706">
        <f t="shared" si="13"/>
        <v>100</v>
      </c>
      <c r="V30" s="705" t="s">
        <v>14</v>
      </c>
      <c r="W30" s="706">
        <f t="shared" si="14"/>
        <v>100</v>
      </c>
      <c r="X30" s="1355"/>
      <c r="Y30" s="3727"/>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7"/>
      <c r="Q31" s="1343" t="str">
        <f t="shared" si="11"/>
        <v>停车位面积</v>
      </c>
      <c r="R31" s="701" t="s">
        <v>14</v>
      </c>
      <c r="S31" s="702" t="e">
        <f t="shared" si="12"/>
        <v>#N/A</v>
      </c>
      <c r="T31" s="701" t="s">
        <v>14</v>
      </c>
      <c r="U31" s="702" t="e">
        <f t="shared" si="13"/>
        <v>#N/A</v>
      </c>
      <c r="V31" s="701" t="s">
        <v>14</v>
      </c>
      <c r="W31" s="702" t="e">
        <f t="shared" si="14"/>
        <v>#N/A</v>
      </c>
      <c r="X31" s="703"/>
      <c r="Y31" s="3727"/>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7" t="s">
        <v>1695</v>
      </c>
      <c r="Q32" s="1352" t="str">
        <f t="shared" si="11"/>
        <v>车位类型</v>
      </c>
      <c r="R32" s="705" t="s">
        <v>14</v>
      </c>
      <c r="S32" s="706">
        <f t="shared" si="12"/>
        <v>100</v>
      </c>
      <c r="T32" s="705" t="s">
        <v>14</v>
      </c>
      <c r="U32" s="706">
        <f t="shared" si="13"/>
        <v>100</v>
      </c>
      <c r="V32" s="705" t="s">
        <v>14</v>
      </c>
      <c r="W32" s="706">
        <f t="shared" si="14"/>
        <v>100</v>
      </c>
      <c r="X32" s="1355"/>
      <c r="Y32" s="3727"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7"/>
      <c r="Q33" s="1352" t="str">
        <f t="shared" si="11"/>
        <v>是否直接入户</v>
      </c>
      <c r="R33" s="705" t="s">
        <v>14</v>
      </c>
      <c r="S33" s="706">
        <f t="shared" si="12"/>
        <v>100</v>
      </c>
      <c r="T33" s="705" t="s">
        <v>14</v>
      </c>
      <c r="U33" s="706">
        <f t="shared" si="13"/>
        <v>100</v>
      </c>
      <c r="V33" s="705" t="s">
        <v>14</v>
      </c>
      <c r="W33" s="706">
        <f t="shared" si="14"/>
        <v>100</v>
      </c>
      <c r="X33" s="1355"/>
      <c r="Y33" s="372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7"/>
      <c r="Q34" s="1352">
        <f t="shared" si="11"/>
        <v>111</v>
      </c>
      <c r="R34" s="705" t="s">
        <v>14</v>
      </c>
      <c r="S34" s="706">
        <f t="shared" si="12"/>
        <v>100</v>
      </c>
      <c r="T34" s="705" t="s">
        <v>14</v>
      </c>
      <c r="U34" s="706">
        <f t="shared" si="13"/>
        <v>100</v>
      </c>
      <c r="V34" s="705" t="s">
        <v>14</v>
      </c>
      <c r="W34" s="706">
        <f t="shared" si="14"/>
        <v>100</v>
      </c>
      <c r="X34" s="1355"/>
      <c r="Y34" s="372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7"/>
      <c r="Q35" s="707">
        <f t="shared" si="11"/>
        <v>111</v>
      </c>
      <c r="R35" s="708" t="s">
        <v>14</v>
      </c>
      <c r="S35" s="709">
        <f t="shared" si="12"/>
        <v>100</v>
      </c>
      <c r="T35" s="708" t="s">
        <v>14</v>
      </c>
      <c r="U35" s="709">
        <f t="shared" si="13"/>
        <v>100</v>
      </c>
      <c r="V35" s="708" t="s">
        <v>14</v>
      </c>
      <c r="W35" s="709">
        <f t="shared" si="14"/>
        <v>100</v>
      </c>
      <c r="X35" s="710"/>
      <c r="Y35" s="372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7"/>
      <c r="Q36" s="1352">
        <f t="shared" si="11"/>
        <v>111</v>
      </c>
      <c r="R36" s="705" t="s">
        <v>14</v>
      </c>
      <c r="S36" s="706">
        <f t="shared" si="12"/>
        <v>100</v>
      </c>
      <c r="T36" s="705" t="s">
        <v>14</v>
      </c>
      <c r="U36" s="706">
        <f t="shared" si="13"/>
        <v>100</v>
      </c>
      <c r="V36" s="705" t="s">
        <v>14</v>
      </c>
      <c r="W36" s="706">
        <f t="shared" si="14"/>
        <v>100</v>
      </c>
      <c r="X36" s="1355"/>
      <c r="Y36" s="3727"/>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720" t="str">
        <f>A37</f>
        <v>成交单价</v>
      </c>
      <c r="Q37" s="3720"/>
      <c r="R37" s="3721">
        <f>E37</f>
        <v>0</v>
      </c>
      <c r="S37" s="3721"/>
      <c r="T37" s="3721">
        <f>G37</f>
        <v>0</v>
      </c>
      <c r="U37" s="3721"/>
      <c r="V37" s="3721">
        <f>I37</f>
        <v>0</v>
      </c>
      <c r="W37" s="3721"/>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20" t="str">
        <f>A38</f>
        <v>比较价值（元/平方米）</v>
      </c>
      <c r="Q38" s="3720"/>
      <c r="R38" s="3721" t="e">
        <f>IF(F1="售价",ROUND(PRODUCT(R37,AA7:AA36),0),ROUND(PRODUCT(R37,AA7:AA36),1))</f>
        <v>#DIV/0!</v>
      </c>
      <c r="S38" s="3721"/>
      <c r="T38" s="3721" t="e">
        <f>IF(F1="售价",ROUND(PRODUCT(T37,AB7:AB36),0),ROUND(PRODUCT(T37,AB7:AB36),1))</f>
        <v>#DIV/0!</v>
      </c>
      <c r="U38" s="3721"/>
      <c r="V38" s="3721" t="e">
        <f>IF(F1="售价",ROUND(PRODUCT(V37,AC7:AC36),0),ROUND(PRODUCT(V37,AC7:AC36),1))</f>
        <v>#DIV/0!</v>
      </c>
      <c r="W38" s="3721"/>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17" t="str">
        <f>A39</f>
        <v>估价对象XX用房的比较价值（楼面单价，元/平方米）</v>
      </c>
      <c r="Q39" s="3718"/>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2015-8</v>
      </c>
      <c r="D48" s="1185">
        <f>EDATE(C48,-1)</f>
        <v>42186</v>
      </c>
      <c r="E48" s="1185">
        <f t="shared" ref="E48:O48" si="16">EDATE(D48,-1)</f>
        <v>42156</v>
      </c>
      <c r="F48" s="1185">
        <f t="shared" si="16"/>
        <v>42125</v>
      </c>
      <c r="G48" s="1185">
        <f t="shared" si="16"/>
        <v>42095</v>
      </c>
      <c r="H48" s="1185">
        <f t="shared" si="16"/>
        <v>42064</v>
      </c>
      <c r="I48" s="1185">
        <f t="shared" si="16"/>
        <v>42036</v>
      </c>
      <c r="J48" s="1185">
        <f t="shared" si="16"/>
        <v>42005</v>
      </c>
      <c r="K48" s="1185">
        <f t="shared" si="16"/>
        <v>41974</v>
      </c>
      <c r="L48" s="1185">
        <f t="shared" si="16"/>
        <v>41944</v>
      </c>
      <c r="M48" s="1185">
        <f t="shared" si="16"/>
        <v>41913</v>
      </c>
      <c r="N48" s="1185">
        <f t="shared" si="16"/>
        <v>41883</v>
      </c>
      <c r="O48" s="1185">
        <f t="shared" si="16"/>
        <v>41852</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03" t="s">
        <v>1769</v>
      </c>
      <c r="D4" s="3704"/>
      <c r="E4" s="3705" t="s">
        <v>1770</v>
      </c>
      <c r="F4" s="3706"/>
      <c r="G4" s="3703" t="s">
        <v>1771</v>
      </c>
      <c r="H4" s="3704"/>
      <c r="I4" s="3703" t="s">
        <v>1772</v>
      </c>
      <c r="J4" s="3704"/>
      <c r="K4" s="559" t="s">
        <v>1773</v>
      </c>
      <c r="L4" s="2715"/>
      <c r="M4" s="2716"/>
      <c r="N4" s="2716"/>
      <c r="O4" s="2716"/>
      <c r="P4" s="3707" t="s">
        <v>1774</v>
      </c>
      <c r="Q4" s="3708"/>
      <c r="R4" s="3689" t="s">
        <v>1770</v>
      </c>
      <c r="S4" s="3690"/>
      <c r="T4" s="3689" t="s">
        <v>1771</v>
      </c>
      <c r="U4" s="3690"/>
      <c r="V4" s="3715" t="s">
        <v>1772</v>
      </c>
      <c r="W4" s="3715"/>
      <c r="X4" s="1355"/>
      <c r="Y4" s="3689" t="s">
        <v>1774</v>
      </c>
      <c r="Z4" s="3690"/>
      <c r="AA4" s="3684" t="s">
        <v>1770</v>
      </c>
      <c r="AB4" s="3685" t="s">
        <v>1771</v>
      </c>
      <c r="AC4" s="3684" t="s">
        <v>1772</v>
      </c>
    </row>
    <row r="5" spans="1:29">
      <c r="A5" s="358"/>
      <c r="B5" s="359"/>
      <c r="C5" s="3733" t="s">
        <v>1673</v>
      </c>
      <c r="D5" s="3696"/>
      <c r="E5" s="3731" t="s">
        <v>1674</v>
      </c>
      <c r="F5" s="3732"/>
      <c r="G5" s="3733" t="s">
        <v>1675</v>
      </c>
      <c r="H5" s="3696"/>
      <c r="I5" s="3733" t="s">
        <v>1676</v>
      </c>
      <c r="J5" s="3696"/>
      <c r="K5" s="559"/>
      <c r="L5" s="2715"/>
      <c r="M5" s="2716"/>
      <c r="N5" s="2716"/>
      <c r="O5" s="2716"/>
      <c r="P5" s="3709"/>
      <c r="Q5" s="3710"/>
      <c r="R5" s="3691"/>
      <c r="S5" s="3692"/>
      <c r="T5" s="3691"/>
      <c r="U5" s="3692"/>
      <c r="V5" s="3715"/>
      <c r="W5" s="3715"/>
      <c r="X5" s="1355"/>
      <c r="Y5" s="3691"/>
      <c r="Z5" s="3692"/>
      <c r="AA5" s="3685"/>
      <c r="AB5" s="3685"/>
      <c r="AC5" s="3685"/>
    </row>
    <row r="6" spans="1:29" ht="15" thickBot="1">
      <c r="A6" s="360"/>
      <c r="B6" s="361"/>
      <c r="C6" s="3734" t="s">
        <v>1677</v>
      </c>
      <c r="D6" s="3698"/>
      <c r="E6" s="3735" t="s">
        <v>1677</v>
      </c>
      <c r="F6" s="3701"/>
      <c r="G6" s="3734" t="s">
        <v>1677</v>
      </c>
      <c r="H6" s="3698"/>
      <c r="I6" s="3734" t="s">
        <v>1677</v>
      </c>
      <c r="J6" s="3698"/>
      <c r="K6" s="559" t="s">
        <v>1678</v>
      </c>
      <c r="L6" s="2715"/>
      <c r="M6" s="2716"/>
      <c r="N6" s="2716"/>
      <c r="O6" s="2716"/>
      <c r="P6" s="3711"/>
      <c r="Q6" s="3712"/>
      <c r="R6" s="3691"/>
      <c r="S6" s="3692"/>
      <c r="T6" s="3713"/>
      <c r="U6" s="3714"/>
      <c r="V6" s="3715"/>
      <c r="W6" s="3715"/>
      <c r="X6" s="1355"/>
      <c r="Y6" s="3713"/>
      <c r="Z6" s="3714"/>
      <c r="AA6" s="3686"/>
      <c r="AB6" s="3686"/>
      <c r="AC6" s="3686"/>
    </row>
    <row r="7" spans="1:29" s="108" customFormat="1" ht="15" thickBot="1">
      <c r="A7" s="362" t="s">
        <v>1679</v>
      </c>
      <c r="B7" s="363"/>
      <c r="C7" s="364">
        <f>'数据-取费表'!B2</f>
        <v>42235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7" t="s">
        <v>1680</v>
      </c>
      <c r="Q7" s="3716"/>
      <c r="R7" s="701" t="s">
        <v>14</v>
      </c>
      <c r="S7" s="702">
        <f t="shared" ref="S7:S14" si="0">F7</f>
        <v>0</v>
      </c>
      <c r="T7" s="701" t="s">
        <v>14</v>
      </c>
      <c r="U7" s="702">
        <f t="shared" ref="U7:U14" si="1">H7</f>
        <v>0</v>
      </c>
      <c r="V7" s="701" t="s">
        <v>14</v>
      </c>
      <c r="W7" s="702">
        <f t="shared" ref="W7:W14" si="2">J7</f>
        <v>0</v>
      </c>
      <c r="X7" s="703"/>
      <c r="Y7" s="3687" t="s">
        <v>1680</v>
      </c>
      <c r="Z7" s="368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7" t="s">
        <v>1683</v>
      </c>
      <c r="Q8" s="3688"/>
      <c r="R8" s="701" t="s">
        <v>14</v>
      </c>
      <c r="S8" s="702">
        <f t="shared" si="0"/>
        <v>100</v>
      </c>
      <c r="T8" s="701" t="s">
        <v>14</v>
      </c>
      <c r="U8" s="702">
        <f t="shared" si="1"/>
        <v>100</v>
      </c>
      <c r="V8" s="701" t="s">
        <v>14</v>
      </c>
      <c r="W8" s="702">
        <f t="shared" si="2"/>
        <v>100</v>
      </c>
      <c r="X8" s="703"/>
      <c r="Y8" s="3687" t="s">
        <v>1683</v>
      </c>
      <c r="Z8" s="368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0" t="s">
        <v>1686</v>
      </c>
      <c r="Q9" s="1343" t="str">
        <f t="shared" ref="Q9:Q14" si="6">B9</f>
        <v>用途</v>
      </c>
      <c r="R9" s="701" t="s">
        <v>14</v>
      </c>
      <c r="S9" s="702">
        <f t="shared" si="0"/>
        <v>100</v>
      </c>
      <c r="T9" s="701" t="s">
        <v>14</v>
      </c>
      <c r="U9" s="702">
        <f t="shared" si="1"/>
        <v>100</v>
      </c>
      <c r="V9" s="701" t="s">
        <v>14</v>
      </c>
      <c r="W9" s="702">
        <f t="shared" si="2"/>
        <v>100</v>
      </c>
      <c r="X9" s="703"/>
      <c r="Y9" s="3631"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0"/>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0"/>
      <c r="Q11" s="1343">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0"/>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0"/>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2" t="s">
        <v>1691</v>
      </c>
      <c r="Q14" s="1352" t="str">
        <f t="shared" si="6"/>
        <v>交通便捷度</v>
      </c>
      <c r="R14" s="705" t="s">
        <v>14</v>
      </c>
      <c r="S14" s="706">
        <f t="shared" si="0"/>
        <v>100</v>
      </c>
      <c r="T14" s="705" t="s">
        <v>14</v>
      </c>
      <c r="U14" s="706">
        <f t="shared" si="1"/>
        <v>100</v>
      </c>
      <c r="V14" s="705" t="s">
        <v>14</v>
      </c>
      <c r="W14" s="706">
        <f t="shared" si="2"/>
        <v>100</v>
      </c>
      <c r="X14" s="1355"/>
      <c r="Y14" s="372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3"/>
      <c r="Q15" s="1352"/>
      <c r="R15" s="705"/>
      <c r="S15" s="706"/>
      <c r="T15" s="705"/>
      <c r="U15" s="706"/>
      <c r="V15" s="705"/>
      <c r="W15" s="706"/>
      <c r="X15" s="1355"/>
      <c r="Y15" s="3723"/>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3"/>
      <c r="Q16" s="1352" t="str">
        <f>B16</f>
        <v>公共配套设施</v>
      </c>
      <c r="R16" s="705" t="s">
        <v>14</v>
      </c>
      <c r="S16" s="706">
        <f>F16</f>
        <v>100</v>
      </c>
      <c r="T16" s="705" t="s">
        <v>14</v>
      </c>
      <c r="U16" s="706">
        <f>H16</f>
        <v>100</v>
      </c>
      <c r="V16" s="705" t="s">
        <v>14</v>
      </c>
      <c r="W16" s="706">
        <f>J16</f>
        <v>100</v>
      </c>
      <c r="X16" s="1355"/>
      <c r="Y16" s="372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3"/>
      <c r="Q17" s="1352"/>
      <c r="R17" s="705"/>
      <c r="S17" s="706"/>
      <c r="T17" s="705"/>
      <c r="U17" s="706"/>
      <c r="V17" s="705"/>
      <c r="W17" s="706"/>
      <c r="X17" s="1355"/>
      <c r="Y17" s="3723"/>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3"/>
      <c r="Q18" s="1352" t="str">
        <f>B18</f>
        <v>基础设施水平</v>
      </c>
      <c r="R18" s="705" t="s">
        <v>14</v>
      </c>
      <c r="S18" s="706">
        <f>F18</f>
        <v>100</v>
      </c>
      <c r="T18" s="705" t="s">
        <v>14</v>
      </c>
      <c r="U18" s="706">
        <f>H18</f>
        <v>100</v>
      </c>
      <c r="V18" s="705" t="s">
        <v>14</v>
      </c>
      <c r="W18" s="706">
        <f>J18</f>
        <v>100</v>
      </c>
      <c r="X18" s="1355"/>
      <c r="Y18" s="372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3"/>
      <c r="Q19" s="1352"/>
      <c r="R19" s="705"/>
      <c r="S19" s="706"/>
      <c r="T19" s="705"/>
      <c r="U19" s="706"/>
      <c r="V19" s="705"/>
      <c r="W19" s="706"/>
      <c r="X19" s="1355"/>
      <c r="Y19" s="3723"/>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3"/>
      <c r="Q20" s="1352" t="str">
        <f>B20</f>
        <v>自然及人文环境</v>
      </c>
      <c r="R20" s="705" t="s">
        <v>14</v>
      </c>
      <c r="S20" s="706">
        <f>F20</f>
        <v>100</v>
      </c>
      <c r="T20" s="705" t="s">
        <v>14</v>
      </c>
      <c r="U20" s="706">
        <f>H20</f>
        <v>100</v>
      </c>
      <c r="V20" s="705" t="s">
        <v>14</v>
      </c>
      <c r="W20" s="706">
        <f>J20</f>
        <v>100</v>
      </c>
      <c r="X20" s="1355"/>
      <c r="Y20" s="372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3"/>
      <c r="Q21" s="1352"/>
      <c r="R21" s="705"/>
      <c r="S21" s="706"/>
      <c r="T21" s="705"/>
      <c r="U21" s="706"/>
      <c r="V21" s="705"/>
      <c r="W21" s="706"/>
      <c r="X21" s="1355"/>
      <c r="Y21" s="3723"/>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3"/>
      <c r="Q22" s="1352" t="str">
        <f>B22</f>
        <v>楼层</v>
      </c>
      <c r="R22" s="705" t="s">
        <v>14</v>
      </c>
      <c r="S22" s="706">
        <f>F22</f>
        <v>100</v>
      </c>
      <c r="T22" s="705" t="s">
        <v>14</v>
      </c>
      <c r="U22" s="706">
        <f>H22</f>
        <v>100</v>
      </c>
      <c r="V22" s="705" t="s">
        <v>14</v>
      </c>
      <c r="W22" s="706">
        <f>J22</f>
        <v>100</v>
      </c>
      <c r="X22" s="1355"/>
      <c r="Y22" s="372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3"/>
      <c r="Q23" s="1352">
        <f>B23</f>
        <v>111</v>
      </c>
      <c r="R23" s="705" t="s">
        <v>14</v>
      </c>
      <c r="S23" s="706">
        <f>F23</f>
        <v>100</v>
      </c>
      <c r="T23" s="705" t="s">
        <v>14</v>
      </c>
      <c r="U23" s="706">
        <f>H23</f>
        <v>100</v>
      </c>
      <c r="V23" s="705" t="s">
        <v>14</v>
      </c>
      <c r="W23" s="706">
        <f>J23</f>
        <v>100</v>
      </c>
      <c r="X23" s="1355"/>
      <c r="Y23" s="372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3"/>
      <c r="Q24" s="1352">
        <f t="shared" ref="Q24:Q34" si="11">B24</f>
        <v>111</v>
      </c>
      <c r="R24" s="705" t="s">
        <v>14</v>
      </c>
      <c r="S24" s="706">
        <f>F24</f>
        <v>100</v>
      </c>
      <c r="T24" s="705" t="s">
        <v>14</v>
      </c>
      <c r="U24" s="706">
        <f>H24</f>
        <v>100</v>
      </c>
      <c r="V24" s="705" t="s">
        <v>14</v>
      </c>
      <c r="W24" s="706">
        <f>J24</f>
        <v>100</v>
      </c>
      <c r="X24" s="1355"/>
      <c r="Y24" s="372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3"/>
      <c r="Q25" s="1343">
        <f t="shared" si="11"/>
        <v>111</v>
      </c>
      <c r="R25" s="701" t="s">
        <v>14</v>
      </c>
      <c r="S25" s="702">
        <f>F25</f>
        <v>100</v>
      </c>
      <c r="T25" s="701" t="s">
        <v>14</v>
      </c>
      <c r="U25" s="702">
        <f>H25</f>
        <v>100</v>
      </c>
      <c r="V25" s="701" t="s">
        <v>14</v>
      </c>
      <c r="W25" s="702">
        <f>J25</f>
        <v>100</v>
      </c>
      <c r="X25" s="703"/>
      <c r="Y25" s="3723"/>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7"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7"/>
      <c r="Q27" s="707" t="str">
        <f t="shared" si="11"/>
        <v>成新率</v>
      </c>
      <c r="R27" s="708" t="s">
        <v>14</v>
      </c>
      <c r="S27" s="709" t="e">
        <f t="shared" si="12"/>
        <v>#N/A</v>
      </c>
      <c r="T27" s="708" t="s">
        <v>14</v>
      </c>
      <c r="U27" s="709" t="e">
        <f t="shared" si="13"/>
        <v>#N/A</v>
      </c>
      <c r="V27" s="708" t="s">
        <v>14</v>
      </c>
      <c r="W27" s="709" t="e">
        <f t="shared" si="14"/>
        <v>#N/A</v>
      </c>
      <c r="X27" s="710"/>
      <c r="Y27" s="3727"/>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7"/>
      <c r="Q28" s="1352" t="str">
        <f t="shared" si="11"/>
        <v>物业等级</v>
      </c>
      <c r="R28" s="705" t="s">
        <v>14</v>
      </c>
      <c r="S28" s="706">
        <f t="shared" si="12"/>
        <v>100</v>
      </c>
      <c r="T28" s="705" t="s">
        <v>14</v>
      </c>
      <c r="U28" s="706">
        <f t="shared" si="13"/>
        <v>100</v>
      </c>
      <c r="V28" s="705" t="s">
        <v>14</v>
      </c>
      <c r="W28" s="706">
        <f t="shared" si="14"/>
        <v>100</v>
      </c>
      <c r="X28" s="1355"/>
      <c r="Y28" s="3727"/>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7"/>
      <c r="Q29" s="1352" t="str">
        <f t="shared" si="11"/>
        <v>有无电梯</v>
      </c>
      <c r="R29" s="705" t="s">
        <v>14</v>
      </c>
      <c r="S29" s="706">
        <f t="shared" si="12"/>
        <v>100</v>
      </c>
      <c r="T29" s="705" t="s">
        <v>14</v>
      </c>
      <c r="U29" s="706">
        <f t="shared" si="13"/>
        <v>100</v>
      </c>
      <c r="V29" s="705" t="s">
        <v>14</v>
      </c>
      <c r="W29" s="706">
        <f t="shared" si="14"/>
        <v>100</v>
      </c>
      <c r="X29" s="1355"/>
      <c r="Y29" s="3727"/>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7"/>
      <c r="Q30" s="1352" t="str">
        <f t="shared" si="11"/>
        <v>建筑面积</v>
      </c>
      <c r="R30" s="705" t="s">
        <v>14</v>
      </c>
      <c r="S30" s="706" t="e">
        <f t="shared" si="12"/>
        <v>#N/A</v>
      </c>
      <c r="T30" s="705" t="s">
        <v>14</v>
      </c>
      <c r="U30" s="706" t="e">
        <f t="shared" si="13"/>
        <v>#N/A</v>
      </c>
      <c r="V30" s="705" t="s">
        <v>14</v>
      </c>
      <c r="W30" s="706" t="e">
        <f t="shared" si="14"/>
        <v>#N/A</v>
      </c>
      <c r="X30" s="1355"/>
      <c r="Y30" s="3727"/>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7"/>
      <c r="Q31" s="1343" t="str">
        <f t="shared" si="11"/>
        <v>是否封闭</v>
      </c>
      <c r="R31" s="701" t="s">
        <v>14</v>
      </c>
      <c r="S31" s="702">
        <f t="shared" si="12"/>
        <v>100</v>
      </c>
      <c r="T31" s="701" t="s">
        <v>14</v>
      </c>
      <c r="U31" s="702">
        <f t="shared" si="13"/>
        <v>100</v>
      </c>
      <c r="V31" s="701" t="s">
        <v>14</v>
      </c>
      <c r="W31" s="702">
        <f t="shared" si="14"/>
        <v>100</v>
      </c>
      <c r="X31" s="703"/>
      <c r="Y31" s="372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7" t="s">
        <v>1695</v>
      </c>
      <c r="Q32" s="1352">
        <f t="shared" si="11"/>
        <v>111</v>
      </c>
      <c r="R32" s="705" t="s">
        <v>14</v>
      </c>
      <c r="S32" s="706">
        <f t="shared" si="12"/>
        <v>100</v>
      </c>
      <c r="T32" s="705" t="s">
        <v>14</v>
      </c>
      <c r="U32" s="706">
        <f t="shared" si="13"/>
        <v>100</v>
      </c>
      <c r="V32" s="705" t="s">
        <v>14</v>
      </c>
      <c r="W32" s="706">
        <f t="shared" si="14"/>
        <v>100</v>
      </c>
      <c r="X32" s="1355"/>
      <c r="Y32" s="3727"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7"/>
      <c r="Q33" s="1352">
        <f t="shared" si="11"/>
        <v>111</v>
      </c>
      <c r="R33" s="705" t="s">
        <v>14</v>
      </c>
      <c r="S33" s="706">
        <f t="shared" si="12"/>
        <v>100</v>
      </c>
      <c r="T33" s="705" t="s">
        <v>14</v>
      </c>
      <c r="U33" s="706">
        <f t="shared" si="13"/>
        <v>100</v>
      </c>
      <c r="V33" s="705" t="s">
        <v>14</v>
      </c>
      <c r="W33" s="706">
        <f t="shared" si="14"/>
        <v>100</v>
      </c>
      <c r="X33" s="1355"/>
      <c r="Y33" s="372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7"/>
      <c r="Q34" s="1352">
        <f t="shared" si="11"/>
        <v>111</v>
      </c>
      <c r="R34" s="705" t="s">
        <v>14</v>
      </c>
      <c r="S34" s="706">
        <f t="shared" si="12"/>
        <v>100</v>
      </c>
      <c r="T34" s="705" t="s">
        <v>14</v>
      </c>
      <c r="U34" s="706">
        <f t="shared" si="13"/>
        <v>100</v>
      </c>
      <c r="V34" s="705" t="s">
        <v>14</v>
      </c>
      <c r="W34" s="706">
        <f t="shared" si="14"/>
        <v>100</v>
      </c>
      <c r="X34" s="1355"/>
      <c r="Y34" s="3727"/>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20" t="str">
        <f>A35</f>
        <v>成交单价（元/平方米）</v>
      </c>
      <c r="Q35" s="3720"/>
      <c r="R35" s="3721">
        <f>E35</f>
        <v>0</v>
      </c>
      <c r="S35" s="3721"/>
      <c r="T35" s="3721">
        <f>G35</f>
        <v>0</v>
      </c>
      <c r="U35" s="3721"/>
      <c r="V35" s="3721">
        <f>I35</f>
        <v>0</v>
      </c>
      <c r="W35" s="3721"/>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20" t="str">
        <f>A36</f>
        <v>比较价值（元/平方米）</v>
      </c>
      <c r="Q36" s="3720"/>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17" t="str">
        <f>A37</f>
        <v>估价对象XX用房的比较价值（楼面单价，元/平方米）</v>
      </c>
      <c r="Q37" s="3718"/>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2015-8</v>
      </c>
      <c r="D46" s="1185">
        <f>EDATE(C46,-1)</f>
        <v>42186</v>
      </c>
      <c r="E46" s="1185">
        <f t="shared" ref="E46:O46" si="16">EDATE(D46,-1)</f>
        <v>42156</v>
      </c>
      <c r="F46" s="1185">
        <f t="shared" si="16"/>
        <v>42125</v>
      </c>
      <c r="G46" s="1185">
        <f t="shared" si="16"/>
        <v>42095</v>
      </c>
      <c r="H46" s="1185">
        <f t="shared" si="16"/>
        <v>42064</v>
      </c>
      <c r="I46" s="1185">
        <f t="shared" si="16"/>
        <v>42036</v>
      </c>
      <c r="J46" s="1185">
        <f t="shared" si="16"/>
        <v>42005</v>
      </c>
      <c r="K46" s="1185">
        <f t="shared" si="16"/>
        <v>41974</v>
      </c>
      <c r="L46" s="1185">
        <f t="shared" si="16"/>
        <v>41944</v>
      </c>
      <c r="M46" s="1185">
        <f t="shared" si="16"/>
        <v>41913</v>
      </c>
      <c r="N46" s="1185">
        <f t="shared" si="16"/>
        <v>41883</v>
      </c>
      <c r="O46" s="1185">
        <f t="shared" si="16"/>
        <v>41852</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03" t="s">
        <v>1769</v>
      </c>
      <c r="D4" s="3704"/>
      <c r="E4" s="3705" t="s">
        <v>1770</v>
      </c>
      <c r="F4" s="3706"/>
      <c r="G4" s="3703" t="s">
        <v>1771</v>
      </c>
      <c r="H4" s="3704"/>
      <c r="I4" s="3703" t="s">
        <v>1772</v>
      </c>
      <c r="J4" s="3704"/>
      <c r="K4" s="559" t="s">
        <v>1773</v>
      </c>
      <c r="L4" s="2715"/>
      <c r="M4" s="2716"/>
      <c r="N4" s="2716"/>
      <c r="O4" s="2716"/>
      <c r="P4" s="3707" t="s">
        <v>1774</v>
      </c>
      <c r="Q4" s="3708"/>
      <c r="R4" s="3689" t="s">
        <v>1770</v>
      </c>
      <c r="S4" s="3690"/>
      <c r="T4" s="3689" t="s">
        <v>1771</v>
      </c>
      <c r="U4" s="3690"/>
      <c r="V4" s="3715" t="s">
        <v>1772</v>
      </c>
      <c r="W4" s="3715"/>
      <c r="X4" s="1355"/>
      <c r="Y4" s="3689" t="s">
        <v>1774</v>
      </c>
      <c r="Z4" s="3690"/>
      <c r="AA4" s="3684" t="s">
        <v>1770</v>
      </c>
      <c r="AB4" s="3685" t="s">
        <v>1771</v>
      </c>
      <c r="AC4" s="3684" t="s">
        <v>1772</v>
      </c>
    </row>
    <row r="5" spans="1:30">
      <c r="A5" s="358"/>
      <c r="B5" s="359"/>
      <c r="C5" s="3733" t="s">
        <v>1673</v>
      </c>
      <c r="D5" s="3696"/>
      <c r="E5" s="3731" t="s">
        <v>1674</v>
      </c>
      <c r="F5" s="3732"/>
      <c r="G5" s="3733" t="s">
        <v>1675</v>
      </c>
      <c r="H5" s="3696"/>
      <c r="I5" s="3733" t="s">
        <v>1676</v>
      </c>
      <c r="J5" s="3696"/>
      <c r="K5" s="559"/>
      <c r="L5" s="2715"/>
      <c r="M5" s="2716"/>
      <c r="N5" s="2716"/>
      <c r="O5" s="2716"/>
      <c r="P5" s="3709"/>
      <c r="Q5" s="3710"/>
      <c r="R5" s="3691"/>
      <c r="S5" s="3692"/>
      <c r="T5" s="3691"/>
      <c r="U5" s="3692"/>
      <c r="V5" s="3715"/>
      <c r="W5" s="3715"/>
      <c r="X5" s="1355"/>
      <c r="Y5" s="3691"/>
      <c r="Z5" s="3692"/>
      <c r="AA5" s="3685"/>
      <c r="AB5" s="3685"/>
      <c r="AC5" s="3685"/>
    </row>
    <row r="6" spans="1:30" ht="15" thickBot="1">
      <c r="A6" s="360"/>
      <c r="B6" s="361"/>
      <c r="C6" s="3734" t="s">
        <v>1677</v>
      </c>
      <c r="D6" s="3698"/>
      <c r="E6" s="3735" t="s">
        <v>1677</v>
      </c>
      <c r="F6" s="3701"/>
      <c r="G6" s="3734" t="s">
        <v>1677</v>
      </c>
      <c r="H6" s="3698"/>
      <c r="I6" s="3734" t="s">
        <v>1677</v>
      </c>
      <c r="J6" s="3698"/>
      <c r="K6" s="559" t="s">
        <v>1678</v>
      </c>
      <c r="L6" s="2715"/>
      <c r="M6" s="2716"/>
      <c r="N6" s="2716"/>
      <c r="O6" s="2716"/>
      <c r="P6" s="3711"/>
      <c r="Q6" s="3712"/>
      <c r="R6" s="3691"/>
      <c r="S6" s="3692"/>
      <c r="T6" s="3713"/>
      <c r="U6" s="3714"/>
      <c r="V6" s="3715"/>
      <c r="W6" s="3715"/>
      <c r="X6" s="1355"/>
      <c r="Y6" s="3713"/>
      <c r="Z6" s="3714"/>
      <c r="AA6" s="3686"/>
      <c r="AB6" s="3686"/>
      <c r="AC6" s="3686"/>
    </row>
    <row r="7" spans="1:30" s="108" customFormat="1" ht="15" thickBot="1">
      <c r="A7" s="362" t="s">
        <v>1679</v>
      </c>
      <c r="B7" s="363"/>
      <c r="C7" s="364">
        <f>'数据-取费表'!B2</f>
        <v>42235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7" t="s">
        <v>1680</v>
      </c>
      <c r="Q7" s="3716"/>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7" t="s">
        <v>1683</v>
      </c>
      <c r="Q8" s="3688"/>
      <c r="R8" s="701" t="s">
        <v>14</v>
      </c>
      <c r="S8" s="702">
        <f t="shared" si="0"/>
        <v>0</v>
      </c>
      <c r="T8" s="701" t="s">
        <v>14</v>
      </c>
      <c r="U8" s="702">
        <f t="shared" si="1"/>
        <v>0</v>
      </c>
      <c r="V8" s="701" t="s">
        <v>14</v>
      </c>
      <c r="W8" s="702">
        <f t="shared" si="2"/>
        <v>0</v>
      </c>
      <c r="X8" s="703"/>
      <c r="Y8" s="3687" t="s">
        <v>1683</v>
      </c>
      <c r="Z8" s="368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0"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0"/>
      <c r="Q10" s="1343" t="str">
        <f t="shared" si="6"/>
        <v>土地使用年限（年）</v>
      </c>
      <c r="R10" s="701" t="s">
        <v>14</v>
      </c>
      <c r="S10" s="702" t="e">
        <f t="shared" si="0"/>
        <v>#DIV/0!</v>
      </c>
      <c r="T10" s="701" t="s">
        <v>14</v>
      </c>
      <c r="U10" s="702" t="e">
        <f t="shared" si="1"/>
        <v>#DIV/0!</v>
      </c>
      <c r="V10" s="701" t="s">
        <v>14</v>
      </c>
      <c r="W10" s="702" t="e">
        <f t="shared" si="2"/>
        <v>#DIV/0!</v>
      </c>
      <c r="X10" s="703"/>
      <c r="Y10" s="363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0"/>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0"/>
      <c r="Q12" s="1343" t="str">
        <f t="shared" si="6"/>
        <v>配建</v>
      </c>
      <c r="R12" s="701" t="s">
        <v>14</v>
      </c>
      <c r="S12" s="702">
        <f t="shared" si="0"/>
        <v>100</v>
      </c>
      <c r="T12" s="701" t="s">
        <v>14</v>
      </c>
      <c r="U12" s="702">
        <f t="shared" si="1"/>
        <v>100</v>
      </c>
      <c r="V12" s="701" t="s">
        <v>14</v>
      </c>
      <c r="W12" s="702">
        <f t="shared" si="2"/>
        <v>100</v>
      </c>
      <c r="X12" s="703"/>
      <c r="Y12" s="363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0"/>
      <c r="Q13" s="1343">
        <f t="shared" si="6"/>
        <v>111</v>
      </c>
      <c r="R13" s="701" t="s">
        <v>14</v>
      </c>
      <c r="S13" s="702">
        <f t="shared" si="0"/>
        <v>100</v>
      </c>
      <c r="T13" s="701" t="s">
        <v>14</v>
      </c>
      <c r="U13" s="702">
        <f t="shared" si="1"/>
        <v>100</v>
      </c>
      <c r="V13" s="701" t="s">
        <v>14</v>
      </c>
      <c r="W13" s="702">
        <f t="shared" si="2"/>
        <v>100</v>
      </c>
      <c r="X13" s="703"/>
      <c r="Y13" s="3631"/>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0"/>
      <c r="Q14" s="1343">
        <f t="shared" si="6"/>
        <v>111</v>
      </c>
      <c r="R14" s="701" t="s">
        <v>14</v>
      </c>
      <c r="S14" s="702">
        <f t="shared" si="0"/>
        <v>100</v>
      </c>
      <c r="T14" s="701" t="s">
        <v>14</v>
      </c>
      <c r="U14" s="702">
        <f t="shared" si="1"/>
        <v>100</v>
      </c>
      <c r="V14" s="701" t="s">
        <v>14</v>
      </c>
      <c r="W14" s="702">
        <f t="shared" si="2"/>
        <v>100</v>
      </c>
      <c r="X14" s="703"/>
      <c r="Y14" s="3631"/>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2" t="s">
        <v>1691</v>
      </c>
      <c r="Q15" s="1352" t="str">
        <f t="shared" si="6"/>
        <v>居住社区成熟度</v>
      </c>
      <c r="R15" s="705" t="s">
        <v>14</v>
      </c>
      <c r="S15" s="706">
        <f t="shared" si="0"/>
        <v>100</v>
      </c>
      <c r="T15" s="705" t="s">
        <v>14</v>
      </c>
      <c r="U15" s="706">
        <f t="shared" si="1"/>
        <v>100</v>
      </c>
      <c r="V15" s="705" t="s">
        <v>14</v>
      </c>
      <c r="W15" s="706">
        <f t="shared" si="2"/>
        <v>100</v>
      </c>
      <c r="X15" s="1355"/>
      <c r="Y15" s="372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3"/>
      <c r="Q16" s="1352"/>
      <c r="R16" s="705"/>
      <c r="S16" s="706"/>
      <c r="T16" s="705"/>
      <c r="U16" s="706"/>
      <c r="V16" s="705"/>
      <c r="W16" s="706"/>
      <c r="X16" s="1355"/>
      <c r="Y16" s="3723"/>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3"/>
      <c r="Q17" s="1352" t="str">
        <f>B17</f>
        <v>商业繁华度</v>
      </c>
      <c r="R17" s="705" t="s">
        <v>14</v>
      </c>
      <c r="S17" s="706">
        <f>F17</f>
        <v>100</v>
      </c>
      <c r="T17" s="705" t="s">
        <v>14</v>
      </c>
      <c r="U17" s="706">
        <f>H17</f>
        <v>100</v>
      </c>
      <c r="V17" s="705" t="s">
        <v>14</v>
      </c>
      <c r="W17" s="706">
        <f>J17</f>
        <v>100</v>
      </c>
      <c r="X17" s="1355"/>
      <c r="Y17" s="372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3"/>
      <c r="Q18" s="1352"/>
      <c r="R18" s="705"/>
      <c r="S18" s="706"/>
      <c r="T18" s="705"/>
      <c r="U18" s="706"/>
      <c r="V18" s="705"/>
      <c r="W18" s="706"/>
      <c r="X18" s="1355"/>
      <c r="Y18" s="3723"/>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3"/>
      <c r="Q19" s="1352" t="str">
        <f>B19</f>
        <v>办公集聚程度</v>
      </c>
      <c r="R19" s="705" t="s">
        <v>14</v>
      </c>
      <c r="S19" s="706">
        <f>F19</f>
        <v>100</v>
      </c>
      <c r="T19" s="705" t="s">
        <v>14</v>
      </c>
      <c r="U19" s="706">
        <f>H19</f>
        <v>100</v>
      </c>
      <c r="V19" s="705" t="s">
        <v>14</v>
      </c>
      <c r="W19" s="706">
        <f>J19</f>
        <v>100</v>
      </c>
      <c r="X19" s="1355"/>
      <c r="Y19" s="372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3"/>
      <c r="Q20" s="1352"/>
      <c r="R20" s="705"/>
      <c r="S20" s="706"/>
      <c r="T20" s="705"/>
      <c r="U20" s="706"/>
      <c r="V20" s="705"/>
      <c r="W20" s="706"/>
      <c r="X20" s="1355"/>
      <c r="Y20" s="3723"/>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3"/>
      <c r="Q21" s="1352" t="str">
        <f>B21</f>
        <v>交通便捷度</v>
      </c>
      <c r="R21" s="705" t="s">
        <v>14</v>
      </c>
      <c r="S21" s="706">
        <f>F21</f>
        <v>100</v>
      </c>
      <c r="T21" s="705" t="s">
        <v>14</v>
      </c>
      <c r="U21" s="706">
        <f>H21</f>
        <v>100</v>
      </c>
      <c r="V21" s="705" t="s">
        <v>14</v>
      </c>
      <c r="W21" s="706">
        <f>J21</f>
        <v>100</v>
      </c>
      <c r="X21" s="1355"/>
      <c r="Y21" s="372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3"/>
      <c r="Q22" s="1352"/>
      <c r="R22" s="705"/>
      <c r="S22" s="706"/>
      <c r="T22" s="705"/>
      <c r="U22" s="706"/>
      <c r="V22" s="705"/>
      <c r="W22" s="706"/>
      <c r="X22" s="1355"/>
      <c r="Y22" s="3723"/>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3"/>
      <c r="Q23" s="1352" t="str">
        <f t="shared" ref="Q23:Q37" si="8">B23</f>
        <v>区域土地利用方向</v>
      </c>
      <c r="R23" s="705" t="s">
        <v>14</v>
      </c>
      <c r="S23" s="706">
        <f>F23</f>
        <v>100</v>
      </c>
      <c r="T23" s="705" t="s">
        <v>14</v>
      </c>
      <c r="U23" s="706">
        <f>H23</f>
        <v>100</v>
      </c>
      <c r="V23" s="705" t="s">
        <v>14</v>
      </c>
      <c r="W23" s="706">
        <f>J23</f>
        <v>100</v>
      </c>
      <c r="X23" s="1355"/>
      <c r="Y23" s="372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3"/>
      <c r="Q24" s="1352"/>
      <c r="R24" s="705"/>
      <c r="S24" s="706"/>
      <c r="T24" s="705"/>
      <c r="U24" s="706"/>
      <c r="V24" s="705"/>
      <c r="W24" s="706"/>
      <c r="X24" s="1355"/>
      <c r="Y24" s="3723"/>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3"/>
      <c r="Q25" s="1352" t="str">
        <f t="shared" si="8"/>
        <v>自然及人文环境状况</v>
      </c>
      <c r="R25" s="705" t="s">
        <v>14</v>
      </c>
      <c r="S25" s="706">
        <f>F25</f>
        <v>100</v>
      </c>
      <c r="T25" s="705" t="s">
        <v>14</v>
      </c>
      <c r="U25" s="706">
        <f>H25</f>
        <v>100</v>
      </c>
      <c r="V25" s="705" t="s">
        <v>14</v>
      </c>
      <c r="W25" s="706">
        <f>J25</f>
        <v>100</v>
      </c>
      <c r="X25" s="1355"/>
      <c r="Y25" s="372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3"/>
      <c r="Q26" s="1352"/>
      <c r="R26" s="705"/>
      <c r="S26" s="706"/>
      <c r="T26" s="705"/>
      <c r="U26" s="706"/>
      <c r="V26" s="705"/>
      <c r="W26" s="706"/>
      <c r="X26" s="1355"/>
      <c r="Y26" s="3723"/>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3"/>
      <c r="Q27" s="1343" t="str">
        <f t="shared" si="8"/>
        <v>公共配套设施</v>
      </c>
      <c r="R27" s="701" t="s">
        <v>14</v>
      </c>
      <c r="S27" s="702">
        <f>F27</f>
        <v>100</v>
      </c>
      <c r="T27" s="701" t="s">
        <v>14</v>
      </c>
      <c r="U27" s="702">
        <f>H27</f>
        <v>100</v>
      </c>
      <c r="V27" s="701" t="s">
        <v>14</v>
      </c>
      <c r="W27" s="702">
        <f>J27</f>
        <v>100</v>
      </c>
      <c r="X27" s="703"/>
      <c r="Y27" s="372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3"/>
      <c r="Q28" s="1343"/>
      <c r="R28" s="701"/>
      <c r="S28" s="702"/>
      <c r="T28" s="701"/>
      <c r="U28" s="702"/>
      <c r="V28" s="701"/>
      <c r="W28" s="702"/>
      <c r="X28" s="703"/>
      <c r="Y28" s="3723"/>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3"/>
      <c r="Q29" s="1343" t="str">
        <f t="shared" ref="Q29" si="9">B29</f>
        <v>基础设施水平</v>
      </c>
      <c r="R29" s="701" t="s">
        <v>14</v>
      </c>
      <c r="S29" s="702">
        <f>F29</f>
        <v>100</v>
      </c>
      <c r="T29" s="701" t="s">
        <v>14</v>
      </c>
      <c r="U29" s="702">
        <f>H29</f>
        <v>100</v>
      </c>
      <c r="V29" s="701" t="s">
        <v>14</v>
      </c>
      <c r="W29" s="702">
        <f>J29</f>
        <v>100</v>
      </c>
      <c r="X29" s="703"/>
      <c r="Y29" s="372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3"/>
      <c r="Q30" s="1343"/>
      <c r="R30" s="701"/>
      <c r="S30" s="702"/>
      <c r="T30" s="701"/>
      <c r="U30" s="702"/>
      <c r="V30" s="701"/>
      <c r="W30" s="702"/>
      <c r="X30" s="703"/>
      <c r="Y30" s="3723"/>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3"/>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3"/>
      <c r="Q32" s="1352" t="str">
        <f t="shared" si="8"/>
        <v>毗邻道路的类型与等级</v>
      </c>
      <c r="R32" s="705" t="s">
        <v>14</v>
      </c>
      <c r="S32" s="706">
        <f t="shared" si="10"/>
        <v>100</v>
      </c>
      <c r="T32" s="705" t="s">
        <v>14</v>
      </c>
      <c r="U32" s="706">
        <f t="shared" si="11"/>
        <v>100</v>
      </c>
      <c r="V32" s="705" t="s">
        <v>14</v>
      </c>
      <c r="W32" s="706">
        <f t="shared" si="12"/>
        <v>100</v>
      </c>
      <c r="X32" s="1355"/>
      <c r="Y32" s="372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3"/>
      <c r="Q33" s="1352"/>
      <c r="R33" s="705"/>
      <c r="S33" s="706"/>
      <c r="T33" s="705"/>
      <c r="U33" s="706"/>
      <c r="V33" s="705"/>
      <c r="W33" s="706"/>
      <c r="X33" s="1355"/>
      <c r="Y33" s="3723"/>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3"/>
      <c r="Q34" s="1352" t="str">
        <f t="shared" si="8"/>
        <v>土地级别</v>
      </c>
      <c r="R34" s="705" t="s">
        <v>14</v>
      </c>
      <c r="S34" s="706">
        <f t="shared" si="10"/>
        <v>100</v>
      </c>
      <c r="T34" s="705" t="s">
        <v>14</v>
      </c>
      <c r="U34" s="706">
        <f t="shared" si="11"/>
        <v>100</v>
      </c>
      <c r="V34" s="705" t="s">
        <v>14</v>
      </c>
      <c r="W34" s="706">
        <f t="shared" si="12"/>
        <v>100</v>
      </c>
      <c r="X34" s="1355"/>
      <c r="Y34" s="372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3"/>
      <c r="Q35" s="1352">
        <f t="shared" si="8"/>
        <v>111</v>
      </c>
      <c r="R35" s="705" t="s">
        <v>14</v>
      </c>
      <c r="S35" s="706">
        <f t="shared" si="10"/>
        <v>100</v>
      </c>
      <c r="T35" s="705" t="s">
        <v>14</v>
      </c>
      <c r="U35" s="706">
        <f t="shared" si="11"/>
        <v>100</v>
      </c>
      <c r="V35" s="705" t="s">
        <v>14</v>
      </c>
      <c r="W35" s="706">
        <f t="shared" si="12"/>
        <v>100</v>
      </c>
      <c r="X35" s="1355"/>
      <c r="Y35" s="372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1695</v>
      </c>
      <c r="Q36" s="1352">
        <f t="shared" si="8"/>
        <v>111</v>
      </c>
      <c r="R36" s="705" t="s">
        <v>14</v>
      </c>
      <c r="S36" s="706">
        <f t="shared" si="10"/>
        <v>100</v>
      </c>
      <c r="T36" s="705" t="s">
        <v>14</v>
      </c>
      <c r="U36" s="706">
        <f t="shared" si="11"/>
        <v>100</v>
      </c>
      <c r="V36" s="705" t="s">
        <v>14</v>
      </c>
      <c r="W36" s="706">
        <f t="shared" si="12"/>
        <v>100</v>
      </c>
      <c r="X36" s="1355"/>
      <c r="Y36" s="3727"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7"/>
      <c r="Q37" s="1352">
        <f t="shared" si="8"/>
        <v>111</v>
      </c>
      <c r="R37" s="708" t="s">
        <v>14</v>
      </c>
      <c r="S37" s="709">
        <f t="shared" si="10"/>
        <v>100</v>
      </c>
      <c r="T37" s="708" t="s">
        <v>14</v>
      </c>
      <c r="U37" s="709">
        <f t="shared" si="11"/>
        <v>100</v>
      </c>
      <c r="V37" s="708" t="s">
        <v>14</v>
      </c>
      <c r="W37" s="709">
        <f t="shared" si="12"/>
        <v>100</v>
      </c>
      <c r="X37" s="710"/>
      <c r="Y37" s="3727"/>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7"/>
      <c r="Q38" s="1352" t="str">
        <f>B38</f>
        <v>宗地面积</v>
      </c>
      <c r="R38" s="705" t="s">
        <v>14</v>
      </c>
      <c r="S38" s="706" t="e">
        <f t="shared" si="10"/>
        <v>#N/A</v>
      </c>
      <c r="T38" s="705" t="s">
        <v>14</v>
      </c>
      <c r="U38" s="706" t="e">
        <f t="shared" si="11"/>
        <v>#N/A</v>
      </c>
      <c r="V38" s="705" t="s">
        <v>14</v>
      </c>
      <c r="W38" s="706" t="e">
        <f t="shared" si="12"/>
        <v>#N/A</v>
      </c>
      <c r="X38" s="1355"/>
      <c r="Y38" s="3727"/>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7"/>
      <c r="Q39" s="1352" t="str">
        <f t="shared" ref="Q39:Q45" si="14">B39</f>
        <v>宗地形状</v>
      </c>
      <c r="R39" s="705" t="s">
        <v>14</v>
      </c>
      <c r="S39" s="706">
        <f t="shared" si="10"/>
        <v>100</v>
      </c>
      <c r="T39" s="705" t="s">
        <v>14</v>
      </c>
      <c r="U39" s="706">
        <f t="shared" si="11"/>
        <v>100</v>
      </c>
      <c r="V39" s="705" t="s">
        <v>14</v>
      </c>
      <c r="W39" s="706">
        <f t="shared" si="12"/>
        <v>100</v>
      </c>
      <c r="X39" s="1355"/>
      <c r="Y39" s="3727"/>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7"/>
      <c r="Q40" s="1352" t="str">
        <f t="shared" si="14"/>
        <v>临街宽度及深度</v>
      </c>
      <c r="R40" s="705" t="s">
        <v>14</v>
      </c>
      <c r="S40" s="706">
        <f t="shared" si="10"/>
        <v>100</v>
      </c>
      <c r="T40" s="705" t="s">
        <v>14</v>
      </c>
      <c r="U40" s="706">
        <f t="shared" si="11"/>
        <v>100</v>
      </c>
      <c r="V40" s="705" t="s">
        <v>14</v>
      </c>
      <c r="W40" s="706">
        <f t="shared" si="12"/>
        <v>100</v>
      </c>
      <c r="X40" s="1355"/>
      <c r="Y40" s="3727"/>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7"/>
      <c r="Q41" s="1352" t="str">
        <f t="shared" si="14"/>
        <v>宗地开发程度</v>
      </c>
      <c r="R41" s="701" t="s">
        <v>14</v>
      </c>
      <c r="S41" s="702">
        <f t="shared" si="10"/>
        <v>100</v>
      </c>
      <c r="T41" s="701" t="s">
        <v>14</v>
      </c>
      <c r="U41" s="702">
        <f t="shared" si="11"/>
        <v>100</v>
      </c>
      <c r="V41" s="701" t="s">
        <v>14</v>
      </c>
      <c r="W41" s="702">
        <f t="shared" si="12"/>
        <v>100</v>
      </c>
      <c r="X41" s="703"/>
      <c r="Y41" s="3727"/>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7" t="s">
        <v>1695</v>
      </c>
      <c r="Q42" s="1352" t="str">
        <f t="shared" si="14"/>
        <v>工程地质条件</v>
      </c>
      <c r="R42" s="705" t="s">
        <v>14</v>
      </c>
      <c r="S42" s="706">
        <f t="shared" si="10"/>
        <v>100</v>
      </c>
      <c r="T42" s="705" t="s">
        <v>14</v>
      </c>
      <c r="U42" s="706">
        <f t="shared" si="11"/>
        <v>100</v>
      </c>
      <c r="V42" s="705" t="s">
        <v>14</v>
      </c>
      <c r="W42" s="706">
        <f t="shared" si="12"/>
        <v>100</v>
      </c>
      <c r="X42" s="1355"/>
      <c r="Y42" s="3727"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7"/>
      <c r="Q43" s="1352">
        <f t="shared" si="14"/>
        <v>111</v>
      </c>
      <c r="R43" s="705" t="s">
        <v>14</v>
      </c>
      <c r="S43" s="706">
        <f t="shared" si="10"/>
        <v>100</v>
      </c>
      <c r="T43" s="705" t="s">
        <v>14</v>
      </c>
      <c r="U43" s="706">
        <f t="shared" si="11"/>
        <v>100</v>
      </c>
      <c r="V43" s="705" t="s">
        <v>14</v>
      </c>
      <c r="W43" s="706">
        <f t="shared" si="12"/>
        <v>100</v>
      </c>
      <c r="X43" s="1355"/>
      <c r="Y43" s="372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7"/>
      <c r="Q44" s="1352">
        <f t="shared" si="14"/>
        <v>111</v>
      </c>
      <c r="R44" s="705" t="s">
        <v>14</v>
      </c>
      <c r="S44" s="706">
        <f t="shared" si="10"/>
        <v>100</v>
      </c>
      <c r="T44" s="705" t="s">
        <v>14</v>
      </c>
      <c r="U44" s="706">
        <f t="shared" si="11"/>
        <v>100</v>
      </c>
      <c r="V44" s="705" t="s">
        <v>14</v>
      </c>
      <c r="W44" s="706">
        <f t="shared" si="12"/>
        <v>100</v>
      </c>
      <c r="X44" s="1355"/>
      <c r="Y44" s="372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7"/>
      <c r="Q45" s="1352">
        <f t="shared" si="14"/>
        <v>111</v>
      </c>
      <c r="R45" s="708" t="s">
        <v>14</v>
      </c>
      <c r="S45" s="709">
        <f t="shared" si="10"/>
        <v>100</v>
      </c>
      <c r="T45" s="708" t="s">
        <v>14</v>
      </c>
      <c r="U45" s="709">
        <f t="shared" si="11"/>
        <v>100</v>
      </c>
      <c r="V45" s="708" t="s">
        <v>14</v>
      </c>
      <c r="W45" s="709">
        <f t="shared" si="12"/>
        <v>100</v>
      </c>
      <c r="X45" s="710"/>
      <c r="Y45" s="3727"/>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20" t="str">
        <f>A46</f>
        <v>成交单价</v>
      </c>
      <c r="Q46" s="3720"/>
      <c r="R46" s="3715">
        <f>E46</f>
        <v>0</v>
      </c>
      <c r="S46" s="3715"/>
      <c r="T46" s="3715">
        <f>G46</f>
        <v>0</v>
      </c>
      <c r="U46" s="3715"/>
      <c r="V46" s="3715">
        <f>I46</f>
        <v>0</v>
      </c>
      <c r="W46" s="3715"/>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20" t="str">
        <f>A47</f>
        <v>比较价值（元/平方米）</v>
      </c>
      <c r="Q47" s="3720"/>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17" t="str">
        <f>A48</f>
        <v>估价对象XX用房的比较价值（楼面单价，元/平方米）</v>
      </c>
      <c r="Q48" s="3718"/>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03" t="s">
        <v>1886</v>
      </c>
      <c r="H55" s="3755"/>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57.2</v>
      </c>
      <c r="F56" s="886" t="e">
        <f t="shared" ref="F56:F64" si="15">ROUND(B56*E56/10000,0)</f>
        <v>#DIV/0!</v>
      </c>
      <c r="G56" s="3702"/>
      <c r="H56" s="372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四级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57.2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2015-8-1</v>
      </c>
      <c r="D67" s="692">
        <f>EDATE(C67,-3)</f>
        <v>42125</v>
      </c>
      <c r="E67" s="692">
        <f>EDATE(D67,-3)</f>
        <v>42036</v>
      </c>
      <c r="F67" s="692">
        <f t="shared" ref="F67:O67" si="18">EDATE(E67,-3)</f>
        <v>41944</v>
      </c>
      <c r="G67" s="692">
        <f t="shared" si="18"/>
        <v>41852</v>
      </c>
      <c r="H67" s="692">
        <f t="shared" si="18"/>
        <v>41760</v>
      </c>
      <c r="I67" s="692">
        <f t="shared" si="18"/>
        <v>41671</v>
      </c>
      <c r="J67" s="692">
        <f t="shared" si="18"/>
        <v>41579</v>
      </c>
      <c r="K67" s="692">
        <f t="shared" si="18"/>
        <v>41487</v>
      </c>
      <c r="L67" s="692">
        <f t="shared" si="18"/>
        <v>41395</v>
      </c>
      <c r="M67" s="692">
        <f t="shared" si="18"/>
        <v>41306</v>
      </c>
      <c r="N67" s="692">
        <f t="shared" si="18"/>
        <v>41214</v>
      </c>
      <c r="O67" s="692">
        <f t="shared" si="18"/>
        <v>41122</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2015-3</v>
      </c>
      <c r="D69" s="1182" t="str">
        <f>YEAR(D67)&amp;"-"&amp;ROUNDUP(MONTH(D67)/3,0)</f>
        <v>2015-2</v>
      </c>
      <c r="E69" s="1182" t="str">
        <f t="shared" ref="E69:O69" si="19">YEAR(E67)&amp;"-"&amp;ROUNDUP(MONTH(E67)/3,0)</f>
        <v>2015-1</v>
      </c>
      <c r="F69" s="1182" t="str">
        <f t="shared" si="19"/>
        <v>2014-4</v>
      </c>
      <c r="G69" s="1182" t="str">
        <f t="shared" si="19"/>
        <v>2014-3</v>
      </c>
      <c r="H69" s="1182" t="str">
        <f t="shared" si="19"/>
        <v>2014-2</v>
      </c>
      <c r="I69" s="1182" t="str">
        <f t="shared" si="19"/>
        <v>2014-1</v>
      </c>
      <c r="J69" s="1182" t="str">
        <f t="shared" si="19"/>
        <v>2013-4</v>
      </c>
      <c r="K69" s="1182" t="str">
        <f t="shared" si="19"/>
        <v>2013-3</v>
      </c>
      <c r="L69" s="1182" t="str">
        <f t="shared" si="19"/>
        <v>2013-2</v>
      </c>
      <c r="M69" s="1182" t="str">
        <f t="shared" si="19"/>
        <v>2013-1</v>
      </c>
      <c r="N69" s="1182" t="str">
        <f t="shared" si="19"/>
        <v>2012-4</v>
      </c>
      <c r="O69" s="1182" t="str">
        <f t="shared" si="19"/>
        <v>2012-3</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北京市平均增长率1.40%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03" t="s">
        <v>1769</v>
      </c>
      <c r="D4" s="3704"/>
      <c r="E4" s="3705" t="s">
        <v>1770</v>
      </c>
      <c r="F4" s="3706"/>
      <c r="G4" s="3703" t="s">
        <v>1771</v>
      </c>
      <c r="H4" s="3704"/>
      <c r="I4" s="3703" t="s">
        <v>1772</v>
      </c>
      <c r="J4" s="3704"/>
      <c r="K4" s="559" t="s">
        <v>1773</v>
      </c>
      <c r="L4" s="2715"/>
      <c r="M4" s="2716"/>
      <c r="N4" s="2716"/>
      <c r="O4" s="2716"/>
      <c r="P4" s="3707" t="s">
        <v>1774</v>
      </c>
      <c r="Q4" s="3708"/>
      <c r="R4" s="3689" t="s">
        <v>1770</v>
      </c>
      <c r="S4" s="3690"/>
      <c r="T4" s="3689" t="s">
        <v>1771</v>
      </c>
      <c r="U4" s="3690"/>
      <c r="V4" s="3715" t="s">
        <v>1772</v>
      </c>
      <c r="W4" s="3715"/>
      <c r="X4" s="1355"/>
      <c r="Y4" s="3689" t="s">
        <v>1774</v>
      </c>
      <c r="Z4" s="3690"/>
      <c r="AA4" s="3684" t="s">
        <v>1770</v>
      </c>
      <c r="AB4" s="3685" t="s">
        <v>1771</v>
      </c>
      <c r="AC4" s="3684" t="s">
        <v>1772</v>
      </c>
    </row>
    <row r="5" spans="1:29">
      <c r="A5" s="358"/>
      <c r="B5" s="359"/>
      <c r="C5" s="3733" t="s">
        <v>1673</v>
      </c>
      <c r="D5" s="3696"/>
      <c r="E5" s="3731" t="s">
        <v>1674</v>
      </c>
      <c r="F5" s="3732"/>
      <c r="G5" s="3733" t="s">
        <v>1675</v>
      </c>
      <c r="H5" s="3696"/>
      <c r="I5" s="3733" t="s">
        <v>1676</v>
      </c>
      <c r="J5" s="3696"/>
      <c r="K5" s="559"/>
      <c r="L5" s="2715"/>
      <c r="M5" s="2716"/>
      <c r="N5" s="2716"/>
      <c r="O5" s="2716"/>
      <c r="P5" s="3709"/>
      <c r="Q5" s="3710"/>
      <c r="R5" s="3691"/>
      <c r="S5" s="3692"/>
      <c r="T5" s="3691"/>
      <c r="U5" s="3692"/>
      <c r="V5" s="3715"/>
      <c r="W5" s="3715"/>
      <c r="X5" s="1355"/>
      <c r="Y5" s="3691"/>
      <c r="Z5" s="3692"/>
      <c r="AA5" s="3685"/>
      <c r="AB5" s="3685"/>
      <c r="AC5" s="3685"/>
    </row>
    <row r="6" spans="1:29" ht="15" thickBot="1">
      <c r="A6" s="360"/>
      <c r="B6" s="361"/>
      <c r="C6" s="3756" t="s">
        <v>1918</v>
      </c>
      <c r="D6" s="3757"/>
      <c r="E6" s="3758" t="s">
        <v>1918</v>
      </c>
      <c r="F6" s="3759"/>
      <c r="G6" s="3756" t="s">
        <v>1918</v>
      </c>
      <c r="H6" s="3757"/>
      <c r="I6" s="3756" t="s">
        <v>1918</v>
      </c>
      <c r="J6" s="3757"/>
      <c r="K6" s="559" t="s">
        <v>1678</v>
      </c>
      <c r="L6" s="2715"/>
      <c r="M6" s="2716"/>
      <c r="N6" s="2716"/>
      <c r="O6" s="2716"/>
      <c r="P6" s="3711"/>
      <c r="Q6" s="3712"/>
      <c r="R6" s="3691"/>
      <c r="S6" s="3692"/>
      <c r="T6" s="3713"/>
      <c r="U6" s="3714"/>
      <c r="V6" s="3715"/>
      <c r="W6" s="3715"/>
      <c r="X6" s="1355"/>
      <c r="Y6" s="3713"/>
      <c r="Z6" s="3714"/>
      <c r="AA6" s="3686"/>
      <c r="AB6" s="3686"/>
      <c r="AC6" s="3686"/>
    </row>
    <row r="7" spans="1:29" s="108" customFormat="1" ht="15" thickBot="1">
      <c r="A7" s="362" t="s">
        <v>1679</v>
      </c>
      <c r="B7" s="363"/>
      <c r="C7" s="364">
        <f>'数据-取费表'!B2</f>
        <v>42235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7" t="s">
        <v>1680</v>
      </c>
      <c r="Q7" s="3716"/>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7" t="s">
        <v>1683</v>
      </c>
      <c r="Q8" s="3688"/>
      <c r="R8" s="701" t="s">
        <v>14</v>
      </c>
      <c r="S8" s="702">
        <f t="shared" si="0"/>
        <v>0</v>
      </c>
      <c r="T8" s="701" t="s">
        <v>14</v>
      </c>
      <c r="U8" s="702">
        <f t="shared" si="1"/>
        <v>0</v>
      </c>
      <c r="V8" s="701" t="s">
        <v>14</v>
      </c>
      <c r="W8" s="702">
        <f t="shared" si="2"/>
        <v>0</v>
      </c>
      <c r="X8" s="703"/>
      <c r="Y8" s="3687" t="s">
        <v>1683</v>
      </c>
      <c r="Z8" s="368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0"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0"/>
      <c r="Q10" s="1343" t="str">
        <f t="shared" si="6"/>
        <v>土地使用年限（年）</v>
      </c>
      <c r="R10" s="701" t="s">
        <v>14</v>
      </c>
      <c r="S10" s="702" t="e">
        <f t="shared" si="0"/>
        <v>#DIV/0!</v>
      </c>
      <c r="T10" s="701" t="s">
        <v>14</v>
      </c>
      <c r="U10" s="702" t="e">
        <f t="shared" si="1"/>
        <v>#DIV/0!</v>
      </c>
      <c r="V10" s="701" t="s">
        <v>14</v>
      </c>
      <c r="W10" s="702" t="e">
        <f t="shared" si="2"/>
        <v>#DIV/0!</v>
      </c>
      <c r="X10" s="703"/>
      <c r="Y10" s="363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0"/>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0"/>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0"/>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0"/>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2" t="s">
        <v>1691</v>
      </c>
      <c r="Q15" s="1352" t="str">
        <f t="shared" si="6"/>
        <v>产业集聚程度</v>
      </c>
      <c r="R15" s="705" t="s">
        <v>14</v>
      </c>
      <c r="S15" s="706">
        <f t="shared" si="0"/>
        <v>100</v>
      </c>
      <c r="T15" s="705" t="s">
        <v>14</v>
      </c>
      <c r="U15" s="706">
        <f t="shared" si="1"/>
        <v>100</v>
      </c>
      <c r="V15" s="705" t="s">
        <v>14</v>
      </c>
      <c r="W15" s="706">
        <f t="shared" si="2"/>
        <v>100</v>
      </c>
      <c r="X15" s="1355"/>
      <c r="Y15" s="372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3"/>
      <c r="Q16" s="1352"/>
      <c r="R16" s="705"/>
      <c r="S16" s="706"/>
      <c r="T16" s="705"/>
      <c r="U16" s="706"/>
      <c r="V16" s="705"/>
      <c r="W16" s="706"/>
      <c r="X16" s="1355"/>
      <c r="Y16" s="3723"/>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3"/>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3"/>
      <c r="Q18" s="1352"/>
      <c r="R18" s="705"/>
      <c r="S18" s="706"/>
      <c r="T18" s="705"/>
      <c r="U18" s="706"/>
      <c r="V18" s="705"/>
      <c r="W18" s="706"/>
      <c r="X18" s="1355"/>
      <c r="Y18" s="3723"/>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3"/>
      <c r="Q19" s="1352" t="str">
        <f t="shared" ref="Q19:Q33" si="8">B19</f>
        <v>区域土地利用方向</v>
      </c>
      <c r="R19" s="705" t="s">
        <v>14</v>
      </c>
      <c r="S19" s="706">
        <f>F19</f>
        <v>100</v>
      </c>
      <c r="T19" s="705" t="s">
        <v>14</v>
      </c>
      <c r="U19" s="706">
        <f>H19</f>
        <v>100</v>
      </c>
      <c r="V19" s="705" t="s">
        <v>14</v>
      </c>
      <c r="W19" s="706">
        <f>J19</f>
        <v>100</v>
      </c>
      <c r="X19" s="1355"/>
      <c r="Y19" s="372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3"/>
      <c r="Q20" s="1352"/>
      <c r="R20" s="705"/>
      <c r="S20" s="706"/>
      <c r="T20" s="705"/>
      <c r="U20" s="706"/>
      <c r="V20" s="705"/>
      <c r="W20" s="706"/>
      <c r="X20" s="1355"/>
      <c r="Y20" s="3723"/>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3"/>
      <c r="Q21" s="1352" t="str">
        <f t="shared" si="8"/>
        <v>环境状况</v>
      </c>
      <c r="R21" s="705" t="s">
        <v>14</v>
      </c>
      <c r="S21" s="706">
        <f>F21</f>
        <v>100</v>
      </c>
      <c r="T21" s="705" t="s">
        <v>14</v>
      </c>
      <c r="U21" s="706">
        <f>H21</f>
        <v>100</v>
      </c>
      <c r="V21" s="705" t="s">
        <v>14</v>
      </c>
      <c r="W21" s="706">
        <f>J21</f>
        <v>100</v>
      </c>
      <c r="X21" s="1355"/>
      <c r="Y21" s="372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3"/>
      <c r="Q22" s="1352"/>
      <c r="R22" s="705"/>
      <c r="S22" s="706"/>
      <c r="T22" s="705"/>
      <c r="U22" s="706"/>
      <c r="V22" s="705"/>
      <c r="W22" s="706"/>
      <c r="X22" s="1355"/>
      <c r="Y22" s="3723"/>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3"/>
      <c r="Q23" s="1343" t="str">
        <f t="shared" si="8"/>
        <v>公共配套设施</v>
      </c>
      <c r="R23" s="701" t="s">
        <v>14</v>
      </c>
      <c r="S23" s="702">
        <f>F23</f>
        <v>100</v>
      </c>
      <c r="T23" s="701" t="s">
        <v>14</v>
      </c>
      <c r="U23" s="702">
        <f>H23</f>
        <v>100</v>
      </c>
      <c r="V23" s="701" t="s">
        <v>14</v>
      </c>
      <c r="W23" s="702">
        <f>J23</f>
        <v>100</v>
      </c>
      <c r="X23" s="703"/>
      <c r="Y23" s="372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3"/>
      <c r="Q24" s="1343"/>
      <c r="R24" s="701"/>
      <c r="S24" s="702"/>
      <c r="T24" s="701"/>
      <c r="U24" s="702"/>
      <c r="V24" s="701"/>
      <c r="W24" s="702"/>
      <c r="X24" s="703"/>
      <c r="Y24" s="3723"/>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3"/>
      <c r="Q25" s="1343" t="str">
        <f t="shared" ref="Q25" si="9">B25</f>
        <v>基础设施水平</v>
      </c>
      <c r="R25" s="701" t="s">
        <v>14</v>
      </c>
      <c r="S25" s="702">
        <f>F25</f>
        <v>100</v>
      </c>
      <c r="T25" s="701" t="s">
        <v>14</v>
      </c>
      <c r="U25" s="702">
        <f>H25</f>
        <v>100</v>
      </c>
      <c r="V25" s="701" t="s">
        <v>14</v>
      </c>
      <c r="W25" s="702">
        <f>J25</f>
        <v>100</v>
      </c>
      <c r="X25" s="703"/>
      <c r="Y25" s="372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3"/>
      <c r="Q26" s="1343"/>
      <c r="R26" s="701"/>
      <c r="S26" s="702"/>
      <c r="T26" s="701"/>
      <c r="U26" s="702"/>
      <c r="V26" s="701"/>
      <c r="W26" s="702"/>
      <c r="X26" s="703"/>
      <c r="Y26" s="3723"/>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3"/>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3"/>
      <c r="Q28" s="1352" t="str">
        <f t="shared" si="8"/>
        <v>毗邻道路的类型与等级</v>
      </c>
      <c r="R28" s="705" t="s">
        <v>14</v>
      </c>
      <c r="S28" s="706">
        <f t="shared" si="10"/>
        <v>100</v>
      </c>
      <c r="T28" s="705" t="s">
        <v>14</v>
      </c>
      <c r="U28" s="706">
        <f t="shared" si="11"/>
        <v>100</v>
      </c>
      <c r="V28" s="705" t="s">
        <v>14</v>
      </c>
      <c r="W28" s="706">
        <f t="shared" si="12"/>
        <v>100</v>
      </c>
      <c r="X28" s="1355"/>
      <c r="Y28" s="372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3"/>
      <c r="Q29" s="1352"/>
      <c r="R29" s="705"/>
      <c r="S29" s="706"/>
      <c r="T29" s="705"/>
      <c r="U29" s="706"/>
      <c r="V29" s="705"/>
      <c r="W29" s="706"/>
      <c r="X29" s="1355"/>
      <c r="Y29" s="3723"/>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3"/>
      <c r="Q30" s="1352" t="str">
        <f t="shared" si="8"/>
        <v>土地级别</v>
      </c>
      <c r="R30" s="705" t="s">
        <v>14</v>
      </c>
      <c r="S30" s="706">
        <f t="shared" si="10"/>
        <v>100</v>
      </c>
      <c r="T30" s="705" t="s">
        <v>14</v>
      </c>
      <c r="U30" s="706">
        <f t="shared" si="11"/>
        <v>100</v>
      </c>
      <c r="V30" s="705" t="s">
        <v>14</v>
      </c>
      <c r="W30" s="706">
        <f t="shared" si="12"/>
        <v>100</v>
      </c>
      <c r="X30" s="1355"/>
      <c r="Y30" s="372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3"/>
      <c r="Q31" s="1352">
        <f t="shared" si="8"/>
        <v>111</v>
      </c>
      <c r="R31" s="705" t="s">
        <v>14</v>
      </c>
      <c r="S31" s="706">
        <f t="shared" si="10"/>
        <v>100</v>
      </c>
      <c r="T31" s="705" t="s">
        <v>14</v>
      </c>
      <c r="U31" s="706">
        <f t="shared" si="11"/>
        <v>100</v>
      </c>
      <c r="V31" s="705" t="s">
        <v>14</v>
      </c>
      <c r="W31" s="706">
        <f t="shared" si="12"/>
        <v>100</v>
      </c>
      <c r="X31" s="1355"/>
      <c r="Y31" s="372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1695</v>
      </c>
      <c r="Q32" s="1352">
        <f t="shared" si="8"/>
        <v>111</v>
      </c>
      <c r="R32" s="705" t="s">
        <v>14</v>
      </c>
      <c r="S32" s="706">
        <f t="shared" si="10"/>
        <v>100</v>
      </c>
      <c r="T32" s="705" t="s">
        <v>14</v>
      </c>
      <c r="U32" s="706">
        <f t="shared" si="11"/>
        <v>100</v>
      </c>
      <c r="V32" s="705" t="s">
        <v>14</v>
      </c>
      <c r="W32" s="706">
        <f t="shared" si="12"/>
        <v>100</v>
      </c>
      <c r="X32" s="1355"/>
      <c r="Y32" s="3727"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7"/>
      <c r="Q33" s="1352">
        <f t="shared" si="8"/>
        <v>111</v>
      </c>
      <c r="R33" s="708" t="s">
        <v>14</v>
      </c>
      <c r="S33" s="709">
        <f t="shared" si="10"/>
        <v>100</v>
      </c>
      <c r="T33" s="708" t="s">
        <v>14</v>
      </c>
      <c r="U33" s="709">
        <f t="shared" si="11"/>
        <v>100</v>
      </c>
      <c r="V33" s="708" t="s">
        <v>14</v>
      </c>
      <c r="W33" s="709">
        <f t="shared" si="12"/>
        <v>100</v>
      </c>
      <c r="X33" s="710"/>
      <c r="Y33" s="3727"/>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7"/>
      <c r="Q34" s="1352" t="str">
        <f>B34</f>
        <v>宗地面积</v>
      </c>
      <c r="R34" s="705" t="s">
        <v>14</v>
      </c>
      <c r="S34" s="706" t="e">
        <f t="shared" si="10"/>
        <v>#N/A</v>
      </c>
      <c r="T34" s="705" t="s">
        <v>14</v>
      </c>
      <c r="U34" s="706" t="e">
        <f t="shared" si="11"/>
        <v>#N/A</v>
      </c>
      <c r="V34" s="705" t="s">
        <v>14</v>
      </c>
      <c r="W34" s="706" t="e">
        <f t="shared" si="12"/>
        <v>#N/A</v>
      </c>
      <c r="X34" s="1355"/>
      <c r="Y34" s="3727"/>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7"/>
      <c r="Q35" s="1352" t="str">
        <f t="shared" ref="Q35:Q40" si="14">B35</f>
        <v>宗地形状</v>
      </c>
      <c r="R35" s="705" t="s">
        <v>14</v>
      </c>
      <c r="S35" s="706">
        <f t="shared" si="10"/>
        <v>100</v>
      </c>
      <c r="T35" s="705" t="s">
        <v>14</v>
      </c>
      <c r="U35" s="706">
        <f t="shared" si="11"/>
        <v>100</v>
      </c>
      <c r="V35" s="705" t="s">
        <v>14</v>
      </c>
      <c r="W35" s="706">
        <f t="shared" si="12"/>
        <v>100</v>
      </c>
      <c r="X35" s="1355"/>
      <c r="Y35" s="3727"/>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7"/>
      <c r="Q36" s="1352" t="str">
        <f t="shared" si="14"/>
        <v>宗地开发程度</v>
      </c>
      <c r="R36" s="701" t="s">
        <v>14</v>
      </c>
      <c r="S36" s="702">
        <f t="shared" si="10"/>
        <v>100</v>
      </c>
      <c r="T36" s="701" t="s">
        <v>14</v>
      </c>
      <c r="U36" s="702">
        <f t="shared" si="11"/>
        <v>100</v>
      </c>
      <c r="V36" s="701" t="s">
        <v>14</v>
      </c>
      <c r="W36" s="702">
        <f t="shared" si="12"/>
        <v>100</v>
      </c>
      <c r="X36" s="703"/>
      <c r="Y36" s="3727"/>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7" t="s">
        <v>1695</v>
      </c>
      <c r="Q37" s="1352" t="str">
        <f t="shared" si="14"/>
        <v>工程地质条件</v>
      </c>
      <c r="R37" s="705" t="s">
        <v>14</v>
      </c>
      <c r="S37" s="706">
        <f t="shared" si="10"/>
        <v>100</v>
      </c>
      <c r="T37" s="705" t="s">
        <v>14</v>
      </c>
      <c r="U37" s="706">
        <f t="shared" si="11"/>
        <v>100</v>
      </c>
      <c r="V37" s="705" t="s">
        <v>14</v>
      </c>
      <c r="W37" s="706">
        <f t="shared" si="12"/>
        <v>100</v>
      </c>
      <c r="X37" s="1355"/>
      <c r="Y37" s="3727"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7"/>
      <c r="Q38" s="1352">
        <f t="shared" si="14"/>
        <v>111</v>
      </c>
      <c r="R38" s="705" t="s">
        <v>14</v>
      </c>
      <c r="S38" s="706">
        <f t="shared" si="10"/>
        <v>100</v>
      </c>
      <c r="T38" s="705" t="s">
        <v>14</v>
      </c>
      <c r="U38" s="706">
        <f t="shared" si="11"/>
        <v>100</v>
      </c>
      <c r="V38" s="705" t="s">
        <v>14</v>
      </c>
      <c r="W38" s="706">
        <f t="shared" si="12"/>
        <v>100</v>
      </c>
      <c r="X38" s="1355"/>
      <c r="Y38" s="372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7"/>
      <c r="Q39" s="1352">
        <f t="shared" si="14"/>
        <v>111</v>
      </c>
      <c r="R39" s="705" t="s">
        <v>14</v>
      </c>
      <c r="S39" s="706">
        <f t="shared" si="10"/>
        <v>100</v>
      </c>
      <c r="T39" s="705" t="s">
        <v>14</v>
      </c>
      <c r="U39" s="706">
        <f t="shared" si="11"/>
        <v>100</v>
      </c>
      <c r="V39" s="705" t="s">
        <v>14</v>
      </c>
      <c r="W39" s="706">
        <f t="shared" si="12"/>
        <v>100</v>
      </c>
      <c r="X39" s="1355"/>
      <c r="Y39" s="372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7"/>
      <c r="Q40" s="1352">
        <f t="shared" si="14"/>
        <v>111</v>
      </c>
      <c r="R40" s="708" t="s">
        <v>14</v>
      </c>
      <c r="S40" s="709">
        <f t="shared" si="10"/>
        <v>100</v>
      </c>
      <c r="T40" s="708" t="s">
        <v>14</v>
      </c>
      <c r="U40" s="709">
        <f t="shared" si="11"/>
        <v>100</v>
      </c>
      <c r="V40" s="708" t="s">
        <v>14</v>
      </c>
      <c r="W40" s="709">
        <f t="shared" si="12"/>
        <v>100</v>
      </c>
      <c r="X40" s="710"/>
      <c r="Y40" s="3727"/>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20" t="str">
        <f>A41</f>
        <v>成交单价</v>
      </c>
      <c r="Q41" s="3720"/>
      <c r="R41" s="3715">
        <f>E41</f>
        <v>0</v>
      </c>
      <c r="S41" s="3715"/>
      <c r="T41" s="3715">
        <f>G41</f>
        <v>0</v>
      </c>
      <c r="U41" s="3715"/>
      <c r="V41" s="3715">
        <f>I41</f>
        <v>0</v>
      </c>
      <c r="W41" s="3715"/>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20" t="str">
        <f>A42</f>
        <v>比较价值（元/平方米）</v>
      </c>
      <c r="Q42" s="3720"/>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17" t="str">
        <f>A43</f>
        <v>估价对象XX用房的比较价值（楼面单价，元/平方米）</v>
      </c>
      <c r="Q43" s="3718"/>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03" t="s">
        <v>1886</v>
      </c>
      <c r="H50" s="3755"/>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57.2</v>
      </c>
      <c r="F51" s="639" t="e">
        <f t="shared" ref="F51:F60" si="15">ROUND(B51*E51/10000,0)</f>
        <v>#DIV/0!</v>
      </c>
      <c r="G51" s="3702"/>
      <c r="H51" s="372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四级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2015-8-1</v>
      </c>
      <c r="D63" s="692">
        <f>EDATE(C63,-3)</f>
        <v>42125</v>
      </c>
      <c r="E63" s="692">
        <f>EDATE(D63,-3)</f>
        <v>42036</v>
      </c>
      <c r="F63" s="692">
        <f t="shared" ref="F63:O63" si="18">EDATE(E63,-3)</f>
        <v>41944</v>
      </c>
      <c r="G63" s="692">
        <f t="shared" si="18"/>
        <v>41852</v>
      </c>
      <c r="H63" s="692">
        <f t="shared" si="18"/>
        <v>41760</v>
      </c>
      <c r="I63" s="692">
        <f t="shared" si="18"/>
        <v>41671</v>
      </c>
      <c r="J63" s="692">
        <f t="shared" si="18"/>
        <v>41579</v>
      </c>
      <c r="K63" s="692">
        <f t="shared" si="18"/>
        <v>41487</v>
      </c>
      <c r="L63" s="692">
        <f t="shared" si="18"/>
        <v>41395</v>
      </c>
      <c r="M63" s="692">
        <f t="shared" si="18"/>
        <v>41306</v>
      </c>
      <c r="N63" s="692">
        <f t="shared" si="18"/>
        <v>41214</v>
      </c>
      <c r="O63" s="692">
        <f t="shared" si="18"/>
        <v>41122</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2015-3</v>
      </c>
      <c r="D65" s="1182" t="str">
        <f t="shared" ref="D65:O65" si="19">YEAR(D63)&amp;"-"&amp;ROUNDUP(MONTH(D63)/3,0)</f>
        <v>2015-2</v>
      </c>
      <c r="E65" s="1182" t="str">
        <f t="shared" si="19"/>
        <v>2015-1</v>
      </c>
      <c r="F65" s="1182" t="str">
        <f t="shared" si="19"/>
        <v>2014-4</v>
      </c>
      <c r="G65" s="1182" t="str">
        <f t="shared" si="19"/>
        <v>2014-3</v>
      </c>
      <c r="H65" s="1182" t="str">
        <f t="shared" si="19"/>
        <v>2014-2</v>
      </c>
      <c r="I65" s="1182" t="str">
        <f t="shared" si="19"/>
        <v>2014-1</v>
      </c>
      <c r="J65" s="1182" t="str">
        <f t="shared" si="19"/>
        <v>2013-4</v>
      </c>
      <c r="K65" s="1182" t="str">
        <f t="shared" si="19"/>
        <v>2013-3</v>
      </c>
      <c r="L65" s="1182" t="str">
        <f t="shared" si="19"/>
        <v>2013-2</v>
      </c>
      <c r="M65" s="1182" t="str">
        <f t="shared" si="19"/>
        <v>2013-1</v>
      </c>
      <c r="N65" s="1182" t="str">
        <f t="shared" si="19"/>
        <v>2012-4</v>
      </c>
      <c r="O65" s="1182" t="str">
        <f t="shared" si="19"/>
        <v>2012-3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北京市平均增长率1.08%</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3" t="s">
        <v>2083</v>
      </c>
      <c r="D1" s="3764"/>
      <c r="E1" s="3764"/>
      <c r="F1" s="3764"/>
      <c r="G1" s="3764"/>
      <c r="H1" s="3764"/>
      <c r="I1" s="3764"/>
      <c r="J1" s="3764"/>
      <c r="K1" s="3764"/>
      <c r="L1" s="3764"/>
      <c r="M1" s="3764"/>
      <c r="N1" s="3764"/>
      <c r="O1" s="3764"/>
      <c r="P1" s="3764"/>
      <c r="Q1" s="3764"/>
      <c r="R1" s="3764"/>
      <c r="S1" s="3765"/>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6">
      <c r="A3" s="2145" t="s">
        <v>2075</v>
      </c>
      <c r="B3" s="2602" t="e">
        <f ca="1">ROUND(B2*10000/E2,0)</f>
        <v>#DIV/0!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73"/>
      <c r="B4" s="3774"/>
      <c r="C4" s="3774"/>
      <c r="D4" s="3775"/>
      <c r="E4" s="3775"/>
      <c r="F4" s="3775"/>
      <c r="G4" s="3775"/>
      <c r="H4" s="3775"/>
      <c r="I4" s="3775"/>
      <c r="J4" s="3776"/>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0" t="s">
        <v>1959</v>
      </c>
      <c r="X8" s="3771"/>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77" t="s">
        <v>3254</v>
      </c>
      <c r="B20" s="167" t="s">
        <v>1993</v>
      </c>
      <c r="C20" s="3325" t="e">
        <f>ROUND(IF(F21="与级别开发程度一致",0,(G21-E21)/C21),0)</f>
        <v>#DIV/0!</v>
      </c>
      <c r="D20" s="3341" t="s">
        <v>1997</v>
      </c>
      <c r="E20" s="3342"/>
      <c r="F20" s="3783" t="s">
        <v>1994</v>
      </c>
      <c r="G20" s="378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78"/>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42235</v>
      </c>
      <c r="H23" s="3343" t="s">
        <v>3256</v>
      </c>
      <c r="I23" s="3344" t="str">
        <f>IF(H23="季度增幅（自定义）",SUMIF(N25:N28,E2,O25:O28),"")</f>
        <v/>
      </c>
      <c r="J23" s="3446" t="s">
        <v>3255</v>
      </c>
      <c r="K23" s="1125"/>
      <c r="L23" s="2055" t="s">
        <v>2003</v>
      </c>
      <c r="M23" s="1328">
        <f>ROUND(SUMIF(地价!B2:G2,E2,地价!B16:G16),0)</f>
        <v>0</v>
      </c>
      <c r="N23" s="2056" t="s">
        <v>2004</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1.2E-2</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2015</v>
      </c>
      <c r="O26" s="1173"/>
      <c r="P26" s="1174">
        <f>SUMPRODUCT((地价!A3:A40=YEAR(G23)&amp;"-"&amp;ROUNDUP(MONTH(G23)/3,0))*(地价!AD2:AH2=N26)*(地价!AD3:AH40))</f>
        <v>1.2E-2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1.4E-2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1.0800000000000001E-2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1.3299999999999999E-2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5.2499999999999998E-2</v>
      </c>
      <c r="M36" s="3358">
        <f ca="1">ROUND($L$36*(1+M31),3)</f>
        <v>6.6000000000000003E-2</v>
      </c>
      <c r="N36" s="3358">
        <f ca="1">ROUND($L$36*(1+N31),3)</f>
        <v>6.3E-2</v>
      </c>
      <c r="O36" s="3358">
        <f ca="1">ROUND($L$36*(1+O31),3)</f>
        <v>0.06</v>
      </c>
      <c r="P36" s="3358">
        <f ca="1">ROUND($L$36*(1+P31),3)</f>
        <v>5.8000000000000003E-2</v>
      </c>
      <c r="Q36" s="3358">
        <f ca="1">ROUND($L$36*(1+Q31),3)</f>
        <v>0.06</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1"/>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5.7499999999999996E-2</v>
      </c>
      <c r="M37" s="3358">
        <f ca="1">ROUND($L$37*(1+M31),3)</f>
        <v>7.1999999999999995E-2</v>
      </c>
      <c r="N37" s="3358">
        <f t="shared" ref="N37:Q37" ca="1" si="3">ROUND($L$37*(1+N31),3)</f>
        <v>6.9000000000000006E-2</v>
      </c>
      <c r="O37" s="3358">
        <f t="shared" ca="1" si="3"/>
        <v>6.6000000000000003E-2</v>
      </c>
      <c r="P37" s="3358">
        <f t="shared" ca="1" si="3"/>
        <v>6.3E-2</v>
      </c>
      <c r="Q37" s="3358">
        <f t="shared" ca="1" si="3"/>
        <v>6.6000000000000003E-2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82"/>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9" t="s">
        <v>3294</v>
      </c>
      <c r="B103" s="3779"/>
      <c r="C103" s="3779"/>
      <c r="D103" s="3779"/>
      <c r="E103" s="3779"/>
      <c r="F103" s="3779"/>
      <c r="G103" s="3779"/>
      <c r="H103" s="3779"/>
      <c r="I103" s="3779"/>
      <c r="J103" s="3779"/>
      <c r="K103" s="3390"/>
      <c r="L103" s="3390"/>
      <c r="M103" s="3390"/>
      <c r="N103" s="3390"/>
    </row>
    <row r="104" spans="1:14">
      <c r="A104" s="3780" t="s">
        <v>3295</v>
      </c>
      <c r="B104" s="3780" t="s">
        <v>3296</v>
      </c>
      <c r="C104" s="3391" t="s">
        <v>3297</v>
      </c>
      <c r="D104" s="3392"/>
      <c r="E104" s="3392"/>
      <c r="F104" s="3392"/>
      <c r="G104" s="3392"/>
      <c r="H104" s="3392"/>
      <c r="I104" s="3392"/>
      <c r="J104" s="3393"/>
      <c r="K104" s="3394"/>
      <c r="L104" s="3394"/>
      <c r="M104" s="3394"/>
      <c r="N104" s="3394"/>
    </row>
    <row r="105" spans="1:14">
      <c r="A105" s="3780"/>
      <c r="B105" s="378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6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9" t="s">
        <v>3311</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2" t="s">
        <v>2607</v>
      </c>
      <c r="B20" s="3785" t="s">
        <v>2628</v>
      </c>
      <c r="C20" s="3103" t="s">
        <v>2439</v>
      </c>
      <c r="D20" s="3104"/>
      <c r="E20" s="3105">
        <v>1</v>
      </c>
      <c r="F20" s="3106" t="s">
        <v>2440</v>
      </c>
      <c r="G20" s="3106"/>
    </row>
    <row r="21" spans="1:13" ht="19.5" customHeight="1">
      <c r="A21" s="3793"/>
      <c r="B21" s="3786"/>
      <c r="C21" s="3107" t="s">
        <v>2441</v>
      </c>
      <c r="D21" s="3108"/>
      <c r="E21" s="3109">
        <v>1</v>
      </c>
      <c r="F21" s="3106" t="s">
        <v>2442</v>
      </c>
      <c r="G21" s="3106"/>
    </row>
    <row r="22" spans="1:13" ht="19.5" customHeight="1">
      <c r="A22" s="3793"/>
      <c r="B22" s="3786"/>
      <c r="C22" s="3107" t="s">
        <v>2443</v>
      </c>
      <c r="D22" s="3108"/>
      <c r="E22" s="3109">
        <v>0.9</v>
      </c>
      <c r="F22" s="3106" t="s">
        <v>2444</v>
      </c>
      <c r="G22" s="3106"/>
    </row>
    <row r="23" spans="1:13" ht="19.5" customHeight="1">
      <c r="A23" s="3793"/>
      <c r="B23" s="3786"/>
      <c r="C23" s="3107" t="s">
        <v>2445</v>
      </c>
      <c r="D23" s="3108"/>
      <c r="E23" s="3109">
        <v>0.9</v>
      </c>
      <c r="F23" s="3106" t="s">
        <v>2446</v>
      </c>
      <c r="G23" s="3106"/>
    </row>
    <row r="24" spans="1:13" ht="19.5" customHeight="1">
      <c r="A24" s="3793"/>
      <c r="B24" s="3786"/>
      <c r="C24" s="3107" t="s">
        <v>2447</v>
      </c>
      <c r="D24" s="3108"/>
      <c r="E24" s="3109">
        <v>0.8</v>
      </c>
      <c r="F24" s="3106" t="s">
        <v>2448</v>
      </c>
      <c r="G24" s="3106"/>
    </row>
    <row r="25" spans="1:13" ht="19.5" customHeight="1" thickBot="1">
      <c r="A25" s="3794"/>
      <c r="B25" s="3787"/>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8" t="s">
        <v>2631</v>
      </c>
      <c r="B27" s="3785" t="s">
        <v>2612</v>
      </c>
      <c r="C27" s="3103" t="s">
        <v>2452</v>
      </c>
      <c r="D27" s="3104"/>
      <c r="E27" s="3105">
        <v>1</v>
      </c>
      <c r="F27" s="3106" t="s">
        <v>2453</v>
      </c>
      <c r="G27" s="3106"/>
    </row>
    <row r="28" spans="1:13" ht="19.5" customHeight="1">
      <c r="A28" s="3789"/>
      <c r="B28" s="3786"/>
      <c r="C28" s="3107" t="s">
        <v>2454</v>
      </c>
      <c r="D28" s="3108"/>
      <c r="E28" s="3109">
        <v>1</v>
      </c>
      <c r="F28" s="3106" t="s">
        <v>2455</v>
      </c>
      <c r="G28" s="3106"/>
    </row>
    <row r="29" spans="1:13" ht="19.5" customHeight="1">
      <c r="A29" s="3789"/>
      <c r="B29" s="3786"/>
      <c r="C29" s="3107" t="s">
        <v>2456</v>
      </c>
      <c r="D29" s="3108"/>
      <c r="E29" s="3109">
        <v>0.8</v>
      </c>
      <c r="F29" s="3106" t="s">
        <v>2457</v>
      </c>
      <c r="G29" s="3106"/>
    </row>
    <row r="30" spans="1:13" ht="19.5" customHeight="1">
      <c r="A30" s="3789"/>
      <c r="B30" s="3786"/>
      <c r="C30" s="3107" t="s">
        <v>2458</v>
      </c>
      <c r="D30" s="3108"/>
      <c r="E30" s="3109">
        <v>0.8</v>
      </c>
      <c r="F30" s="3106" t="s">
        <v>2459</v>
      </c>
      <c r="G30" s="3106"/>
    </row>
    <row r="31" spans="1:13" ht="19.5" customHeight="1">
      <c r="A31" s="3789"/>
      <c r="B31" s="3786"/>
      <c r="C31" s="3107" t="s">
        <v>2460</v>
      </c>
      <c r="D31" s="3108"/>
      <c r="E31" s="3109">
        <v>0.8</v>
      </c>
      <c r="F31" s="3106" t="s">
        <v>2461</v>
      </c>
      <c r="G31" s="3106"/>
    </row>
    <row r="32" spans="1:13" ht="19.5" customHeight="1">
      <c r="A32" s="3789"/>
      <c r="B32" s="3786"/>
      <c r="C32" s="3107" t="s">
        <v>2462</v>
      </c>
      <c r="D32" s="3108"/>
      <c r="E32" s="3109">
        <v>0.7</v>
      </c>
      <c r="F32" s="3106" t="s">
        <v>2463</v>
      </c>
      <c r="G32" s="3106"/>
    </row>
    <row r="33" spans="1:7" ht="19.5" customHeight="1">
      <c r="A33" s="3789"/>
      <c r="B33" s="3786"/>
      <c r="C33" s="3107" t="s">
        <v>2464</v>
      </c>
      <c r="D33" s="3108"/>
      <c r="E33" s="3109">
        <v>0.8</v>
      </c>
      <c r="F33" s="3106" t="s">
        <v>2465</v>
      </c>
      <c r="G33" s="3106"/>
    </row>
    <row r="34" spans="1:7" ht="19.5" customHeight="1">
      <c r="A34" s="3789"/>
      <c r="B34" s="3786"/>
      <c r="C34" s="3107" t="s">
        <v>2466</v>
      </c>
      <c r="D34" s="3108"/>
      <c r="E34" s="3109">
        <v>0.6</v>
      </c>
      <c r="F34" s="3106" t="s">
        <v>2467</v>
      </c>
      <c r="G34" s="3106"/>
    </row>
    <row r="35" spans="1:7" ht="19.5" customHeight="1">
      <c r="A35" s="3789"/>
      <c r="B35" s="3786"/>
      <c r="C35" s="3107" t="s">
        <v>2468</v>
      </c>
      <c r="D35" s="3108"/>
      <c r="E35" s="3109">
        <v>0.2</v>
      </c>
      <c r="F35" s="3106" t="s">
        <v>2469</v>
      </c>
      <c r="G35" s="3106"/>
    </row>
    <row r="36" spans="1:7" ht="19.5" customHeight="1">
      <c r="A36" s="3789"/>
      <c r="B36" s="3786"/>
      <c r="C36" s="3107" t="s">
        <v>2470</v>
      </c>
      <c r="D36" s="3108"/>
      <c r="E36" s="3109">
        <v>0.2</v>
      </c>
      <c r="F36" s="3106" t="s">
        <v>2471</v>
      </c>
      <c r="G36" s="3106"/>
    </row>
    <row r="37" spans="1:7" ht="19.5" customHeight="1">
      <c r="A37" s="3789"/>
      <c r="B37" s="3791" t="s">
        <v>2632</v>
      </c>
      <c r="C37" s="3107" t="s">
        <v>2472</v>
      </c>
      <c r="D37" s="3108"/>
      <c r="E37" s="3109">
        <v>0.6</v>
      </c>
      <c r="F37" s="3106" t="s">
        <v>2473</v>
      </c>
      <c r="G37" s="3106"/>
    </row>
    <row r="38" spans="1:7" ht="19.5" customHeight="1">
      <c r="A38" s="3789"/>
      <c r="B38" s="3786"/>
      <c r="C38" s="3107" t="s">
        <v>2474</v>
      </c>
      <c r="D38" s="3108"/>
      <c r="E38" s="3109">
        <v>0.6</v>
      </c>
      <c r="F38" s="3106" t="s">
        <v>2475</v>
      </c>
      <c r="G38" s="3106"/>
    </row>
    <row r="39" spans="1:7" ht="19.5" customHeight="1" thickBot="1">
      <c r="A39" s="3790"/>
      <c r="B39" s="3787"/>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92" t="s">
        <v>2610</v>
      </c>
      <c r="B41" s="3785" t="s">
        <v>2634</v>
      </c>
      <c r="C41" s="3103" t="s">
        <v>2479</v>
      </c>
      <c r="D41" s="3104"/>
      <c r="E41" s="3105">
        <v>1</v>
      </c>
      <c r="F41" s="3106" t="s">
        <v>2480</v>
      </c>
      <c r="G41" s="3106"/>
    </row>
    <row r="42" spans="1:7" ht="19.5" customHeight="1">
      <c r="A42" s="3793"/>
      <c r="B42" s="3786"/>
      <c r="C42" s="3107" t="s">
        <v>2481</v>
      </c>
      <c r="D42" s="3108"/>
      <c r="E42" s="3109">
        <v>1</v>
      </c>
      <c r="F42" s="3106" t="s">
        <v>2482</v>
      </c>
      <c r="G42" s="3106"/>
    </row>
    <row r="43" spans="1:7" ht="19.5" customHeight="1">
      <c r="A43" s="3793"/>
      <c r="B43" s="3795"/>
      <c r="C43" s="3107" t="s">
        <v>2483</v>
      </c>
      <c r="D43" s="3108"/>
      <c r="E43" s="3109">
        <v>1.5</v>
      </c>
      <c r="F43" s="3106" t="s">
        <v>2484</v>
      </c>
      <c r="G43" s="3106"/>
    </row>
    <row r="44" spans="1:7" ht="19.5" customHeight="1">
      <c r="A44" s="3793"/>
      <c r="B44" s="3118" t="s">
        <v>2635</v>
      </c>
      <c r="C44" s="3107" t="s">
        <v>2636</v>
      </c>
      <c r="D44" s="3108"/>
      <c r="E44" s="3109">
        <v>2</v>
      </c>
      <c r="F44" s="3106" t="s">
        <v>2485</v>
      </c>
      <c r="G44" s="3106"/>
    </row>
    <row r="45" spans="1:7" ht="19.5" customHeight="1">
      <c r="A45" s="3793"/>
      <c r="B45" s="3791" t="s">
        <v>2637</v>
      </c>
      <c r="C45" s="3107" t="s">
        <v>2486</v>
      </c>
      <c r="D45" s="3108"/>
      <c r="E45" s="3109">
        <v>1</v>
      </c>
      <c r="F45" s="3106" t="s">
        <v>2487</v>
      </c>
      <c r="G45" s="3106"/>
    </row>
    <row r="46" spans="1:7" ht="19.5" customHeight="1">
      <c r="A46" s="3793"/>
      <c r="B46" s="3786"/>
      <c r="C46" s="3107" t="s">
        <v>2488</v>
      </c>
      <c r="D46" s="3108"/>
      <c r="E46" s="3109">
        <v>1</v>
      </c>
      <c r="F46" s="3106" t="s">
        <v>2489</v>
      </c>
      <c r="G46" s="3106"/>
    </row>
    <row r="47" spans="1:7" ht="19.5" customHeight="1">
      <c r="A47" s="3793"/>
      <c r="B47" s="3786"/>
      <c r="C47" s="3107" t="s">
        <v>2490</v>
      </c>
      <c r="D47" s="3108"/>
      <c r="E47" s="3109">
        <v>1</v>
      </c>
      <c r="F47" s="3106" t="s">
        <v>2491</v>
      </c>
      <c r="G47" s="3106"/>
    </row>
    <row r="48" spans="1:7" ht="19.5" customHeight="1">
      <c r="A48" s="3793"/>
      <c r="B48" s="3786"/>
      <c r="C48" s="3107" t="s">
        <v>2492</v>
      </c>
      <c r="D48" s="3108"/>
      <c r="E48" s="3109">
        <v>1</v>
      </c>
      <c r="F48" s="3106" t="s">
        <v>2493</v>
      </c>
      <c r="G48" s="3106"/>
    </row>
    <row r="49" spans="1:7" ht="19.5" customHeight="1">
      <c r="A49" s="3793"/>
      <c r="B49" s="3786"/>
      <c r="C49" s="3107" t="s">
        <v>2494</v>
      </c>
      <c r="D49" s="3108"/>
      <c r="E49" s="3109">
        <v>1</v>
      </c>
      <c r="F49" s="3106" t="s">
        <v>2495</v>
      </c>
      <c r="G49" s="3106"/>
    </row>
    <row r="50" spans="1:7" ht="19.5" customHeight="1">
      <c r="A50" s="3793"/>
      <c r="B50" s="3786"/>
      <c r="C50" s="3107" t="s">
        <v>2496</v>
      </c>
      <c r="D50" s="3108"/>
      <c r="E50" s="3109">
        <v>1</v>
      </c>
      <c r="F50" s="3106" t="s">
        <v>2497</v>
      </c>
      <c r="G50" s="3106"/>
    </row>
    <row r="51" spans="1:7" ht="19.5" customHeight="1" thickBot="1">
      <c r="A51" s="3794"/>
      <c r="B51" s="3787"/>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91" t="s">
        <v>2651</v>
      </c>
      <c r="C73" s="3092" t="s">
        <v>2652</v>
      </c>
      <c r="D73" s="3092" t="s">
        <v>2653</v>
      </c>
      <c r="E73" s="3118">
        <v>0.2</v>
      </c>
      <c r="F73" s="3118">
        <v>25</v>
      </c>
    </row>
    <row r="74" spans="1:7" ht="24">
      <c r="A74" s="3118">
        <v>2</v>
      </c>
      <c r="B74" s="3786"/>
      <c r="C74" s="3092" t="s">
        <v>2654</v>
      </c>
      <c r="D74" s="3092" t="s">
        <v>2655</v>
      </c>
      <c r="E74" s="3118">
        <v>0.2</v>
      </c>
      <c r="F74" s="3118">
        <v>25</v>
      </c>
    </row>
    <row r="75" spans="1:7" ht="24">
      <c r="A75" s="3118">
        <v>3</v>
      </c>
      <c r="B75" s="3786"/>
      <c r="C75" s="3092" t="s">
        <v>2656</v>
      </c>
      <c r="D75" s="3092" t="s">
        <v>2657</v>
      </c>
      <c r="E75" s="3118">
        <v>0.2</v>
      </c>
      <c r="F75" s="3118">
        <v>25</v>
      </c>
    </row>
    <row r="76" spans="1:7" ht="14.4">
      <c r="A76" s="3118">
        <v>4</v>
      </c>
      <c r="B76" s="3786"/>
      <c r="C76" s="3092" t="s">
        <v>2658</v>
      </c>
      <c r="D76" s="3092" t="s">
        <v>2659</v>
      </c>
      <c r="E76" s="3118">
        <v>0.15</v>
      </c>
      <c r="F76" s="3118">
        <v>20</v>
      </c>
    </row>
    <row r="77" spans="1:7" ht="24">
      <c r="A77" s="3118">
        <v>5</v>
      </c>
      <c r="B77" s="3786"/>
      <c r="C77" s="3092" t="s">
        <v>2660</v>
      </c>
      <c r="D77" s="3092" t="s">
        <v>2661</v>
      </c>
      <c r="E77" s="3118">
        <v>0.15</v>
      </c>
      <c r="F77" s="3118">
        <v>20</v>
      </c>
    </row>
    <row r="78" spans="1:7" ht="24">
      <c r="A78" s="3118">
        <v>6</v>
      </c>
      <c r="B78" s="3786"/>
      <c r="C78" s="3092" t="s">
        <v>2662</v>
      </c>
      <c r="D78" s="3092" t="s">
        <v>2663</v>
      </c>
      <c r="E78" s="3118">
        <v>0.15</v>
      </c>
      <c r="F78" s="3118">
        <v>20</v>
      </c>
    </row>
    <row r="79" spans="1:7" ht="24">
      <c r="A79" s="3118">
        <v>7</v>
      </c>
      <c r="B79" s="3786"/>
      <c r="C79" s="3092" t="s">
        <v>2664</v>
      </c>
      <c r="D79" s="3092" t="s">
        <v>2665</v>
      </c>
      <c r="E79" s="3118">
        <v>0.15</v>
      </c>
      <c r="F79" s="3118">
        <v>20</v>
      </c>
    </row>
    <row r="80" spans="1:7" ht="24">
      <c r="A80" s="3118">
        <v>8</v>
      </c>
      <c r="B80" s="3786"/>
      <c r="C80" s="3092" t="s">
        <v>2666</v>
      </c>
      <c r="D80" s="3092" t="s">
        <v>2667</v>
      </c>
      <c r="E80" s="3118">
        <v>0.1</v>
      </c>
      <c r="F80" s="3118">
        <v>15</v>
      </c>
    </row>
    <row r="81" spans="1:6" ht="24">
      <c r="A81" s="3118">
        <v>9</v>
      </c>
      <c r="B81" s="3786"/>
      <c r="C81" s="3092" t="s">
        <v>2668</v>
      </c>
      <c r="D81" s="3092" t="s">
        <v>2669</v>
      </c>
      <c r="E81" s="3118">
        <v>0.1</v>
      </c>
      <c r="F81" s="3118">
        <v>15</v>
      </c>
    </row>
    <row r="82" spans="1:6" ht="24">
      <c r="A82" s="3118">
        <v>10</v>
      </c>
      <c r="B82" s="3786"/>
      <c r="C82" s="3092" t="s">
        <v>2670</v>
      </c>
      <c r="D82" s="3092" t="s">
        <v>2671</v>
      </c>
      <c r="E82" s="3118">
        <v>0.1</v>
      </c>
      <c r="F82" s="3118">
        <v>15</v>
      </c>
    </row>
    <row r="83" spans="1:6" ht="24">
      <c r="A83" s="3118">
        <v>11</v>
      </c>
      <c r="B83" s="3786"/>
      <c r="C83" s="3092" t="s">
        <v>2672</v>
      </c>
      <c r="D83" s="3092" t="s">
        <v>2673</v>
      </c>
      <c r="E83" s="3118">
        <v>0.1</v>
      </c>
      <c r="F83" s="3118">
        <v>15</v>
      </c>
    </row>
    <row r="84" spans="1:6" ht="24">
      <c r="A84" s="3118">
        <v>12</v>
      </c>
      <c r="B84" s="3786"/>
      <c r="C84" s="3092" t="s">
        <v>2674</v>
      </c>
      <c r="D84" s="3092" t="s">
        <v>2675</v>
      </c>
      <c r="E84" s="3118">
        <v>0.1</v>
      </c>
      <c r="F84" s="3118">
        <v>15</v>
      </c>
    </row>
    <row r="85" spans="1:6" ht="24">
      <c r="A85" s="3118">
        <v>13</v>
      </c>
      <c r="B85" s="3786"/>
      <c r="C85" s="3092" t="s">
        <v>2676</v>
      </c>
      <c r="D85" s="3092" t="s">
        <v>2677</v>
      </c>
      <c r="E85" s="3118">
        <v>0.1</v>
      </c>
      <c r="F85" s="3118">
        <v>15</v>
      </c>
    </row>
    <row r="86" spans="1:6" ht="24">
      <c r="A86" s="3118">
        <v>14</v>
      </c>
      <c r="B86" s="3786"/>
      <c r="C86" s="3092" t="s">
        <v>2678</v>
      </c>
      <c r="D86" s="3092" t="s">
        <v>2679</v>
      </c>
      <c r="E86" s="3118">
        <v>0.1</v>
      </c>
      <c r="F86" s="3118">
        <v>15</v>
      </c>
    </row>
    <row r="87" spans="1:6" ht="24">
      <c r="A87" s="3118">
        <v>15</v>
      </c>
      <c r="B87" s="3786"/>
      <c r="C87" s="3092" t="s">
        <v>2680</v>
      </c>
      <c r="D87" s="3092" t="s">
        <v>2681</v>
      </c>
      <c r="E87" s="3118">
        <v>0.1</v>
      </c>
      <c r="F87" s="3118">
        <v>15</v>
      </c>
    </row>
    <row r="88" spans="1:6" ht="24">
      <c r="A88" s="3118">
        <v>16</v>
      </c>
      <c r="B88" s="3786"/>
      <c r="C88" s="3092" t="s">
        <v>2682</v>
      </c>
      <c r="D88" s="3092" t="s">
        <v>2683</v>
      </c>
      <c r="E88" s="3118">
        <v>0.1</v>
      </c>
      <c r="F88" s="3118">
        <v>15</v>
      </c>
    </row>
    <row r="89" spans="1:6" ht="24">
      <c r="A89" s="3118">
        <v>17</v>
      </c>
      <c r="B89" s="3795"/>
      <c r="C89" s="3092" t="s">
        <v>2684</v>
      </c>
      <c r="D89" s="3092" t="s">
        <v>2685</v>
      </c>
      <c r="E89" s="3118">
        <v>0.1</v>
      </c>
      <c r="F89" s="3118">
        <v>15</v>
      </c>
    </row>
    <row r="90" spans="1:6" ht="14.4">
      <c r="A90" s="3118">
        <v>18</v>
      </c>
      <c r="B90" s="3791" t="s">
        <v>2686</v>
      </c>
      <c r="C90" s="3092" t="s">
        <v>2687</v>
      </c>
      <c r="D90" s="3092" t="s">
        <v>2688</v>
      </c>
      <c r="E90" s="3118">
        <v>0.2</v>
      </c>
      <c r="F90" s="3118">
        <v>25</v>
      </c>
    </row>
    <row r="91" spans="1:6" ht="24">
      <c r="A91" s="3118">
        <v>19</v>
      </c>
      <c r="B91" s="3786"/>
      <c r="C91" s="3092" t="s">
        <v>2689</v>
      </c>
      <c r="D91" s="3092" t="s">
        <v>2690</v>
      </c>
      <c r="E91" s="3118">
        <v>0.2</v>
      </c>
      <c r="F91" s="3118">
        <v>25</v>
      </c>
    </row>
    <row r="92" spans="1:6" ht="14.4">
      <c r="A92" s="3118">
        <v>20</v>
      </c>
      <c r="B92" s="3786"/>
      <c r="C92" s="3092" t="s">
        <v>2691</v>
      </c>
      <c r="D92" s="3092" t="s">
        <v>2692</v>
      </c>
      <c r="E92" s="3118">
        <v>0.15</v>
      </c>
      <c r="F92" s="3118">
        <v>20</v>
      </c>
    </row>
    <row r="93" spans="1:6" ht="24">
      <c r="A93" s="3118">
        <v>21</v>
      </c>
      <c r="B93" s="3786"/>
      <c r="C93" s="3092" t="s">
        <v>2693</v>
      </c>
      <c r="D93" s="3092" t="s">
        <v>2694</v>
      </c>
      <c r="E93" s="3118">
        <v>0.15</v>
      </c>
      <c r="F93" s="3118">
        <v>20</v>
      </c>
    </row>
    <row r="94" spans="1:6" ht="24">
      <c r="A94" s="3118">
        <v>22</v>
      </c>
      <c r="B94" s="3786"/>
      <c r="C94" s="3092" t="s">
        <v>2695</v>
      </c>
      <c r="D94" s="3092" t="s">
        <v>2696</v>
      </c>
      <c r="E94" s="3118">
        <v>0.15</v>
      </c>
      <c r="F94" s="3118">
        <v>20</v>
      </c>
    </row>
    <row r="95" spans="1:6" ht="36">
      <c r="A95" s="3118">
        <v>23</v>
      </c>
      <c r="B95" s="3786"/>
      <c r="C95" s="3092" t="s">
        <v>2697</v>
      </c>
      <c r="D95" s="3092" t="s">
        <v>2698</v>
      </c>
      <c r="E95" s="3118">
        <v>0.15</v>
      </c>
      <c r="F95" s="3118">
        <v>20</v>
      </c>
    </row>
    <row r="96" spans="1:6" ht="24">
      <c r="A96" s="3118">
        <v>24</v>
      </c>
      <c r="B96" s="3786"/>
      <c r="C96" s="3092" t="s">
        <v>2699</v>
      </c>
      <c r="D96" s="3092" t="s">
        <v>2700</v>
      </c>
      <c r="E96" s="3118">
        <v>0.1</v>
      </c>
      <c r="F96" s="3118">
        <v>15</v>
      </c>
    </row>
    <row r="97" spans="1:6" ht="24">
      <c r="A97" s="3118">
        <v>25</v>
      </c>
      <c r="B97" s="3786"/>
      <c r="C97" s="3092" t="s">
        <v>2701</v>
      </c>
      <c r="D97" s="3092" t="s">
        <v>2702</v>
      </c>
      <c r="E97" s="3118">
        <v>0.1</v>
      </c>
      <c r="F97" s="3118">
        <v>15</v>
      </c>
    </row>
    <row r="98" spans="1:6" ht="24">
      <c r="A98" s="3118">
        <v>26</v>
      </c>
      <c r="B98" s="3786"/>
      <c r="C98" s="3092" t="s">
        <v>2703</v>
      </c>
      <c r="D98" s="3092" t="s">
        <v>2704</v>
      </c>
      <c r="E98" s="3118">
        <v>0.1</v>
      </c>
      <c r="F98" s="3118">
        <v>15</v>
      </c>
    </row>
    <row r="99" spans="1:6" ht="24">
      <c r="A99" s="3118">
        <v>27</v>
      </c>
      <c r="B99" s="3786"/>
      <c r="C99" s="3092" t="s">
        <v>2705</v>
      </c>
      <c r="D99" s="3092" t="s">
        <v>2706</v>
      </c>
      <c r="E99" s="3118">
        <v>0.1</v>
      </c>
      <c r="F99" s="3118">
        <v>15</v>
      </c>
    </row>
    <row r="100" spans="1:6" ht="24">
      <c r="A100" s="3118">
        <v>28</v>
      </c>
      <c r="B100" s="3786"/>
      <c r="C100" s="3092" t="s">
        <v>2707</v>
      </c>
      <c r="D100" s="3092" t="s">
        <v>2708</v>
      </c>
      <c r="E100" s="3118">
        <v>0.1</v>
      </c>
      <c r="F100" s="3118">
        <v>15</v>
      </c>
    </row>
    <row r="101" spans="1:6" ht="24">
      <c r="A101" s="3118">
        <v>29</v>
      </c>
      <c r="B101" s="3786"/>
      <c r="C101" s="3092" t="s">
        <v>2709</v>
      </c>
      <c r="D101" s="3092" t="s">
        <v>2710</v>
      </c>
      <c r="E101" s="3118">
        <v>0.1</v>
      </c>
      <c r="F101" s="3118">
        <v>15</v>
      </c>
    </row>
    <row r="102" spans="1:6" ht="24">
      <c r="A102" s="3118">
        <v>30</v>
      </c>
      <c r="B102" s="3786"/>
      <c r="C102" s="3092" t="s">
        <v>2711</v>
      </c>
      <c r="D102" s="3092" t="s">
        <v>2712</v>
      </c>
      <c r="E102" s="3118">
        <v>0.1</v>
      </c>
      <c r="F102" s="3118">
        <v>15</v>
      </c>
    </row>
    <row r="103" spans="1:6" ht="24">
      <c r="A103" s="3118">
        <v>31</v>
      </c>
      <c r="B103" s="3786"/>
      <c r="C103" s="3092" t="s">
        <v>2713</v>
      </c>
      <c r="D103" s="3092" t="s">
        <v>2714</v>
      </c>
      <c r="E103" s="3118">
        <v>0.1</v>
      </c>
      <c r="F103" s="3118">
        <v>15</v>
      </c>
    </row>
    <row r="104" spans="1:6" ht="24">
      <c r="A104" s="3118">
        <v>32</v>
      </c>
      <c r="B104" s="3786"/>
      <c r="C104" s="3092" t="s">
        <v>2715</v>
      </c>
      <c r="D104" s="3092" t="s">
        <v>2716</v>
      </c>
      <c r="E104" s="3118">
        <v>0.1</v>
      </c>
      <c r="F104" s="3118">
        <v>15</v>
      </c>
    </row>
    <row r="105" spans="1:6" ht="24">
      <c r="A105" s="3118">
        <v>33</v>
      </c>
      <c r="B105" s="3786"/>
      <c r="C105" s="3092" t="s">
        <v>2717</v>
      </c>
      <c r="D105" s="3092" t="s">
        <v>2718</v>
      </c>
      <c r="E105" s="3118">
        <v>0.1</v>
      </c>
      <c r="F105" s="3118">
        <v>15</v>
      </c>
    </row>
    <row r="106" spans="1:6" ht="24">
      <c r="A106" s="3118">
        <v>34</v>
      </c>
      <c r="B106" s="3795"/>
      <c r="C106" s="3092" t="s">
        <v>2719</v>
      </c>
      <c r="D106" s="3092" t="s">
        <v>2720</v>
      </c>
      <c r="E106" s="3118">
        <v>0.1</v>
      </c>
      <c r="F106" s="3118">
        <v>15</v>
      </c>
    </row>
    <row r="107" spans="1:6" ht="36">
      <c r="A107" s="3118">
        <v>35</v>
      </c>
      <c r="B107" s="3791" t="s">
        <v>2721</v>
      </c>
      <c r="C107" s="3118" t="s">
        <v>2722</v>
      </c>
      <c r="D107" s="3092" t="s">
        <v>2723</v>
      </c>
      <c r="E107" s="3118">
        <v>0.15</v>
      </c>
      <c r="F107" s="3118">
        <v>20</v>
      </c>
    </row>
    <row r="108" spans="1:6" ht="24">
      <c r="A108" s="3118">
        <v>36</v>
      </c>
      <c r="B108" s="3786"/>
      <c r="C108" s="3118" t="s">
        <v>2724</v>
      </c>
      <c r="D108" s="3092" t="s">
        <v>2725</v>
      </c>
      <c r="E108" s="3118">
        <v>0.15</v>
      </c>
      <c r="F108" s="3118">
        <v>20</v>
      </c>
    </row>
    <row r="109" spans="1:6" ht="24">
      <c r="A109" s="3118">
        <v>37</v>
      </c>
      <c r="B109" s="3786"/>
      <c r="C109" s="3118" t="s">
        <v>2726</v>
      </c>
      <c r="D109" s="3092" t="s">
        <v>2727</v>
      </c>
      <c r="E109" s="3118">
        <v>0.15</v>
      </c>
      <c r="F109" s="3118">
        <v>20</v>
      </c>
    </row>
    <row r="110" spans="1:6" ht="24">
      <c r="A110" s="3118">
        <v>38</v>
      </c>
      <c r="B110" s="3786"/>
      <c r="C110" s="3118" t="s">
        <v>2728</v>
      </c>
      <c r="D110" s="3092" t="s">
        <v>2729</v>
      </c>
      <c r="E110" s="3118">
        <v>0.1</v>
      </c>
      <c r="F110" s="3118">
        <v>15</v>
      </c>
    </row>
    <row r="111" spans="1:6" ht="24">
      <c r="A111" s="3118">
        <v>39</v>
      </c>
      <c r="B111" s="3786"/>
      <c r="C111" s="3118" t="s">
        <v>2730</v>
      </c>
      <c r="D111" s="3092" t="s">
        <v>2731</v>
      </c>
      <c r="E111" s="3118">
        <v>0.1</v>
      </c>
      <c r="F111" s="3118">
        <v>15</v>
      </c>
    </row>
    <row r="112" spans="1:6" ht="24">
      <c r="A112" s="3118">
        <v>40</v>
      </c>
      <c r="B112" s="3795"/>
      <c r="C112" s="3118" t="s">
        <v>2732</v>
      </c>
      <c r="D112" s="3092" t="s">
        <v>2733</v>
      </c>
      <c r="E112" s="3118">
        <v>0.1</v>
      </c>
      <c r="F112" s="3118">
        <v>15</v>
      </c>
    </row>
    <row r="113" spans="1:6" ht="24">
      <c r="A113" s="3118">
        <v>41</v>
      </c>
      <c r="B113" s="3796" t="s">
        <v>2734</v>
      </c>
      <c r="C113" s="3118" t="s">
        <v>2735</v>
      </c>
      <c r="D113" s="3092" t="s">
        <v>2736</v>
      </c>
      <c r="E113" s="3118">
        <v>0.1</v>
      </c>
      <c r="F113" s="3118">
        <v>15</v>
      </c>
    </row>
    <row r="114" spans="1:6" ht="24">
      <c r="A114" s="3118">
        <v>42</v>
      </c>
      <c r="B114" s="3796"/>
      <c r="C114" s="3118" t="s">
        <v>2737</v>
      </c>
      <c r="D114" s="3092" t="s">
        <v>2738</v>
      </c>
      <c r="E114" s="3118">
        <v>0.1</v>
      </c>
      <c r="F114" s="3118">
        <v>15</v>
      </c>
    </row>
    <row r="115" spans="1:6" ht="24">
      <c r="A115" s="3118">
        <v>43</v>
      </c>
      <c r="B115" s="3796"/>
      <c r="C115" s="3118" t="s">
        <v>2739</v>
      </c>
      <c r="D115" s="3092" t="s">
        <v>2740</v>
      </c>
      <c r="E115" s="3118">
        <v>0.1</v>
      </c>
      <c r="F115" s="3118">
        <v>15</v>
      </c>
    </row>
    <row r="116" spans="1:6" ht="24">
      <c r="A116" s="3118">
        <v>44</v>
      </c>
      <c r="B116" s="3791" t="s">
        <v>2741</v>
      </c>
      <c r="C116" s="3118" t="s">
        <v>2742</v>
      </c>
      <c r="D116" s="3092" t="s">
        <v>2743</v>
      </c>
      <c r="E116" s="3118">
        <v>0.1</v>
      </c>
      <c r="F116" s="3118">
        <v>15</v>
      </c>
    </row>
    <row r="117" spans="1:6" ht="24">
      <c r="A117" s="3118">
        <v>45</v>
      </c>
      <c r="B117" s="3795"/>
      <c r="C117" s="3092" t="s">
        <v>2744</v>
      </c>
      <c r="D117" s="3092" t="s">
        <v>2745</v>
      </c>
      <c r="E117" s="3118">
        <v>0.1</v>
      </c>
      <c r="F117" s="3118">
        <v>15</v>
      </c>
    </row>
    <row r="118" spans="1:6" ht="24">
      <c r="A118" s="3118">
        <v>46</v>
      </c>
      <c r="B118" s="3791" t="s">
        <v>2746</v>
      </c>
      <c r="C118" s="3118" t="s">
        <v>2747</v>
      </c>
      <c r="D118" s="3092" t="s">
        <v>2748</v>
      </c>
      <c r="E118" s="3118">
        <v>0.1</v>
      </c>
      <c r="F118" s="3118">
        <v>15</v>
      </c>
    </row>
    <row r="119" spans="1:6" ht="24">
      <c r="A119" s="3118">
        <v>47</v>
      </c>
      <c r="B119" s="3795"/>
      <c r="C119" s="3118" t="s">
        <v>2749</v>
      </c>
      <c r="D119" s="3092" t="s">
        <v>2750</v>
      </c>
      <c r="E119" s="3118">
        <v>0.1</v>
      </c>
      <c r="F119" s="3118">
        <v>15</v>
      </c>
    </row>
    <row r="120" spans="1:6" ht="24">
      <c r="A120" s="3118">
        <v>48</v>
      </c>
      <c r="B120" s="3791" t="s">
        <v>2751</v>
      </c>
      <c r="C120" s="3118" t="s">
        <v>2752</v>
      </c>
      <c r="D120" s="3092" t="s">
        <v>2753</v>
      </c>
      <c r="E120" s="3118">
        <v>0.1</v>
      </c>
      <c r="F120" s="3118">
        <v>15</v>
      </c>
    </row>
    <row r="121" spans="1:6" ht="24">
      <c r="A121" s="3118">
        <v>49</v>
      </c>
      <c r="B121" s="3795"/>
      <c r="C121" s="3118" t="s">
        <v>2754</v>
      </c>
      <c r="D121" s="3092" t="s">
        <v>2755</v>
      </c>
      <c r="E121" s="3118">
        <v>0.1</v>
      </c>
      <c r="F121" s="3118">
        <v>15</v>
      </c>
    </row>
    <row r="122" spans="1:6" ht="24">
      <c r="A122" s="3118">
        <v>50</v>
      </c>
      <c r="B122" s="3796" t="s">
        <v>2756</v>
      </c>
      <c r="C122" s="3118" t="s">
        <v>2757</v>
      </c>
      <c r="D122" s="3092" t="s">
        <v>2758</v>
      </c>
      <c r="E122" s="3118">
        <v>0.1</v>
      </c>
      <c r="F122" s="3118">
        <v>15</v>
      </c>
    </row>
    <row r="123" spans="1:6" ht="24">
      <c r="A123" s="3118">
        <v>51</v>
      </c>
      <c r="B123" s="3796"/>
      <c r="C123" s="3118" t="s">
        <v>2759</v>
      </c>
      <c r="D123" s="3092" t="s">
        <v>2760</v>
      </c>
      <c r="E123" s="3118">
        <v>0.1</v>
      </c>
      <c r="F123" s="3118">
        <v>15</v>
      </c>
    </row>
    <row r="124" spans="1:6" ht="24">
      <c r="A124" s="3118">
        <v>52</v>
      </c>
      <c r="B124" s="3796" t="s">
        <v>2761</v>
      </c>
      <c r="C124" s="3118" t="s">
        <v>2762</v>
      </c>
      <c r="D124" s="3092" t="s">
        <v>2763</v>
      </c>
      <c r="E124" s="3118">
        <v>0.1</v>
      </c>
      <c r="F124" s="3118">
        <v>15</v>
      </c>
    </row>
    <row r="125" spans="1:6" ht="24">
      <c r="A125" s="3118">
        <v>53</v>
      </c>
      <c r="B125" s="3796"/>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96" t="s">
        <v>2769</v>
      </c>
      <c r="C127" s="3118" t="s">
        <v>2770</v>
      </c>
      <c r="D127" s="3092" t="s">
        <v>2771</v>
      </c>
      <c r="E127" s="3118">
        <v>0.1</v>
      </c>
      <c r="F127" s="3118">
        <v>15</v>
      </c>
    </row>
    <row r="128" spans="1:6" ht="24">
      <c r="A128" s="3118">
        <v>56</v>
      </c>
      <c r="B128" s="3796"/>
      <c r="C128" s="3118" t="s">
        <v>2772</v>
      </c>
      <c r="D128" s="3092" t="s">
        <v>2773</v>
      </c>
      <c r="E128" s="3118">
        <v>0.1</v>
      </c>
      <c r="F128" s="3118">
        <v>15</v>
      </c>
    </row>
    <row r="129" spans="1:6" ht="24">
      <c r="A129" s="3118">
        <v>57</v>
      </c>
      <c r="B129" s="3796"/>
      <c r="C129" s="3118" t="s">
        <v>2774</v>
      </c>
      <c r="D129" s="3092" t="s">
        <v>2775</v>
      </c>
      <c r="E129" s="3118">
        <v>0.1</v>
      </c>
      <c r="F129" s="3118">
        <v>15</v>
      </c>
    </row>
    <row r="130" spans="1:6" ht="24">
      <c r="A130" s="3118">
        <v>58</v>
      </c>
      <c r="B130" s="3796" t="s">
        <v>2776</v>
      </c>
      <c r="C130" s="3118" t="s">
        <v>2777</v>
      </c>
      <c r="D130" s="3092" t="s">
        <v>2778</v>
      </c>
      <c r="E130" s="3118">
        <v>0.1</v>
      </c>
      <c r="F130" s="3118">
        <v>15</v>
      </c>
    </row>
    <row r="131" spans="1:6" ht="24">
      <c r="A131" s="3118">
        <v>59</v>
      </c>
      <c r="B131" s="3796"/>
      <c r="C131" s="3118" t="s">
        <v>2779</v>
      </c>
      <c r="D131" s="3092" t="s">
        <v>2780</v>
      </c>
      <c r="E131" s="3118">
        <v>0.1</v>
      </c>
      <c r="F131" s="3118">
        <v>15</v>
      </c>
    </row>
    <row r="132" spans="1:6" ht="24">
      <c r="A132" s="3118">
        <v>60</v>
      </c>
      <c r="B132" s="3791" t="s">
        <v>2781</v>
      </c>
      <c r="C132" s="3118" t="s">
        <v>2782</v>
      </c>
      <c r="D132" s="3092" t="s">
        <v>2783</v>
      </c>
      <c r="E132" s="3118">
        <v>0.1</v>
      </c>
      <c r="F132" s="3118">
        <v>15</v>
      </c>
    </row>
    <row r="133" spans="1:6" ht="24">
      <c r="A133" s="3118">
        <v>61</v>
      </c>
      <c r="B133" s="3795"/>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96" t="s">
        <v>2789</v>
      </c>
      <c r="C135" s="3118" t="s">
        <v>2790</v>
      </c>
      <c r="D135" s="3092" t="s">
        <v>2791</v>
      </c>
      <c r="E135" s="3118">
        <v>0.1</v>
      </c>
      <c r="F135" s="3118">
        <v>15</v>
      </c>
    </row>
    <row r="136" spans="1:6" ht="24">
      <c r="A136" s="3118">
        <v>64</v>
      </c>
      <c r="B136" s="3796"/>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7"/>
      <c r="C2" s="3477"/>
      <c r="D2" s="3477"/>
      <c r="E2" s="3477"/>
    </row>
    <row r="3" spans="1:5" ht="17.399999999999999">
      <c r="A3" s="3478" t="str">
        <f>IF(项目基本情况!B9="房地产市场价值","估价结果一览表（市场价值不需“结果表-1”）","估价结果一览表")</f>
        <v>估价结果一览表（市场价值不需“结果表-1”）</v>
      </c>
      <c r="B3" s="3478"/>
      <c r="C3" s="3478"/>
      <c r="D3" s="3478"/>
      <c r="E3" s="3478"/>
    </row>
    <row r="4" spans="1:5" ht="18" thickBot="1">
      <c r="A4" s="1493"/>
      <c r="B4" s="3476" t="s">
        <v>917</v>
      </c>
      <c r="C4" s="3476"/>
      <c r="D4" s="3476"/>
      <c r="E4" s="1493"/>
    </row>
    <row r="5" spans="1:5" ht="16.2" thickTop="1">
      <c r="A5" s="1491"/>
      <c r="B5" s="3474" t="s">
        <v>909</v>
      </c>
      <c r="C5" s="1494" t="s">
        <v>910</v>
      </c>
      <c r="D5" s="850" t="e">
        <f ca="1">结果表!H101</f>
        <v>#REF!</v>
      </c>
      <c r="E5" s="1491"/>
    </row>
    <row r="6" spans="1:5" ht="15.6">
      <c r="A6" s="1491"/>
      <c r="B6" s="3474"/>
      <c r="C6" s="1494" t="s">
        <v>911</v>
      </c>
      <c r="D6" s="850" t="e">
        <f ca="1">NUMBERSTRING(INT(D5*10000),2)&amp;"元整"</f>
        <v>#REF!</v>
      </c>
      <c r="E6" s="1491"/>
    </row>
    <row r="7" spans="1:5" ht="15.6">
      <c r="A7" s="1491"/>
      <c r="B7" s="3479"/>
      <c r="C7" s="1495" t="s">
        <v>912</v>
      </c>
      <c r="D7" s="851" t="e">
        <f ca="1">结果表!H102</f>
        <v>#REF!</v>
      </c>
      <c r="E7" s="1491"/>
    </row>
    <row r="8" spans="1:5" ht="15.6">
      <c r="A8" s="1491"/>
      <c r="B8" s="3480" t="str">
        <f>结果表!E103</f>
        <v>2.估价师知悉的法定优先受偿款</v>
      </c>
      <c r="C8" s="1496" t="s">
        <v>913</v>
      </c>
      <c r="D8" s="851">
        <f>结果表!H103</f>
        <v>0</v>
      </c>
      <c r="E8" s="1491"/>
    </row>
    <row r="9" spans="1:5" ht="15.6">
      <c r="A9" s="1491"/>
      <c r="B9" s="3482"/>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3" t="str">
        <f>结果表!E107</f>
        <v>3.房地产抵押价值</v>
      </c>
      <c r="C13" s="1499" t="s">
        <v>910</v>
      </c>
      <c r="D13" s="853" t="e">
        <f ca="1">结果表!H107</f>
        <v>#REF!</v>
      </c>
      <c r="E13" s="1491"/>
    </row>
    <row r="14" spans="1:5" ht="15.6">
      <c r="A14" s="1491"/>
      <c r="B14" s="3474"/>
      <c r="C14" s="1494" t="s">
        <v>911</v>
      </c>
      <c r="D14" s="850" t="e">
        <f ca="1">NUMBERSTRING(INT(D13*10000),2)&amp;"元整"</f>
        <v>#REF!</v>
      </c>
      <c r="E14" s="1491"/>
    </row>
    <row r="15" spans="1:5" ht="15.6">
      <c r="A15" s="1491"/>
      <c r="B15" s="3479"/>
      <c r="C15" s="1495" t="s">
        <v>921</v>
      </c>
      <c r="D15" s="859" t="e">
        <f ca="1">结果表!H108</f>
        <v>#REF!</v>
      </c>
      <c r="E15" s="1491"/>
    </row>
    <row r="16" spans="1:5" ht="15.6">
      <c r="A16" s="1491"/>
      <c r="B16" s="3480" t="str">
        <f>结果表!E109</f>
        <v>——</v>
      </c>
      <c r="C16" s="1499" t="s">
        <v>922</v>
      </c>
      <c r="D16" s="1500" t="str">
        <f>结果表!H109</f>
        <v>——</v>
      </c>
      <c r="E16" s="1491"/>
    </row>
    <row r="17" spans="1:5" ht="15.6">
      <c r="A17" s="1491"/>
      <c r="B17" s="3481"/>
      <c r="C17" s="1494" t="s">
        <v>923</v>
      </c>
      <c r="D17" s="850" t="e">
        <f>NUMBERSTRING(INT(D16*10000),2)&amp;"元整"</f>
        <v>#VALUE!</v>
      </c>
      <c r="E17" s="1491"/>
    </row>
    <row r="18" spans="1:5" ht="15.6">
      <c r="A18" s="1491"/>
      <c r="B18" s="3482"/>
      <c r="C18" s="1495" t="s">
        <v>912</v>
      </c>
      <c r="D18" s="859" t="str">
        <f>结果表!H110</f>
        <v>——</v>
      </c>
      <c r="E18" s="1491"/>
    </row>
    <row r="19" spans="1:5" ht="15.6">
      <c r="A19" s="1491"/>
      <c r="B19" s="3473" t="str">
        <f>结果表!E111</f>
        <v>——</v>
      </c>
      <c r="C19" s="1499" t="s">
        <v>910</v>
      </c>
      <c r="D19" s="851" t="str">
        <f>结果表!H111</f>
        <v>——</v>
      </c>
      <c r="E19" s="1491"/>
    </row>
    <row r="20" spans="1:5" ht="15.6">
      <c r="A20" s="1491"/>
      <c r="B20" s="3474"/>
      <c r="C20" s="1494" t="s">
        <v>923</v>
      </c>
      <c r="D20" s="850" t="e">
        <f>NUMBERSTRING(INT(D19*10000),2)&amp;"元整"</f>
        <v>#VALUE!</v>
      </c>
      <c r="E20" s="1491"/>
    </row>
    <row r="21" spans="1:5" ht="16.2" thickBot="1">
      <c r="A21" s="1491"/>
      <c r="B21" s="3475"/>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25808</v>
      </c>
      <c r="C2" s="2" t="s">
        <v>106</v>
      </c>
      <c r="D2" s="199"/>
      <c r="E2" s="199"/>
      <c r="F2" s="199"/>
      <c r="G2" s="199"/>
    </row>
    <row r="3" spans="1:7" s="200" customFormat="1" ht="18" customHeight="1" thickBot="1">
      <c r="A3" s="203" t="s">
        <v>58</v>
      </c>
      <c r="B3" s="204">
        <f ca="1">ROUND(B2*10000/'数据-汇总表'!E3,0)</f>
        <v>4511888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57.2</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57.2</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1652</v>
      </c>
      <c r="D22" s="235">
        <f ca="1">C26</f>
        <v>4.0000000000000002E-4</v>
      </c>
      <c r="E22" s="236" t="s">
        <v>99</v>
      </c>
      <c r="F22" s="237">
        <f ca="1">'数据-取费表'!B40</f>
        <v>5.2499999999999998E-2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1644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8</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6.4">
      <c r="A27" s="777" t="s">
        <v>342</v>
      </c>
      <c r="B27" s="244" t="s">
        <v>85</v>
      </c>
      <c r="C27" s="245">
        <f>C28</f>
        <v>1665</v>
      </c>
      <c r="D27" s="235">
        <f>C29</f>
        <v>8.0000000000000004E-4</v>
      </c>
      <c r="E27" s="236" t="s">
        <v>99</v>
      </c>
      <c r="F27" s="246">
        <f>'数据-取费表'!Q16</f>
        <v>0.08</v>
      </c>
      <c r="G27" s="247" t="s">
        <v>431</v>
      </c>
    </row>
    <row r="28" spans="1:7" s="214" customFormat="1" ht="13.5" customHeight="1">
      <c r="A28" s="780" t="s">
        <v>349</v>
      </c>
      <c r="B28" s="248" t="s">
        <v>424</v>
      </c>
      <c r="C28" s="249">
        <f>ROUND((C5+C19+C20)*F27*'数据-取费表'!B21/'数据-取费表'!B20,0)</f>
        <v>1665</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25799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0.03</v>
      </c>
      <c r="G36" s="260" t="s">
        <v>35</v>
      </c>
    </row>
    <row r="37" spans="1:7" s="258" customFormat="1" ht="13.5" customHeight="1">
      <c r="A37" s="780" t="s">
        <v>353</v>
      </c>
      <c r="B37" s="215" t="s">
        <v>91</v>
      </c>
      <c r="C37" s="249">
        <f>ROUND(E37*D37*F34/10000,0)</f>
        <v>1</v>
      </c>
      <c r="D37" s="217">
        <f>'数据-汇总表'!E3</f>
        <v>57.2</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0</v>
      </c>
      <c r="D41" s="235">
        <f ca="1">C44</f>
        <v>4.0000000000000002E-4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0</v>
      </c>
      <c r="D42" s="238"/>
      <c r="E42" s="238"/>
      <c r="F42" s="239"/>
      <c r="G42" s="3655" t="s">
        <v>94</v>
      </c>
    </row>
    <row r="43" spans="1:7" ht="13.5" customHeight="1">
      <c r="A43" s="780" t="s">
        <v>347</v>
      </c>
      <c r="B43" s="215" t="s">
        <v>426</v>
      </c>
      <c r="C43" s="238">
        <f ca="1">ROUND(IF('数据-取费表'!B22&lt;=1,C39*F22*'数据-取费表'!B21/2,C39*(POWER((1+F22),'数据-取费表'!B21/2)-1)),0)</f>
        <v>0</v>
      </c>
      <c r="D43" s="238"/>
      <c r="E43" s="238"/>
      <c r="F43" s="239"/>
      <c r="G43" s="3656"/>
    </row>
    <row r="44" spans="1:7" ht="13.5" customHeight="1">
      <c r="A44" s="780" t="s">
        <v>348</v>
      </c>
      <c r="B44" s="215" t="s">
        <v>428</v>
      </c>
      <c r="C44" s="238">
        <f ca="1">ROUND(IF('数据-取费表'!B22&lt;=1,C40*F22*'数据-取费表'!B21/2,C40*(POWER((1+F22),'数据-取费表'!B21/2)-1)),4)</f>
        <v>4.0000000000000002E-4</v>
      </c>
      <c r="D44" s="238"/>
      <c r="E44" s="238"/>
      <c r="F44" s="239"/>
      <c r="G44" s="3657"/>
    </row>
    <row r="45" spans="1:7" s="214" customFormat="1" ht="13.5" customHeight="1">
      <c r="A45" s="777" t="s">
        <v>341</v>
      </c>
      <c r="B45" s="244" t="s">
        <v>85</v>
      </c>
      <c r="C45" s="245">
        <f>C46</f>
        <v>1</v>
      </c>
      <c r="D45" s="235">
        <f>C47</f>
        <v>8.0000000000000004E-4</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8.0000000000000004E-4</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9</v>
      </c>
      <c r="D51" s="232"/>
      <c r="E51" s="232"/>
      <c r="F51" s="264"/>
      <c r="G51" s="234" t="s">
        <v>37</v>
      </c>
    </row>
    <row r="52" spans="1:7" s="208" customFormat="1" ht="16.8" thickBot="1">
      <c r="A52" s="265" t="s">
        <v>38</v>
      </c>
      <c r="B52" s="266"/>
      <c r="C52" s="267">
        <f ca="1">C31+C51</f>
        <v>25808</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99" t="s">
        <v>2839</v>
      </c>
      <c r="B1" s="3799"/>
      <c r="C1" s="3799"/>
      <c r="D1" s="3799"/>
      <c r="E1" s="3799"/>
      <c r="F1" s="3799"/>
      <c r="G1" s="380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9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79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1" t="s">
        <v>3181</v>
      </c>
      <c r="B1" s="3801"/>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42235</v>
      </c>
      <c r="B1" s="3210" t="s">
        <v>3371</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804" t="s">
        <v>2827</v>
      </c>
      <c r="S24" s="3805"/>
      <c r="T24" s="3805"/>
      <c r="U24" s="3805"/>
      <c r="V24" s="3805"/>
      <c r="W24" s="3805"/>
      <c r="X24" s="3165"/>
      <c r="Y24" s="3804" t="s">
        <v>2828</v>
      </c>
      <c r="Z24" s="3805"/>
      <c r="AA24" s="3805"/>
      <c r="AB24" s="3805"/>
      <c r="AC24" s="3805"/>
      <c r="AD24" s="3805"/>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42235</v>
      </c>
      <c r="D1" s="1302" t="s">
        <v>603</v>
      </c>
      <c r="E1" s="1297">
        <f>'数据-取费表'!B22</f>
        <v>1.5</v>
      </c>
      <c r="F1" s="1302" t="s">
        <v>604</v>
      </c>
      <c r="G1" s="1298">
        <f ca="1">INDIRECT("d"&amp;$K$1)/100</f>
        <v>5.2499999999999998E-2</v>
      </c>
      <c r="H1" s="1302" t="s">
        <v>634</v>
      </c>
      <c r="I1" s="1298">
        <f ca="1">F4/100</f>
        <v>0.02</v>
      </c>
      <c r="J1" s="1303">
        <f>IF(C1&gt;C13,0,MATCH(C1,C$13:C$113,-1))+IF(SUMIF(C13:C113,C1,D13:D113)=0,13,12)</f>
        <v>28</v>
      </c>
      <c r="K1" s="1303">
        <f>MATCH(E1,C3:C7,1)+IF(SUMIF(C3:C7,E1,D3:D7)=0,2,1)</f>
        <v>5</v>
      </c>
      <c r="L1" s="1303">
        <f>IF(C1&gt;M13,0,MATCH(C1,M$13:M$100,-1))+IF(SUMIF(M13:M100,C1,N13:N100)=0,13,12)</f>
        <v>15</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4.8499999999999996</v>
      </c>
      <c r="E3" s="1246">
        <v>0.5</v>
      </c>
      <c r="F3" s="1247">
        <f ca="1">INDIRECT("p"&amp;$L$1)</f>
        <v>1.8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4.8499999999999996</v>
      </c>
      <c r="E4" s="1252">
        <v>1</v>
      </c>
      <c r="F4" s="1253">
        <f ca="1">INDIRECT("q"&amp;$L$1)</f>
        <v>2</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5.25</v>
      </c>
      <c r="E5" s="1252">
        <v>2</v>
      </c>
      <c r="F5" s="1253">
        <f ca="1">INDIRECT("r"&amp;$L$1)</f>
        <v>2.6</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5.25</v>
      </c>
      <c r="E6" s="1252">
        <v>3</v>
      </c>
      <c r="F6" s="1253">
        <f ca="1">INDIRECT("s"&amp;$L$1)</f>
        <v>3.25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5.4</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3" t="str">
        <f>IF(项目基本情况!B9="房地产市场价值","估价结果一览表","结果表-2")</f>
        <v>估价结果一览表</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房地产市场价值</v>
      </c>
      <c r="I2" s="3484"/>
    </row>
    <row r="3" spans="1:9" ht="15.6">
      <c r="A3" s="3485"/>
      <c r="B3" s="3485"/>
      <c r="C3" s="3485"/>
      <c r="D3" s="854" t="s">
        <v>925</v>
      </c>
      <c r="E3" s="854" t="s">
        <v>931</v>
      </c>
      <c r="F3" s="854" t="s">
        <v>925</v>
      </c>
      <c r="G3" s="854" t="s">
        <v>926</v>
      </c>
      <c r="H3" s="854" t="s">
        <v>925</v>
      </c>
      <c r="I3" s="854" t="s">
        <v>926</v>
      </c>
    </row>
    <row r="4" spans="1:9" ht="15">
      <c r="A4" s="1505" t="str">
        <f>项目基本情况!S2</f>
        <v>北京市房地产</v>
      </c>
      <c r="B4" s="854">
        <f>项目基本情况!C17</f>
        <v>57.2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5" t="s">
        <v>927</v>
      </c>
      <c r="B5" s="3485"/>
      <c r="C5" s="3485"/>
      <c r="D5" s="3485" t="e">
        <f ca="1">结果表!D119</f>
        <v>#REF!</v>
      </c>
      <c r="E5" s="3485"/>
      <c r="F5" s="3485" t="e">
        <f ca="1">结果表!F119</f>
        <v>#REF!</v>
      </c>
      <c r="G5" s="3485"/>
      <c r="H5" s="3485" t="e">
        <f ca="1">结果表!H119</f>
        <v>#REF!</v>
      </c>
      <c r="I5" s="3485"/>
    </row>
    <row r="6" spans="1:9" ht="15.6">
      <c r="A6" s="3486" t="str">
        <f>结果表!A120</f>
        <v/>
      </c>
      <c r="B6" s="3486"/>
      <c r="C6" s="3486"/>
      <c r="D6" s="3486">
        <f>结果表!D120</f>
        <v>0</v>
      </c>
      <c r="E6" s="3486"/>
      <c r="F6" s="3486"/>
      <c r="G6" s="3486"/>
      <c r="H6" s="3486"/>
      <c r="I6" s="3486"/>
    </row>
    <row r="7" spans="1:9" ht="15">
      <c r="A7" s="3485" t="s">
        <v>927</v>
      </c>
      <c r="B7" s="3485"/>
      <c r="C7" s="3485"/>
      <c r="D7" s="3487" t="str">
        <f>结果表!D121</f>
        <v>零元整</v>
      </c>
      <c r="E7" s="3488"/>
      <c r="F7" s="3488"/>
      <c r="G7" s="3488"/>
      <c r="H7" s="3488"/>
      <c r="I7" s="3489"/>
    </row>
    <row r="8" spans="1:9" ht="15.6">
      <c r="A8" s="3486" t="str">
        <f>结果表!A122</f>
        <v/>
      </c>
      <c r="B8" s="3486"/>
      <c r="C8" s="3486"/>
      <c r="D8" s="3486" t="e">
        <f ca="1">结果表!D122</f>
        <v>#REF!</v>
      </c>
      <c r="E8" s="3486"/>
      <c r="F8" s="3486"/>
      <c r="G8" s="3486"/>
      <c r="H8" s="3486"/>
      <c r="I8" s="3486"/>
    </row>
    <row r="9" spans="1:9" ht="15">
      <c r="A9" s="3485" t="s">
        <v>927</v>
      </c>
      <c r="B9" s="3485"/>
      <c r="C9" s="3485"/>
      <c r="D9" s="3485" t="e">
        <f ca="1">结果表!D123</f>
        <v>#REF!</v>
      </c>
      <c r="E9" s="3485"/>
      <c r="F9" s="3485"/>
      <c r="G9" s="3485"/>
      <c r="H9" s="3485"/>
      <c r="I9" s="3485"/>
    </row>
    <row r="10" spans="1:9" ht="15.6">
      <c r="A10" s="3486" t="str">
        <f>结果表!A124</f>
        <v/>
      </c>
      <c r="B10" s="3486"/>
      <c r="C10" s="3486"/>
      <c r="D10" s="3486" t="str">
        <f>结果表!D124</f>
        <v>——</v>
      </c>
      <c r="E10" s="3486"/>
      <c r="F10" s="3486"/>
      <c r="G10" s="3486"/>
      <c r="H10" s="3486"/>
      <c r="I10" s="3486"/>
    </row>
    <row r="11" spans="1:9" ht="15">
      <c r="A11" s="3485" t="s">
        <v>927</v>
      </c>
      <c r="B11" s="3485"/>
      <c r="C11" s="3485"/>
      <c r="D11" s="3485" t="e">
        <f>结果表!D125</f>
        <v>#VALUE!</v>
      </c>
      <c r="E11" s="3485"/>
      <c r="F11" s="3485"/>
      <c r="G11" s="3485"/>
      <c r="H11" s="3485"/>
      <c r="I11" s="3485"/>
    </row>
    <row r="12" spans="1:9" ht="15.6">
      <c r="A12" s="3486" t="str">
        <f>结果表!A126</f>
        <v/>
      </c>
      <c r="B12" s="3486"/>
      <c r="C12" s="3486"/>
      <c r="D12" s="3486" t="str">
        <f>结果表!D126</f>
        <v>——</v>
      </c>
      <c r="E12" s="3486"/>
      <c r="F12" s="3486"/>
      <c r="G12" s="3486"/>
      <c r="H12" s="3486"/>
      <c r="I12" s="3486"/>
    </row>
    <row r="13" spans="1:9" ht="15.6" thickBot="1">
      <c r="A13" s="3490" t="s">
        <v>927</v>
      </c>
      <c r="B13" s="3490"/>
      <c r="C13" s="3490"/>
      <c r="D13" s="3490" t="e">
        <f>结果表!D127</f>
        <v>#VALUE!</v>
      </c>
      <c r="E13" s="3490"/>
      <c r="F13" s="3490"/>
      <c r="G13" s="3490"/>
      <c r="H13" s="3490"/>
      <c r="I13" s="3490"/>
    </row>
    <row r="14" spans="1:9" ht="14.4" thickTop="1">
      <c r="A14" s="3491" t="s">
        <v>932</v>
      </c>
      <c r="B14" s="3491"/>
      <c r="C14" s="3491"/>
      <c r="D14" s="3491"/>
      <c r="E14" s="3491"/>
      <c r="F14" s="3491"/>
      <c r="G14" s="3491"/>
      <c r="H14" s="3491"/>
      <c r="I14" s="3491"/>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2" t="s">
        <v>949</v>
      </c>
      <c r="B1" s="3492"/>
      <c r="C1" s="3492"/>
      <c r="D1" s="3492"/>
    </row>
    <row r="2" spans="1:4" ht="17.399999999999999">
      <c r="A2" s="3493" t="s">
        <v>933</v>
      </c>
      <c r="B2" s="3493"/>
      <c r="C2" s="3493"/>
      <c r="D2" s="349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3" t="s">
        <v>939</v>
      </c>
      <c r="B6" s="3493"/>
      <c r="C6" s="3493"/>
      <c r="D6" s="349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4" t="s">
        <v>942</v>
      </c>
      <c r="B11" s="3495"/>
      <c r="C11" s="3495"/>
      <c r="D11" s="3495"/>
    </row>
    <row r="12" spans="1:4" ht="15.6">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6"/>
      <c r="C12" s="3496"/>
      <c r="D12" s="3496"/>
    </row>
    <row r="13" spans="1:4" ht="30" customHeight="1">
      <c r="A13" s="3495" t="str">
        <f>IF(项目基本情况!B8="抵押","3.抵押双方在办理抵押登记手续时，应使用本公司出具的正式《房地产评估报告》，特提醒报告使用者注意。","——")</f>
        <v>——</v>
      </c>
      <c r="B13" s="3496"/>
      <c r="C13" s="3496"/>
      <c r="D13" s="3496"/>
    </row>
    <row r="14" spans="1:4" ht="15.75" customHeight="1">
      <c r="A14" s="3495" t="str">
        <f>IF(项目基本情况!B8="抵押","4.本次评估估价师所知悉的法定优先受偿款情况说明如下：","——")</f>
        <v>——</v>
      </c>
      <c r="B14" s="3496"/>
      <c r="C14" s="3496"/>
      <c r="D14" s="3496"/>
    </row>
    <row r="15" spans="1:4" ht="42" customHeight="1">
      <c r="A15" s="3495" t="str">
        <f>IF(项目基本情况!B8="抵押","（1）"&amp;CONCATENATE(项目基本情况!L20,项目基本情况!L21,项目基本情况!L22),"——")</f>
        <v>——</v>
      </c>
      <c r="B15" s="3495"/>
      <c r="C15" s="3495"/>
      <c r="D15" s="3495"/>
    </row>
    <row r="16" spans="1:4" ht="30" customHeight="1">
      <c r="A16" s="3498" t="s">
        <v>943</v>
      </c>
      <c r="B16" s="3498"/>
      <c r="C16" s="3498"/>
      <c r="D16" s="3498"/>
    </row>
    <row r="17" spans="1:4" ht="144" customHeight="1">
      <c r="A17" s="3498" t="s">
        <v>944</v>
      </c>
      <c r="B17" s="3498"/>
      <c r="C17" s="3498"/>
      <c r="D17" s="3498"/>
    </row>
    <row r="18" spans="1:4" ht="15.75" customHeight="1">
      <c r="A18" s="3495" t="str">
        <f>IF(项目基本情况!B8="抵押",结果表!K120,"——")</f>
        <v>——</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945</v>
      </c>
      <c r="B22" s="3500"/>
      <c r="C22" s="3500"/>
      <c r="D22" s="350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7">
        <v>42551</v>
      </c>
      <c r="D31" s="34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6" t="s">
        <v>956</v>
      </c>
      <c r="B15" s="3501" t="s">
        <v>109</v>
      </c>
      <c r="C15" s="3502"/>
    </row>
    <row r="16" spans="1:7" ht="14.4">
      <c r="A16" s="3507"/>
      <c r="B16" s="3501" t="s">
        <v>42</v>
      </c>
      <c r="C16" s="3502"/>
    </row>
    <row r="17" spans="1:3" ht="14.4">
      <c r="A17" s="3507"/>
      <c r="B17" s="3504" t="s">
        <v>957</v>
      </c>
      <c r="C17" s="1532" t="s">
        <v>956</v>
      </c>
    </row>
    <row r="18" spans="1:3" ht="14.4">
      <c r="A18" s="3507"/>
      <c r="B18" s="3504"/>
      <c r="C18" s="1532" t="s">
        <v>958</v>
      </c>
    </row>
    <row r="19" spans="1:3" ht="14.4">
      <c r="A19" s="3507"/>
      <c r="B19" s="3504"/>
      <c r="C19" s="1532" t="s">
        <v>959</v>
      </c>
    </row>
    <row r="20" spans="1:3" ht="14.4">
      <c r="A20" s="3508"/>
      <c r="B20" s="3503" t="s">
        <v>960</v>
      </c>
      <c r="C20" s="3502"/>
    </row>
    <row r="21" spans="1:3" ht="14.4">
      <c r="A21" s="1533" t="s">
        <v>961</v>
      </c>
      <c r="B21" s="1534"/>
      <c r="C21" s="1535"/>
    </row>
    <row r="22" spans="1:3" ht="14.4">
      <c r="A22" s="3505" t="s">
        <v>962</v>
      </c>
      <c r="B22" s="3503" t="s">
        <v>963</v>
      </c>
      <c r="C22" s="3502"/>
    </row>
    <row r="23" spans="1:3" ht="14.4">
      <c r="A23" s="3505"/>
      <c r="B23" s="3503" t="s">
        <v>964</v>
      </c>
      <c r="C23" s="3502"/>
    </row>
    <row r="24" spans="1:3" ht="14.4">
      <c r="A24" s="3505"/>
      <c r="B24" s="3503" t="s">
        <v>965</v>
      </c>
      <c r="C24" s="3502"/>
    </row>
    <row r="25" spans="1:3" ht="14.4">
      <c r="A25" s="3505"/>
      <c r="B25" s="3504" t="s">
        <v>966</v>
      </c>
      <c r="C25" s="1532" t="s">
        <v>967</v>
      </c>
    </row>
    <row r="26" spans="1:3" ht="14.4">
      <c r="A26" s="3505"/>
      <c r="B26" s="3504"/>
      <c r="C26" s="1532" t="s">
        <v>968</v>
      </c>
    </row>
    <row r="27" spans="1:3" ht="14.4">
      <c r="A27" s="3505"/>
      <c r="B27" s="3504"/>
      <c r="C27" s="1532" t="s">
        <v>969</v>
      </c>
    </row>
    <row r="28" spans="1:3" ht="14.4">
      <c r="A28" s="3505"/>
      <c r="B28" s="3504"/>
      <c r="C28" s="1532" t="s">
        <v>970</v>
      </c>
    </row>
    <row r="29" spans="1:3" ht="14.4">
      <c r="A29" s="3505"/>
      <c r="B29" s="3504"/>
      <c r="C29" s="1532" t="s">
        <v>971</v>
      </c>
    </row>
    <row r="30" spans="1:3" ht="14.4">
      <c r="A30" s="3505"/>
      <c r="B30" s="3504"/>
      <c r="C30" s="1532" t="s">
        <v>972</v>
      </c>
    </row>
    <row r="31" spans="1:3" ht="14.4">
      <c r="A31" s="3505"/>
      <c r="B31" s="3504"/>
      <c r="C31" s="1532" t="s">
        <v>973</v>
      </c>
    </row>
    <row r="32" spans="1:3" ht="14.4">
      <c r="A32" s="3505"/>
      <c r="B32" s="3504"/>
      <c r="C32" s="1532" t="s">
        <v>974</v>
      </c>
    </row>
    <row r="33" spans="1:3" ht="14.4">
      <c r="A33" s="3505"/>
      <c r="B33" s="3504"/>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46016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9" t="s">
        <v>2159</v>
      </c>
      <c r="B17" s="3509"/>
      <c r="C17" s="3509"/>
      <c r="D17" s="3509"/>
      <c r="E17" s="3509"/>
      <c r="F17" s="3509"/>
      <c r="G17" s="3509"/>
      <c r="H17" s="3509"/>
    </row>
    <row r="18" spans="1:8" ht="24" customHeight="1">
      <c r="A18" s="3510" t="s">
        <v>2160</v>
      </c>
      <c r="B18" s="3510"/>
      <c r="C18" s="3510"/>
      <c r="D18" s="2343"/>
      <c r="E18" s="3511" t="s">
        <v>2161</v>
      </c>
      <c r="F18" s="3510"/>
      <c r="G18" s="3510"/>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角门东里</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2025-12-25T02:53:04Z</dcterms:modified>
</cp:coreProperties>
</file>