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6" r:id="rId14"/>
    <sheet name="数据-汇总表" sheetId="6" r:id="rId15"/>
    <sheet name="数据-取费表" sheetId="1" r:id="rId16"/>
    <sheet name="估价对象房地状况" sheetId="20" state="hidden" r:id="rId17"/>
    <sheet name="二期一标" sheetId="77" r:id="rId18"/>
    <sheet name="二期二标" sheetId="78" r:id="rId19"/>
    <sheet name="系统读取表" sheetId="74" r:id="rId20"/>
    <sheet name="结果表" sheetId="9" r:id="rId21"/>
    <sheet name="成本法" sheetId="68" r:id="rId22"/>
    <sheet name="成本法 (元)" sheetId="69" state="hidden" r:id="rId23"/>
    <sheet name="土地比较法-住宅、综合" sheetId="39" r:id="rId24"/>
    <sheet name="土地案例" sheetId="80" r:id="rId25"/>
    <sheet name="选取案例" sheetId="81" r:id="rId26"/>
    <sheet name="假设开发法" sheetId="12" r:id="rId27"/>
    <sheet name="收益法（汇总）" sheetId="70" state="hidden" r:id="rId28"/>
    <sheet name="收益法（办公）" sheetId="15"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酒店）" sheetId="85" state="hidden" r:id="rId50"/>
    <sheet name="办公租金" sheetId="84" r:id="rId51"/>
    <sheet name="收益法（地下车库）" sheetId="83" r:id="rId52"/>
    <sheet name="Sheet3" sheetId="79"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7" hidden="1">二期一标!$A$1:$I$35</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'收益法（办公）'!$A$1:$AK$69</definedName>
    <definedName name="_xlnm.Print_Area" localSheetId="51">'收益法（地下车库）'!$A$1:$AK$69</definedName>
    <definedName name="_xlnm.Print_Area" localSheetId="49">'收益法（酒店）'!$A$1:$AK$69</definedName>
    <definedName name="_xlnm.Print_Area" localSheetId="14">'数据-汇总表'!$A$1:$P$32</definedName>
    <definedName name="_xlnm.Print_Titles" localSheetId="18">二期二标!$1:$3</definedName>
    <definedName name="_xlnm.Print_Titles" localSheetId="17">二期一标!$1:$3</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基准地价修正!$Q$19:$AD$19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15" i="74" l="1"/>
  <c r="B15" i="74"/>
  <c r="AL13" i="3"/>
  <c r="M13" i="3"/>
  <c r="I13" i="3"/>
  <c r="I8" i="86"/>
  <c r="H8" i="86"/>
  <c r="G8" i="86"/>
  <c r="C8" i="86"/>
  <c r="J7" i="86"/>
  <c r="F7" i="86"/>
  <c r="E7" i="86"/>
  <c r="D7" i="86"/>
  <c r="K6" i="86"/>
  <c r="K8" i="86"/>
  <c r="J6" i="86"/>
  <c r="J8" i="86"/>
  <c r="F6" i="86"/>
  <c r="F8" i="86"/>
  <c r="E6" i="86"/>
  <c r="E8" i="86"/>
  <c r="D6" i="86"/>
  <c r="D8" i="86"/>
  <c r="I46" i="39"/>
  <c r="G46" i="39"/>
  <c r="E46" i="39"/>
  <c r="I38" i="39"/>
  <c r="G38" i="39"/>
  <c r="E38" i="39"/>
  <c r="I6" i="39"/>
  <c r="G6" i="39"/>
  <c r="E6" i="39"/>
  <c r="I5" i="39"/>
  <c r="G5" i="39"/>
  <c r="E5" i="39"/>
  <c r="O30" i="77"/>
  <c r="Q72" i="85"/>
  <c r="F60" i="85"/>
  <c r="Q59" i="85"/>
  <c r="K59" i="85"/>
  <c r="P74" i="85"/>
  <c r="F59" i="85"/>
  <c r="Q58" i="85"/>
  <c r="Q51" i="85"/>
  <c r="J50" i="85"/>
  <c r="J51" i="85"/>
  <c r="M47" i="85"/>
  <c r="D46" i="85"/>
  <c r="F33" i="85"/>
  <c r="F61" i="85"/>
  <c r="F32" i="85"/>
  <c r="F31" i="85"/>
  <c r="F28" i="85"/>
  <c r="C28" i="85"/>
  <c r="F23" i="85"/>
  <c r="F21" i="85"/>
  <c r="F20" i="85"/>
  <c r="M19" i="85"/>
  <c r="M18" i="85"/>
  <c r="F18" i="85"/>
  <c r="M17" i="85"/>
  <c r="F17" i="85"/>
  <c r="F15" i="85"/>
  <c r="G1" i="85"/>
  <c r="Q72" i="83"/>
  <c r="F60" i="83"/>
  <c r="Q59" i="83"/>
  <c r="K59" i="83"/>
  <c r="P74" i="83"/>
  <c r="F59" i="83"/>
  <c r="Q58" i="83"/>
  <c r="Q51" i="83"/>
  <c r="J50" i="83"/>
  <c r="J51" i="83"/>
  <c r="M47" i="83"/>
  <c r="D46" i="83"/>
  <c r="F33" i="83"/>
  <c r="F61" i="83"/>
  <c r="F32" i="83"/>
  <c r="F31" i="83"/>
  <c r="F28" i="83"/>
  <c r="C28" i="83"/>
  <c r="F23" i="83"/>
  <c r="F21" i="83"/>
  <c r="F20" i="83"/>
  <c r="M19" i="83"/>
  <c r="M18" i="83"/>
  <c r="F18" i="83"/>
  <c r="M17" i="83"/>
  <c r="F17" i="83"/>
  <c r="F15" i="83"/>
  <c r="G1" i="83"/>
  <c r="O32" i="77"/>
  <c r="F6" i="85"/>
  <c r="F37" i="85"/>
  <c r="F16" i="85"/>
  <c r="M23" i="85"/>
  <c r="M27" i="85"/>
  <c r="F6" i="83"/>
  <c r="F16" i="83"/>
  <c r="F26" i="85"/>
  <c r="M9" i="85"/>
  <c r="M9" i="83"/>
  <c r="F65" i="85"/>
  <c r="C27" i="85"/>
  <c r="D23" i="85"/>
  <c r="D22" i="85"/>
  <c r="D24" i="85"/>
  <c r="P61" i="85"/>
  <c r="D23" i="83"/>
  <c r="D22" i="83"/>
  <c r="D24" i="83"/>
  <c r="P61" i="83"/>
  <c r="L48" i="85"/>
  <c r="M26" i="85"/>
  <c r="M28" i="83"/>
  <c r="M23" i="83"/>
  <c r="M6" i="83"/>
  <c r="M24" i="85"/>
  <c r="L47" i="85"/>
  <c r="L48" i="83"/>
  <c r="F36" i="83"/>
  <c r="F40" i="85"/>
  <c r="C76" i="85"/>
  <c r="J15" i="85"/>
  <c r="F9" i="83"/>
  <c r="F37" i="83"/>
  <c r="M26" i="83"/>
  <c r="F8" i="85"/>
  <c r="M28" i="85"/>
  <c r="C76" i="83"/>
  <c r="J15" i="83"/>
  <c r="F13" i="83"/>
  <c r="M8" i="85"/>
  <c r="M27" i="83"/>
  <c r="F42" i="85"/>
  <c r="F38" i="85"/>
  <c r="M8" i="83"/>
  <c r="F26" i="83"/>
  <c r="F13" i="85"/>
  <c r="F9" i="85"/>
  <c r="F42" i="83"/>
  <c r="F38" i="83"/>
  <c r="F8" i="83"/>
  <c r="F40" i="83"/>
  <c r="M6" i="85"/>
  <c r="M22" i="85"/>
  <c r="L47" i="83"/>
  <c r="M24" i="83"/>
  <c r="F36" i="85"/>
  <c r="M22" i="83"/>
  <c r="F66" i="85"/>
  <c r="N59" i="85"/>
  <c r="L58" i="85"/>
  <c r="M59" i="85"/>
  <c r="L59" i="85"/>
  <c r="Q71" i="85"/>
  <c r="F64" i="85"/>
  <c r="F51" i="85"/>
  <c r="F68" i="85"/>
  <c r="L57" i="85"/>
  <c r="L56" i="85"/>
  <c r="J57" i="85"/>
  <c r="J55" i="85"/>
  <c r="J58" i="85"/>
  <c r="Q50" i="85"/>
  <c r="J53" i="85"/>
  <c r="I54" i="85"/>
  <c r="L60" i="85"/>
  <c r="C27" i="83"/>
  <c r="F64" i="83"/>
  <c r="F51" i="83"/>
  <c r="F68" i="83"/>
  <c r="L57" i="83"/>
  <c r="L56" i="83"/>
  <c r="I54" i="83"/>
  <c r="J57" i="83"/>
  <c r="J55" i="83"/>
  <c r="J58" i="83"/>
  <c r="Q50" i="83"/>
  <c r="J53" i="83"/>
  <c r="L60" i="83"/>
  <c r="F65" i="83"/>
  <c r="F66" i="83"/>
  <c r="N59" i="83"/>
  <c r="L58" i="83"/>
  <c r="M59" i="83"/>
  <c r="L59" i="83"/>
  <c r="Q71" i="83"/>
  <c r="Q60" i="85"/>
  <c r="Q73" i="85"/>
  <c r="Q66" i="85"/>
  <c r="Q57" i="85"/>
  <c r="F1" i="85"/>
  <c r="Q52" i="85"/>
  <c r="Q61" i="85"/>
  <c r="Q74" i="85"/>
  <c r="Q61" i="83"/>
  <c r="Q74" i="83"/>
  <c r="Q66" i="83"/>
  <c r="Q57" i="83"/>
  <c r="F1" i="83"/>
  <c r="Q52" i="83"/>
  <c r="Q60" i="83"/>
  <c r="Q73" i="83"/>
  <c r="O26" i="77"/>
  <c r="O15" i="77"/>
  <c r="O4" i="77"/>
  <c r="G13" i="4"/>
  <c r="F13" i="4"/>
  <c r="G21" i="6"/>
  <c r="F20" i="6"/>
  <c r="F19" i="6"/>
  <c r="E71" i="39"/>
  <c r="F71" i="39"/>
  <c r="G71" i="39"/>
  <c r="H71" i="39"/>
  <c r="I71" i="39"/>
  <c r="J71" i="39"/>
  <c r="K71" i="39"/>
  <c r="L71" i="39"/>
  <c r="M71" i="39"/>
  <c r="N71" i="39"/>
  <c r="O71" i="39"/>
  <c r="D71" i="39"/>
  <c r="D75" i="39"/>
  <c r="C75" i="39"/>
  <c r="I7" i="39"/>
  <c r="G7" i="39"/>
  <c r="E7" i="39"/>
  <c r="F4" i="78"/>
  <c r="G4" i="78"/>
  <c r="E5" i="78"/>
  <c r="G5" i="78"/>
  <c r="H5" i="78"/>
  <c r="H4" i="78"/>
  <c r="E6" i="78"/>
  <c r="G6" i="78"/>
  <c r="H6" i="78"/>
  <c r="I6" i="78"/>
  <c r="J6" i="78"/>
  <c r="E7" i="78"/>
  <c r="G7" i="78"/>
  <c r="H7" i="78"/>
  <c r="I7" i="78"/>
  <c r="J7" i="78"/>
  <c r="E8" i="78"/>
  <c r="G8" i="78"/>
  <c r="I8" i="78"/>
  <c r="J8" i="78"/>
  <c r="E9" i="78"/>
  <c r="G9" i="78"/>
  <c r="I9" i="78"/>
  <c r="J9" i="78"/>
  <c r="D10" i="78"/>
  <c r="D4" i="78"/>
  <c r="G10" i="78"/>
  <c r="I10" i="78"/>
  <c r="E11" i="78"/>
  <c r="G11" i="78"/>
  <c r="H11" i="78"/>
  <c r="I11" i="78"/>
  <c r="E12" i="78"/>
  <c r="G12" i="78"/>
  <c r="I12" i="78"/>
  <c r="E13" i="78"/>
  <c r="G13" i="78"/>
  <c r="I13" i="78"/>
  <c r="C14" i="78"/>
  <c r="D14" i="78"/>
  <c r="E14" i="78"/>
  <c r="J16" i="78"/>
  <c r="J18" i="78"/>
  <c r="E25" i="78"/>
  <c r="D25" i="78"/>
  <c r="G25" i="78"/>
  <c r="F23" i="78"/>
  <c r="F14" i="78"/>
  <c r="I25" i="78"/>
  <c r="H25" i="78"/>
  <c r="C29" i="78"/>
  <c r="E29" i="78"/>
  <c r="D29" i="78"/>
  <c r="G29" i="78"/>
  <c r="F29" i="78"/>
  <c r="I29" i="78"/>
  <c r="H29" i="78"/>
  <c r="F4" i="77"/>
  <c r="G4" i="77"/>
  <c r="E5" i="77"/>
  <c r="G5" i="77"/>
  <c r="H5" i="77"/>
  <c r="I5" i="77"/>
  <c r="E6" i="77"/>
  <c r="G6" i="77"/>
  <c r="H6" i="77"/>
  <c r="I6" i="77"/>
  <c r="J6" i="77"/>
  <c r="E7" i="77"/>
  <c r="G7" i="77"/>
  <c r="H7" i="77"/>
  <c r="I7" i="77"/>
  <c r="J7" i="77"/>
  <c r="E8" i="77"/>
  <c r="G8" i="77"/>
  <c r="H8" i="77"/>
  <c r="I8" i="77"/>
  <c r="J8" i="77"/>
  <c r="E9" i="77"/>
  <c r="G9" i="77"/>
  <c r="H9" i="77"/>
  <c r="I9" i="77"/>
  <c r="J9" i="77"/>
  <c r="D10" i="77"/>
  <c r="E10" i="77"/>
  <c r="G10" i="77"/>
  <c r="H10" i="77"/>
  <c r="I10" i="77"/>
  <c r="E11" i="77"/>
  <c r="G11" i="77"/>
  <c r="I11" i="77"/>
  <c r="E12" i="77"/>
  <c r="G12" i="77"/>
  <c r="H12" i="77"/>
  <c r="I12" i="77"/>
  <c r="E13" i="77"/>
  <c r="G13" i="77"/>
  <c r="H13" i="77"/>
  <c r="I13" i="77"/>
  <c r="E14" i="77"/>
  <c r="G14" i="77"/>
  <c r="I14" i="77"/>
  <c r="D15" i="77"/>
  <c r="E15" i="77"/>
  <c r="J17" i="77"/>
  <c r="D26" i="77"/>
  <c r="E26" i="77"/>
  <c r="F26" i="77"/>
  <c r="G26" i="77"/>
  <c r="H26" i="77"/>
  <c r="I26" i="77"/>
  <c r="C30" i="77"/>
  <c r="E30" i="77"/>
  <c r="D30" i="77"/>
  <c r="B5" i="4"/>
  <c r="B7" i="4"/>
  <c r="H23" i="78"/>
  <c r="H14" i="78"/>
  <c r="I14" i="78"/>
  <c r="H30" i="78"/>
  <c r="I4" i="78"/>
  <c r="G14" i="78"/>
  <c r="F30" i="78"/>
  <c r="D30" i="78"/>
  <c r="E30" i="78"/>
  <c r="E4" i="78"/>
  <c r="E32" i="78"/>
  <c r="I30" i="77"/>
  <c r="H30" i="77"/>
  <c r="G30" i="77"/>
  <c r="H4" i="77"/>
  <c r="D4" i="77"/>
  <c r="F25" i="78"/>
  <c r="E10" i="78"/>
  <c r="I5" i="78"/>
  <c r="AD5" i="71"/>
  <c r="AH5" i="71"/>
  <c r="AG5" i="71"/>
  <c r="AE5" i="71"/>
  <c r="AF5" i="71"/>
  <c r="Q5" i="71"/>
  <c r="P5" i="71"/>
  <c r="O5" i="71"/>
  <c r="N5" i="71"/>
  <c r="I4" i="77"/>
  <c r="H19" i="77"/>
  <c r="H31" i="78"/>
  <c r="I33" i="78"/>
  <c r="I30" i="78"/>
  <c r="E4" i="77"/>
  <c r="E33" i="77"/>
  <c r="D31" i="77"/>
  <c r="E31" i="77"/>
  <c r="D32" i="77"/>
  <c r="E34" i="77"/>
  <c r="F30" i="77"/>
  <c r="F24" i="77"/>
  <c r="F15" i="77"/>
  <c r="D31" i="78"/>
  <c r="E33" i="78"/>
  <c r="G30" i="78"/>
  <c r="G32" i="78"/>
  <c r="F31" i="78"/>
  <c r="G33" i="78"/>
  <c r="I32" i="78"/>
  <c r="F31" i="77"/>
  <c r="G15" i="77"/>
  <c r="J19" i="77"/>
  <c r="H24" i="77"/>
  <c r="H15" i="77"/>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74" i="67"/>
  <c r="D116" i="39"/>
  <c r="E116" i="39"/>
  <c r="F116" i="39"/>
  <c r="G116" i="39"/>
  <c r="H116" i="39"/>
  <c r="I116" i="39"/>
  <c r="J116" i="39"/>
  <c r="K116" i="39"/>
  <c r="L116" i="39"/>
  <c r="M116" i="39"/>
  <c r="C116" i="39"/>
  <c r="A21" i="62"/>
  <c r="B67" i="72"/>
  <c r="A20" i="62"/>
  <c r="B66" i="72"/>
  <c r="A22" i="51"/>
  <c r="B17" i="72"/>
  <c r="A21" i="51"/>
  <c r="B16" i="72"/>
  <c r="A20" i="51"/>
  <c r="B15" i="72"/>
  <c r="A14" i="62"/>
  <c r="A13" i="62"/>
  <c r="B59" i="72"/>
  <c r="A19" i="62"/>
  <c r="B65" i="72"/>
  <c r="A12" i="62"/>
  <c r="B58" i="72"/>
  <c r="A120" i="9"/>
  <c r="H2" i="52"/>
  <c r="A1" i="52"/>
  <c r="A3" i="53"/>
  <c r="Q11" i="71"/>
  <c r="P11" i="71"/>
  <c r="O11" i="71"/>
  <c r="N11"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c r="B29" i="72"/>
  <c r="A122" i="9"/>
  <c r="A8" i="52"/>
  <c r="B54" i="72"/>
  <c r="E111" i="9"/>
  <c r="B19" i="53"/>
  <c r="B37" i="72"/>
  <c r="A126" i="9"/>
  <c r="E109" i="9"/>
  <c r="A124" i="9"/>
  <c r="B44" i="72"/>
  <c r="B42" i="72"/>
  <c r="B69" i="72"/>
  <c r="B68" i="72"/>
  <c r="B63" i="72"/>
  <c r="B62" i="72"/>
  <c r="B60"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c r="F9" i="1"/>
  <c r="F10" i="1"/>
  <c r="F11" i="1"/>
  <c r="F12" i="1"/>
  <c r="F13" i="1"/>
  <c r="D6" i="1"/>
  <c r="D9" i="1"/>
  <c r="D10" i="1"/>
  <c r="G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R35" i="4"/>
  <c r="Q35" i="4"/>
  <c r="P35" i="4"/>
  <c r="O35" i="4"/>
  <c r="N35" i="4"/>
  <c r="M35" i="4"/>
  <c r="L35" i="4"/>
  <c r="K34" i="4"/>
  <c r="T34" i="4"/>
  <c r="G13" i="1"/>
  <c r="G11" i="1"/>
  <c r="I15" i="4"/>
  <c r="H15" i="4"/>
  <c r="G15" i="4"/>
  <c r="E15" i="4"/>
  <c r="D15" i="4"/>
  <c r="F7" i="1"/>
  <c r="L21" i="4"/>
  <c r="F19" i="4"/>
  <c r="F2" i="52"/>
  <c r="B50" i="72"/>
  <c r="D2" i="52"/>
  <c r="B46" i="72"/>
  <c r="B8" i="53"/>
  <c r="B23" i="72"/>
  <c r="L4" i="9"/>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J23" i="40"/>
  <c r="AC23" i="40"/>
  <c r="F21" i="40"/>
  <c r="AA21" i="40"/>
  <c r="J21" i="40"/>
  <c r="W21" i="40"/>
  <c r="H42" i="39"/>
  <c r="AB42" i="39"/>
  <c r="J34" i="39"/>
  <c r="AC34" i="39"/>
  <c r="J31" i="39"/>
  <c r="AC31" i="39"/>
  <c r="F101" i="39"/>
  <c r="H27" i="39"/>
  <c r="U27" i="39"/>
  <c r="J27" i="39"/>
  <c r="AC27" i="39"/>
  <c r="F27" i="39"/>
  <c r="S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F15" i="39"/>
  <c r="AA15" i="39"/>
  <c r="H15" i="39"/>
  <c r="U15" i="39"/>
  <c r="J15" i="39"/>
  <c r="W15" i="39"/>
  <c r="H41" i="39"/>
  <c r="AB41" i="39"/>
  <c r="AB34" i="39"/>
  <c r="W14" i="39"/>
  <c r="AA41" i="39"/>
  <c r="W9" i="39"/>
  <c r="W8" i="39"/>
  <c r="J19" i="40"/>
  <c r="AC19" i="40"/>
  <c r="J50" i="40"/>
  <c r="H103" i="9"/>
  <c r="D8" i="53"/>
  <c r="B16" i="53"/>
  <c r="B33" i="72"/>
  <c r="C7" i="37"/>
  <c r="C7" i="34"/>
  <c r="C7" i="36"/>
  <c r="W35" i="40"/>
  <c r="A118" i="9"/>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B12" i="1"/>
  <c r="E12" i="1"/>
  <c r="S10" i="1"/>
  <c r="AQ10" i="1"/>
  <c r="B10" i="1"/>
  <c r="E10" i="1"/>
  <c r="D1" i="66"/>
  <c r="E10" i="66"/>
  <c r="AZ80" i="3"/>
  <c r="AZ84" i="3"/>
  <c r="AZ88" i="3"/>
  <c r="AZ107" i="3"/>
  <c r="AZ111" i="3"/>
  <c r="K12" i="1"/>
  <c r="M12" i="1"/>
  <c r="O12" i="1"/>
  <c r="P12" i="1"/>
  <c r="S13" i="1"/>
  <c r="AR13" i="1"/>
  <c r="S11" i="1"/>
  <c r="AQ11" i="1"/>
  <c r="S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107" i="39"/>
  <c r="G107" i="39"/>
  <c r="H107" i="39"/>
  <c r="I107" i="39"/>
  <c r="J107" i="39"/>
  <c r="K107" i="39"/>
  <c r="L107" i="39"/>
  <c r="M107" i="39"/>
  <c r="J21" i="39"/>
  <c r="W21" i="39"/>
  <c r="F21" i="39"/>
  <c r="S21" i="39"/>
  <c r="H21" i="39"/>
  <c r="AB21"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15"/>
  <c r="F62" i="15"/>
  <c r="G5" i="3"/>
  <c r="B3" i="3"/>
  <c r="BA13" i="3"/>
  <c r="AZ13" i="3"/>
  <c r="AZ5" i="3"/>
  <c r="E3" i="6"/>
  <c r="D3" i="34"/>
  <c r="BL17" i="3"/>
  <c r="AZ17" i="3"/>
  <c r="BL13" i="3"/>
  <c r="G30" i="6"/>
  <c r="G31" i="6"/>
  <c r="J56" i="9"/>
  <c r="J57" i="9"/>
  <c r="A24" i="51"/>
  <c r="B18" i="72"/>
  <c r="U29" i="34"/>
  <c r="E5" i="6"/>
  <c r="D9" i="69"/>
  <c r="C9" i="69"/>
  <c r="E32" i="6"/>
  <c r="L19" i="6"/>
  <c r="G1" i="68"/>
  <c r="F30" i="6"/>
  <c r="E28" i="6"/>
  <c r="AR12" i="1"/>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C7" i="39"/>
  <c r="C68" i="39"/>
  <c r="C7" i="35"/>
  <c r="C7" i="33"/>
  <c r="C58" i="33"/>
  <c r="D58" i="33"/>
  <c r="E58" i="33"/>
  <c r="F58" i="33"/>
  <c r="G58" i="33"/>
  <c r="H58" i="33"/>
  <c r="I58" i="33"/>
  <c r="J58" i="33"/>
  <c r="K58" i="33"/>
  <c r="L58" i="33"/>
  <c r="M58" i="33"/>
  <c r="N58" i="33"/>
  <c r="O58" i="33"/>
  <c r="C7" i="21"/>
  <c r="C58" i="21"/>
  <c r="C7" i="40"/>
  <c r="C63" i="40"/>
  <c r="M47" i="9"/>
  <c r="G19" i="43"/>
  <c r="C46" i="36"/>
  <c r="D46" i="36"/>
  <c r="E46" i="36"/>
  <c r="C59" i="34"/>
  <c r="D59" i="34"/>
  <c r="C52" i="37"/>
  <c r="D52" i="37"/>
  <c r="A4" i="51"/>
  <c r="B6" i="72"/>
  <c r="C48" i="35"/>
  <c r="D48" i="35"/>
  <c r="H62" i="43"/>
  <c r="H66" i="43"/>
  <c r="H61" i="43"/>
  <c r="H65" i="43"/>
  <c r="H60" i="43"/>
  <c r="H64" i="43"/>
  <c r="H59" i="43"/>
  <c r="H63" i="43"/>
  <c r="H67" i="43"/>
  <c r="H55" i="43"/>
  <c r="H51" i="43"/>
  <c r="H56" i="43"/>
  <c r="H76" i="43"/>
  <c r="H72" i="43"/>
  <c r="H77" i="43"/>
  <c r="L20" i="6"/>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c r="F30" i="69"/>
  <c r="C48" i="69"/>
  <c r="F32" i="15"/>
  <c r="F60" i="15"/>
  <c r="M18" i="15"/>
  <c r="F28" i="15"/>
  <c r="C28" i="15"/>
  <c r="E30" i="6"/>
  <c r="E237" i="3"/>
  <c r="E304" i="3"/>
  <c r="E565" i="3"/>
  <c r="E213" i="3"/>
  <c r="E17" i="3"/>
  <c r="E302" i="3"/>
  <c r="C48" i="68"/>
  <c r="C77" i="9"/>
  <c r="C74" i="9"/>
  <c r="C30" i="69"/>
  <c r="C24" i="12"/>
  <c r="AA39" i="40"/>
  <c r="S39" i="40"/>
  <c r="S12" i="33"/>
  <c r="AA12" i="33"/>
  <c r="D68" i="9"/>
  <c r="F54" i="9"/>
  <c r="J32" i="39"/>
  <c r="W32" i="39"/>
  <c r="H32" i="39"/>
  <c r="U32" i="39"/>
  <c r="U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545" i="3"/>
  <c r="E510" i="3"/>
  <c r="E352" i="3"/>
  <c r="E205" i="3"/>
  <c r="E128" i="3"/>
  <c r="K14" i="1"/>
  <c r="M14" i="1"/>
  <c r="O14" i="1"/>
  <c r="P14" i="1"/>
  <c r="BL5" i="3"/>
  <c r="J59" i="9"/>
  <c r="J61" i="9"/>
  <c r="E270" i="3"/>
  <c r="E533" i="3"/>
  <c r="AR6" i="3"/>
  <c r="E561" i="3"/>
  <c r="E538"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B21" i="31"/>
  <c r="O19" i="43"/>
  <c r="E48" i="35"/>
  <c r="F48" i="35"/>
  <c r="C65" i="40"/>
  <c r="D63" i="40"/>
  <c r="AP7" i="1"/>
  <c r="AB45" i="21"/>
  <c r="AC33" i="21"/>
  <c r="W33" i="21"/>
  <c r="S33" i="21"/>
  <c r="AA33" i="21"/>
  <c r="W32" i="21"/>
  <c r="AC32" i="21"/>
  <c r="AB9" i="21"/>
  <c r="U9" i="21"/>
  <c r="AA32" i="21"/>
  <c r="S32" i="21"/>
  <c r="W9" i="21"/>
  <c r="AC9" i="21"/>
  <c r="AB32" i="21"/>
  <c r="U32" i="21"/>
  <c r="AA10" i="21"/>
  <c r="S10" i="21"/>
  <c r="C30" i="11"/>
  <c r="A18" i="62"/>
  <c r="B64" i="72"/>
  <c r="D3" i="3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c r="B14" i="74"/>
  <c r="B1" i="74"/>
  <c r="E63" i="40"/>
  <c r="D65" i="40"/>
  <c r="F1" i="67"/>
  <c r="Q52" i="67"/>
  <c r="AC11" i="37"/>
  <c r="W11" i="37"/>
  <c r="W11" i="34"/>
  <c r="AC11" i="34"/>
  <c r="C13" i="12"/>
  <c r="F63" i="40"/>
  <c r="E65" i="40"/>
  <c r="G63" i="40"/>
  <c r="F65" i="40"/>
  <c r="H63" i="40"/>
  <c r="G65" i="40"/>
  <c r="I63" i="40"/>
  <c r="H65" i="40"/>
  <c r="J63" i="40"/>
  <c r="K63" i="40"/>
  <c r="I65" i="40"/>
  <c r="J65" i="40"/>
  <c r="AG6" i="1"/>
  <c r="J7" i="33"/>
  <c r="W7" i="33"/>
  <c r="F7" i="33"/>
  <c r="S7" i="33"/>
  <c r="H7" i="33"/>
  <c r="AB7" i="33"/>
  <c r="T48" i="33"/>
  <c r="G48" i="33"/>
  <c r="AA7" i="33"/>
  <c r="R48" i="33"/>
  <c r="R49" i="33"/>
  <c r="U7" i="33"/>
  <c r="AC7" i="33"/>
  <c r="V48" i="33"/>
  <c r="I48" i="33"/>
  <c r="E48" i="33"/>
  <c r="D59" i="9"/>
  <c r="M55" i="9"/>
  <c r="AD3" i="71"/>
  <c r="M29" i="83"/>
  <c r="F43" i="83"/>
  <c r="F7" i="83"/>
  <c r="F43" i="85"/>
  <c r="M29" i="85"/>
  <c r="F7" i="85"/>
  <c r="E13" i="76"/>
  <c r="D2" i="37"/>
  <c r="E2" i="68"/>
  <c r="B12" i="76"/>
  <c r="AO13" i="1"/>
  <c r="F3" i="73"/>
  <c r="B9" i="76"/>
  <c r="E7" i="76"/>
  <c r="B10" i="76"/>
  <c r="D4" i="73"/>
  <c r="AE7" i="1"/>
  <c r="D5" i="73"/>
  <c r="E12" i="76"/>
  <c r="F7" i="73"/>
  <c r="F6" i="73"/>
  <c r="D2" i="36"/>
  <c r="AO12" i="1"/>
  <c r="B7" i="76"/>
  <c r="B13" i="76"/>
  <c r="AO9" i="1"/>
  <c r="D2" i="33"/>
  <c r="F20" i="31"/>
  <c r="E2" i="69"/>
  <c r="D2" i="21"/>
  <c r="D3" i="73"/>
  <c r="AE8" i="1"/>
  <c r="F5" i="73"/>
  <c r="E9" i="76"/>
  <c r="B11" i="76"/>
  <c r="D2" i="35"/>
  <c r="D2" i="34"/>
  <c r="E11" i="76"/>
  <c r="E10" i="76"/>
  <c r="D7" i="73"/>
  <c r="B8" i="76"/>
  <c r="AO11" i="1"/>
  <c r="F41" i="85"/>
  <c r="D6" i="73"/>
  <c r="AO10" i="1"/>
  <c r="F4" i="73"/>
  <c r="E8" i="76"/>
  <c r="A4" i="52"/>
  <c r="B41" i="72"/>
  <c r="H111" i="9"/>
  <c r="D126" i="9"/>
  <c r="M7" i="85"/>
  <c r="J6" i="85"/>
  <c r="C6" i="85"/>
  <c r="F50" i="85"/>
  <c r="C49" i="85"/>
  <c r="F71" i="85"/>
  <c r="C6" i="83"/>
  <c r="M7" i="83"/>
  <c r="J6" i="83"/>
  <c r="F50" i="83"/>
  <c r="C49" i="83"/>
  <c r="F71" i="83"/>
  <c r="M7" i="1"/>
  <c r="M8" i="1"/>
  <c r="D19" i="53"/>
  <c r="I14" i="74"/>
  <c r="B8" i="74"/>
  <c r="D127" i="9"/>
  <c r="D13" i="52"/>
  <c r="D12" i="52"/>
  <c r="H112" i="9"/>
  <c r="D21" i="53"/>
  <c r="B39" i="72"/>
  <c r="F34" i="85"/>
  <c r="F62" i="85"/>
  <c r="F34" i="83"/>
  <c r="F62" i="83"/>
  <c r="M20" i="85"/>
  <c r="M20" i="83"/>
  <c r="M20" i="67"/>
  <c r="F34" i="67"/>
  <c r="F62" i="67"/>
  <c r="M20" i="15"/>
  <c r="F69" i="85"/>
  <c r="C16" i="43"/>
  <c r="D5" i="43"/>
  <c r="F81" i="39"/>
  <c r="G81" i="39"/>
  <c r="H81" i="39"/>
  <c r="I81" i="39"/>
  <c r="J81" i="39"/>
  <c r="K81" i="39"/>
  <c r="L81" i="39"/>
  <c r="M81" i="39"/>
  <c r="D14" i="12"/>
  <c r="D17" i="12"/>
  <c r="C17" i="12"/>
  <c r="D19" i="11"/>
  <c r="C19" i="11"/>
  <c r="D9" i="68"/>
  <c r="C9" i="68"/>
  <c r="T13" i="1"/>
  <c r="AQ13" i="1"/>
  <c r="G6" i="1"/>
  <c r="G7" i="1"/>
  <c r="E14" i="6"/>
  <c r="E59" i="40"/>
  <c r="AR11" i="1"/>
  <c r="T10" i="1"/>
  <c r="T11" i="1"/>
  <c r="AR10" i="1"/>
  <c r="E57" i="40"/>
  <c r="E62" i="39"/>
  <c r="BA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157" i="3"/>
  <c r="E181" i="3"/>
  <c r="E228" i="3"/>
  <c r="E188" i="3"/>
  <c r="E99" i="3"/>
  <c r="E191" i="3"/>
  <c r="E159" i="3"/>
  <c r="E245" i="3"/>
  <c r="E301" i="3"/>
  <c r="E263" i="3"/>
  <c r="E303" i="3"/>
  <c r="E382" i="3"/>
  <c r="E350" i="3"/>
  <c r="E423" i="3"/>
  <c r="E402" i="3"/>
  <c r="E506" i="3"/>
  <c r="E523" i="3"/>
  <c r="S6" i="3"/>
  <c r="E390" i="3"/>
  <c r="E165" i="3"/>
  <c r="E227" i="3"/>
  <c r="E461" i="3"/>
  <c r="E567" i="3"/>
  <c r="E539" i="3"/>
  <c r="E503" i="3"/>
  <c r="E361" i="3"/>
  <c r="E183" i="3"/>
  <c r="E528" i="3"/>
  <c r="E261" i="3"/>
  <c r="D9" i="11"/>
  <c r="C9" i="11"/>
  <c r="D19" i="12"/>
  <c r="C19" i="12"/>
  <c r="AR9" i="1"/>
  <c r="T9" i="1"/>
  <c r="E8" i="6"/>
  <c r="E15" i="6"/>
  <c r="E13" i="6"/>
  <c r="E10" i="6"/>
  <c r="E11" i="6"/>
  <c r="E61" i="39"/>
  <c r="I4" i="6"/>
  <c r="G3" i="43"/>
  <c r="F22" i="43"/>
  <c r="I6" i="3"/>
  <c r="F32" i="39"/>
  <c r="AA32" i="39"/>
  <c r="AC32" i="39"/>
  <c r="W29" i="39"/>
  <c r="U29" i="39"/>
  <c r="S29" i="39"/>
  <c r="AA27" i="39"/>
  <c r="AB27" i="39"/>
  <c r="W27" i="39"/>
  <c r="J25" i="39"/>
  <c r="F99" i="39"/>
  <c r="G99" i="39"/>
  <c r="H25" i="39"/>
  <c r="F25" i="39"/>
  <c r="AA25" i="39"/>
  <c r="S25" i="39"/>
  <c r="AC21" i="39"/>
  <c r="F19" i="39"/>
  <c r="J19" i="39"/>
  <c r="F93" i="39"/>
  <c r="G93" i="39"/>
  <c r="H19" i="39"/>
  <c r="AB19" i="39"/>
  <c r="F91" i="39"/>
  <c r="G91" i="39"/>
  <c r="H17" i="39"/>
  <c r="F17" i="39"/>
  <c r="J17" i="39"/>
  <c r="U19" i="39"/>
  <c r="U41" i="39"/>
  <c r="U40" i="39"/>
  <c r="AA39" i="39"/>
  <c r="W42" i="39"/>
  <c r="S42" i="39"/>
  <c r="AA36" i="39"/>
  <c r="W35" i="39"/>
  <c r="W23" i="39"/>
  <c r="AB23" i="39"/>
  <c r="AB15" i="39"/>
  <c r="AC15" i="39"/>
  <c r="W31" i="39"/>
  <c r="U31" i="39"/>
  <c r="AB32" i="39"/>
  <c r="U42" i="39"/>
  <c r="AC41" i="39"/>
  <c r="W39" i="39"/>
  <c r="AB8" i="39"/>
  <c r="C5" i="43"/>
  <c r="C94" i="9"/>
  <c r="C92" i="9"/>
  <c r="C20" i="11"/>
  <c r="C40" i="68"/>
  <c r="C40" i="69"/>
  <c r="L27" i="6"/>
  <c r="AQ9" i="1"/>
  <c r="G1" i="67"/>
  <c r="G1" i="15"/>
  <c r="C36" i="69"/>
  <c r="B6" i="1"/>
  <c r="E6" i="1"/>
  <c r="K1" i="12"/>
  <c r="K6" i="1"/>
  <c r="K16" i="1"/>
  <c r="C8" i="68"/>
  <c r="D3" i="21"/>
  <c r="E6" i="6"/>
  <c r="C17" i="4"/>
  <c r="B4" i="52"/>
  <c r="B43" i="72"/>
  <c r="L18" i="9"/>
  <c r="D3" i="37"/>
  <c r="AY6" i="3"/>
  <c r="E56" i="40"/>
  <c r="Z11" i="43"/>
  <c r="Z13" i="43"/>
  <c r="C8" i="74"/>
  <c r="I15" i="77"/>
  <c r="H31" i="77"/>
  <c r="G31" i="77"/>
  <c r="G33" i="77"/>
  <c r="F32" i="77"/>
  <c r="G34" i="77"/>
  <c r="T35" i="4"/>
  <c r="A19" i="51"/>
  <c r="B14" i="72"/>
  <c r="A15" i="62"/>
  <c r="B61" i="72"/>
  <c r="I52" i="33"/>
  <c r="J52" i="33"/>
  <c r="I53" i="33"/>
  <c r="J53" i="33"/>
  <c r="C48" i="33"/>
  <c r="C49" i="33"/>
  <c r="G52" i="33"/>
  <c r="H52" i="33"/>
  <c r="G53" i="33"/>
  <c r="H53" i="33"/>
  <c r="E53" i="33"/>
  <c r="F53" i="33"/>
  <c r="L63" i="40"/>
  <c r="K65" i="40"/>
  <c r="E52" i="33"/>
  <c r="F52" i="33"/>
  <c r="G48" i="35"/>
  <c r="H48" i="35"/>
  <c r="I48" i="35"/>
  <c r="J48" i="35"/>
  <c r="K48" i="35"/>
  <c r="L48" i="35"/>
  <c r="M48" i="35"/>
  <c r="N48" i="35"/>
  <c r="O48" i="35"/>
  <c r="F7" i="35"/>
  <c r="H7" i="35"/>
  <c r="J7" i="35"/>
  <c r="E52" i="37"/>
  <c r="F52" i="37"/>
  <c r="G52" i="37"/>
  <c r="H52" i="37"/>
  <c r="I52" i="37"/>
  <c r="J52" i="37"/>
  <c r="K52" i="37"/>
  <c r="L52" i="37"/>
  <c r="M52" i="37"/>
  <c r="N52" i="37"/>
  <c r="O52" i="37"/>
  <c r="F46" i="36"/>
  <c r="G46" i="36"/>
  <c r="H46" i="36"/>
  <c r="I46" i="36"/>
  <c r="J46" i="36"/>
  <c r="K46" i="36"/>
  <c r="L46" i="36"/>
  <c r="M46" i="36"/>
  <c r="N46" i="36"/>
  <c r="O46" i="36"/>
  <c r="F7" i="36"/>
  <c r="H7" i="36"/>
  <c r="J7" i="36"/>
  <c r="D58" i="21"/>
  <c r="F7" i="34"/>
  <c r="E59" i="34"/>
  <c r="F59" i="34"/>
  <c r="G59" i="34"/>
  <c r="H59" i="34"/>
  <c r="I59" i="34"/>
  <c r="J59" i="34"/>
  <c r="K59" i="34"/>
  <c r="L59" i="34"/>
  <c r="M59" i="34"/>
  <c r="N59" i="34"/>
  <c r="O59" i="34"/>
  <c r="J7" i="34"/>
  <c r="H7" i="34"/>
  <c r="C70" i="39"/>
  <c r="D68" i="39"/>
  <c r="P61" i="15"/>
  <c r="F6" i="71"/>
  <c r="F5" i="71"/>
  <c r="Y5" i="71"/>
  <c r="Z5" i="71"/>
  <c r="B7" i="49"/>
  <c r="E4" i="4"/>
  <c r="B5" i="62"/>
  <c r="B73" i="72"/>
  <c r="E7" i="49"/>
  <c r="B15" i="49"/>
  <c r="AB3" i="71"/>
  <c r="X3" i="71"/>
  <c r="C6" i="71"/>
  <c r="E6" i="71"/>
  <c r="E5" i="71"/>
  <c r="E10" i="49"/>
  <c r="B6" i="49"/>
  <c r="E14" i="49"/>
  <c r="AF3" i="71"/>
  <c r="P24" i="43"/>
  <c r="B66" i="40"/>
  <c r="P23" i="43"/>
  <c r="B71" i="39"/>
  <c r="P21" i="43"/>
  <c r="P22" i="43"/>
  <c r="B13" i="49"/>
  <c r="C4" i="4"/>
  <c r="B4" i="49"/>
  <c r="B9" i="49"/>
  <c r="E22" i="49"/>
  <c r="E16" i="49"/>
  <c r="E11" i="49"/>
  <c r="B10" i="49"/>
  <c r="E6" i="49"/>
  <c r="E8" i="49"/>
  <c r="E5" i="49"/>
  <c r="B8" i="49"/>
  <c r="B5" i="49"/>
  <c r="E21" i="49"/>
  <c r="E4" i="49"/>
  <c r="B11" i="49"/>
  <c r="B14" i="49"/>
  <c r="B16" i="49"/>
  <c r="E13" i="49"/>
  <c r="E15" i="49"/>
  <c r="E9" i="49"/>
  <c r="B22" i="49"/>
  <c r="B2" i="33"/>
  <c r="B3" i="33"/>
  <c r="B10" i="70"/>
  <c r="B13" i="70"/>
  <c r="E20" i="43"/>
  <c r="B20" i="31"/>
  <c r="B11" i="70"/>
  <c r="I1" i="73"/>
  <c r="B39" i="1"/>
  <c r="B12" i="70"/>
  <c r="B9" i="70"/>
  <c r="K1" i="73"/>
  <c r="F31" i="15"/>
  <c r="F59" i="15"/>
  <c r="M17" i="67"/>
  <c r="M17" i="15"/>
  <c r="F31" i="67"/>
  <c r="F59" i="67"/>
  <c r="C16" i="85"/>
  <c r="C16" i="83"/>
  <c r="M28" i="15"/>
  <c r="F7" i="67"/>
  <c r="M9" i="15"/>
  <c r="M6" i="67"/>
  <c r="F8" i="67"/>
  <c r="L47" i="15"/>
  <c r="M26" i="15"/>
  <c r="F16" i="15"/>
  <c r="M29" i="67"/>
  <c r="M23" i="15"/>
  <c r="F36" i="67"/>
  <c r="G1" i="73"/>
  <c r="M26" i="67"/>
  <c r="M29" i="15"/>
  <c r="F8" i="15"/>
  <c r="L48" i="15"/>
  <c r="F16" i="67"/>
  <c r="F37" i="15"/>
  <c r="F37" i="67"/>
  <c r="F7" i="15"/>
  <c r="F40" i="15"/>
  <c r="F42" i="67"/>
  <c r="L47" i="67"/>
  <c r="C76" i="15"/>
  <c r="F38" i="67"/>
  <c r="M8" i="15"/>
  <c r="F26" i="67"/>
  <c r="C76" i="67"/>
  <c r="F41" i="83"/>
  <c r="F6" i="15"/>
  <c r="F38" i="15"/>
  <c r="L48" i="67"/>
  <c r="F13" i="15"/>
  <c r="M6" i="15"/>
  <c r="F9" i="67"/>
  <c r="M23" i="67"/>
  <c r="F43" i="15"/>
  <c r="F9" i="15"/>
  <c r="F13" i="67"/>
  <c r="J15" i="15"/>
  <c r="M24" i="15"/>
  <c r="M28" i="67"/>
  <c r="F6" i="67"/>
  <c r="M8" i="67"/>
  <c r="M24" i="67"/>
  <c r="M27" i="67"/>
  <c r="F26" i="15"/>
  <c r="M22" i="15"/>
  <c r="F43" i="67"/>
  <c r="F36" i="15"/>
  <c r="F42" i="15"/>
  <c r="J15" i="67"/>
  <c r="F40" i="67"/>
  <c r="M22" i="67"/>
  <c r="M9" i="67"/>
  <c r="M27" i="15"/>
  <c r="G22" i="43"/>
  <c r="O8" i="1"/>
  <c r="P8" i="1"/>
  <c r="O7" i="1"/>
  <c r="P7" i="1"/>
  <c r="D15" i="74"/>
  <c r="B38" i="72"/>
  <c r="D20" i="53"/>
  <c r="B40" i="72"/>
  <c r="F69" i="83"/>
  <c r="F11" i="85"/>
  <c r="M11" i="85"/>
  <c r="J10" i="85"/>
  <c r="J5" i="85"/>
  <c r="F11" i="83"/>
  <c r="M11" i="83"/>
  <c r="J10" i="83"/>
  <c r="J5" i="83"/>
  <c r="E64" i="39"/>
  <c r="J22" i="43"/>
  <c r="M101" i="43"/>
  <c r="J101" i="43"/>
  <c r="AE11" i="43"/>
  <c r="AE13" i="43"/>
  <c r="AH11" i="43"/>
  <c r="AH13" i="43"/>
  <c r="N101" i="43"/>
  <c r="N106" i="43"/>
  <c r="L101" i="43"/>
  <c r="L109" i="43"/>
  <c r="G101" i="43"/>
  <c r="AA11" i="43"/>
  <c r="AA13" i="43"/>
  <c r="AI11" i="43"/>
  <c r="AI13" i="43"/>
  <c r="AD11" i="43"/>
  <c r="AD13" i="43"/>
  <c r="E101" i="43"/>
  <c r="H22" i="43"/>
  <c r="K101" i="43"/>
  <c r="E65" i="39"/>
  <c r="E60" i="40"/>
  <c r="G16" i="1"/>
  <c r="H10" i="40"/>
  <c r="U10" i="40"/>
  <c r="H101" i="43"/>
  <c r="H102" i="43"/>
  <c r="N104" i="46"/>
  <c r="C101" i="43"/>
  <c r="C106" i="43"/>
  <c r="B113" i="43"/>
  <c r="B115" i="43"/>
  <c r="Y11" i="43"/>
  <c r="Y13" i="43"/>
  <c r="AC11" i="43"/>
  <c r="AC13" i="43"/>
  <c r="AG11" i="43"/>
  <c r="AG13" i="43"/>
  <c r="Z7" i="43"/>
  <c r="AB11" i="43"/>
  <c r="AB13" i="43"/>
  <c r="AF11" i="43"/>
  <c r="AF13" i="43"/>
  <c r="AJ11" i="43"/>
  <c r="AJ13" i="43"/>
  <c r="I101" i="43"/>
  <c r="I109" i="43"/>
  <c r="D101" i="43"/>
  <c r="D105" i="43"/>
  <c r="E22" i="43"/>
  <c r="D22" i="43"/>
  <c r="F101" i="43"/>
  <c r="F106" i="43"/>
  <c r="H6" i="3"/>
  <c r="E58" i="40"/>
  <c r="E63" i="39"/>
  <c r="E56" i="39"/>
  <c r="E16" i="6"/>
  <c r="F27" i="6"/>
  <c r="E51" i="40"/>
  <c r="AC6" i="3"/>
  <c r="S32" i="39"/>
  <c r="AB25" i="39"/>
  <c r="U25" i="39"/>
  <c r="AC25" i="39"/>
  <c r="W25" i="39"/>
  <c r="S19" i="39"/>
  <c r="AA19" i="39"/>
  <c r="AC19" i="39"/>
  <c r="W19" i="39"/>
  <c r="AC17" i="39"/>
  <c r="W17" i="39"/>
  <c r="AB17" i="39"/>
  <c r="U17" i="39"/>
  <c r="AA17" i="39"/>
  <c r="S17" i="39"/>
  <c r="F66" i="67"/>
  <c r="F51" i="67"/>
  <c r="C6" i="67"/>
  <c r="Q71" i="67"/>
  <c r="F64" i="67"/>
  <c r="C27" i="67"/>
  <c r="F70" i="67"/>
  <c r="J57" i="67"/>
  <c r="J55" i="67"/>
  <c r="J58" i="67"/>
  <c r="Q50" i="67"/>
  <c r="I54" i="67"/>
  <c r="L56" i="67"/>
  <c r="M7" i="67"/>
  <c r="J6" i="67"/>
  <c r="F50" i="67"/>
  <c r="F65" i="67"/>
  <c r="F68" i="67"/>
  <c r="F71" i="67"/>
  <c r="L59" i="67"/>
  <c r="Q74" i="67"/>
  <c r="N59" i="67"/>
  <c r="M59" i="67"/>
  <c r="L58" i="67"/>
  <c r="Q60" i="67"/>
  <c r="L58" i="15"/>
  <c r="Q73" i="15"/>
  <c r="N59" i="15"/>
  <c r="M59" i="15"/>
  <c r="L59" i="15"/>
  <c r="Q61" i="15"/>
  <c r="F71" i="15"/>
  <c r="C6" i="15"/>
  <c r="F65" i="15"/>
  <c r="J57" i="15"/>
  <c r="J55" i="15"/>
  <c r="J58" i="15"/>
  <c r="Q50" i="15"/>
  <c r="L56" i="15"/>
  <c r="J53" i="15"/>
  <c r="F1" i="15"/>
  <c r="I54" i="15"/>
  <c r="F51" i="15"/>
  <c r="F68" i="15"/>
  <c r="F64" i="15"/>
  <c r="F66" i="15"/>
  <c r="C27" i="15"/>
  <c r="Q71" i="15"/>
  <c r="M7" i="15"/>
  <c r="J6" i="15"/>
  <c r="F50" i="15"/>
  <c r="H16" i="1"/>
  <c r="C34" i="69"/>
  <c r="M6" i="1"/>
  <c r="O6" i="1"/>
  <c r="Q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10" i="11"/>
  <c r="C10" i="11"/>
  <c r="D20" i="12"/>
  <c r="C20" i="12"/>
  <c r="C18" i="12"/>
  <c r="D10" i="69"/>
  <c r="D10" i="68"/>
  <c r="C104" i="43"/>
  <c r="C109" i="43"/>
  <c r="E102" i="43"/>
  <c r="E106" i="43"/>
  <c r="E103" i="43"/>
  <c r="E107" i="43"/>
  <c r="E104" i="43"/>
  <c r="E105" i="43"/>
  <c r="E109" i="43"/>
  <c r="M109" i="43"/>
  <c r="M102" i="43"/>
  <c r="M106" i="43"/>
  <c r="M103" i="43"/>
  <c r="M104" i="43"/>
  <c r="M105" i="43"/>
  <c r="M107" i="43"/>
  <c r="L106" i="43"/>
  <c r="L105" i="43"/>
  <c r="J104" i="43"/>
  <c r="J105" i="43"/>
  <c r="J103" i="43"/>
  <c r="J106" i="43"/>
  <c r="J107" i="43"/>
  <c r="J102" i="43"/>
  <c r="J109" i="43"/>
  <c r="G105" i="43"/>
  <c r="G102" i="43"/>
  <c r="G103" i="43"/>
  <c r="G109" i="43"/>
  <c r="G107" i="43"/>
  <c r="G104" i="43"/>
  <c r="G106" i="43"/>
  <c r="D109" i="43"/>
  <c r="D103" i="43"/>
  <c r="F103" i="43"/>
  <c r="F109" i="43"/>
  <c r="H109" i="43"/>
  <c r="N103" i="43"/>
  <c r="N107" i="43"/>
  <c r="N105" i="43"/>
  <c r="N109" i="43"/>
  <c r="K107" i="43"/>
  <c r="K104" i="43"/>
  <c r="K106" i="43"/>
  <c r="K103" i="43"/>
  <c r="K102" i="43"/>
  <c r="K105" i="43"/>
  <c r="K109" i="43"/>
  <c r="H32" i="77"/>
  <c r="I34" i="77"/>
  <c r="I31" i="77"/>
  <c r="I33" i="77"/>
  <c r="D70" i="39"/>
  <c r="E68" i="39"/>
  <c r="AB7" i="34"/>
  <c r="T49" i="34"/>
  <c r="G49" i="34"/>
  <c r="U7" i="34"/>
  <c r="E58" i="21"/>
  <c r="AB7" i="36"/>
  <c r="T36" i="36"/>
  <c r="G36" i="36"/>
  <c r="U7" i="36"/>
  <c r="J7" i="37"/>
  <c r="H7" i="37"/>
  <c r="U7" i="35"/>
  <c r="AB7" i="35"/>
  <c r="T38" i="35"/>
  <c r="G38" i="35"/>
  <c r="W7" i="34"/>
  <c r="AC7" i="34"/>
  <c r="V49" i="34"/>
  <c r="I49" i="34"/>
  <c r="S7" i="34"/>
  <c r="AA7" i="34"/>
  <c r="R49" i="34"/>
  <c r="AC7" i="36"/>
  <c r="V36" i="36"/>
  <c r="I36" i="36"/>
  <c r="W7" i="36"/>
  <c r="AA7" i="36"/>
  <c r="R36" i="36"/>
  <c r="S7" i="36"/>
  <c r="F7" i="37"/>
  <c r="W7" i="35"/>
  <c r="AC7" i="35"/>
  <c r="V38" i="35"/>
  <c r="I38" i="35"/>
  <c r="AA7" i="35"/>
  <c r="R38" i="35"/>
  <c r="S7" i="35"/>
  <c r="L65" i="40"/>
  <c r="M63" i="40"/>
  <c r="K4" i="4"/>
  <c r="B46" i="48"/>
  <c r="B4" i="72"/>
  <c r="B4" i="62"/>
  <c r="B71" i="72"/>
  <c r="C5" i="71"/>
  <c r="D6" i="71"/>
  <c r="P25" i="43"/>
  <c r="B40" i="1"/>
  <c r="M11" i="15"/>
  <c r="F11" i="67"/>
  <c r="F11" i="15"/>
  <c r="M11" i="67"/>
  <c r="J10" i="67"/>
  <c r="P17" i="43"/>
  <c r="M17" i="43"/>
  <c r="N17" i="43"/>
  <c r="O17" i="43"/>
  <c r="C14" i="67"/>
  <c r="C16" i="67"/>
  <c r="C16" i="15"/>
  <c r="C17" i="67"/>
  <c r="AE6" i="1"/>
  <c r="F15" i="74"/>
  <c r="E15" i="74"/>
  <c r="J26" i="85"/>
  <c r="J29" i="85"/>
  <c r="J24" i="85"/>
  <c r="J18" i="85"/>
  <c r="F24" i="83"/>
  <c r="C24" i="83"/>
  <c r="F24" i="85"/>
  <c r="C53" i="85"/>
  <c r="C48" i="85"/>
  <c r="C10" i="85"/>
  <c r="C5" i="85"/>
  <c r="J26" i="83"/>
  <c r="J29" i="83"/>
  <c r="J24" i="83"/>
  <c r="J18" i="83"/>
  <c r="C53" i="83"/>
  <c r="C48" i="83"/>
  <c r="C10" i="83"/>
  <c r="C5" i="83"/>
  <c r="I106" i="43"/>
  <c r="P6" i="1"/>
  <c r="P16" i="1"/>
  <c r="C11" i="12"/>
  <c r="O16" i="1"/>
  <c r="J10" i="40"/>
  <c r="AC10" i="40"/>
  <c r="G118" i="43"/>
  <c r="H118" i="43"/>
  <c r="Q74" i="15"/>
  <c r="AB10" i="40"/>
  <c r="F10" i="40"/>
  <c r="AA10" i="40"/>
  <c r="J10" i="39"/>
  <c r="N104" i="43"/>
  <c r="N102" i="43"/>
  <c r="I104" i="43"/>
  <c r="L103" i="43"/>
  <c r="B117" i="43"/>
  <c r="C117" i="43"/>
  <c r="D118" i="43"/>
  <c r="E118" i="43"/>
  <c r="F118" i="43"/>
  <c r="F10" i="39"/>
  <c r="AA10" i="39"/>
  <c r="H10" i="39"/>
  <c r="I107" i="43"/>
  <c r="L104" i="43"/>
  <c r="L102" i="43"/>
  <c r="L107" i="43"/>
  <c r="B118" i="43"/>
  <c r="C118" i="43"/>
  <c r="I115" i="43"/>
  <c r="J115" i="43"/>
  <c r="K115" i="43"/>
  <c r="L115" i="43"/>
  <c r="M115" i="43"/>
  <c r="D117" i="43"/>
  <c r="E117" i="43"/>
  <c r="F117" i="43"/>
  <c r="G117" i="43"/>
  <c r="H117" i="43"/>
  <c r="Q52" i="15"/>
  <c r="H107" i="43"/>
  <c r="H103" i="43"/>
  <c r="F102" i="43"/>
  <c r="F107" i="43"/>
  <c r="D107" i="43"/>
  <c r="D106" i="43"/>
  <c r="C103" i="43"/>
  <c r="C105" i="43"/>
  <c r="I103" i="43"/>
  <c r="I105" i="43"/>
  <c r="I102" i="43"/>
  <c r="I116" i="43"/>
  <c r="J116" i="43"/>
  <c r="K116" i="43"/>
  <c r="L116" i="43"/>
  <c r="M116" i="43"/>
  <c r="I117" i="43"/>
  <c r="J117" i="43"/>
  <c r="K117" i="43"/>
  <c r="L117" i="43"/>
  <c r="M117" i="43"/>
  <c r="B116" i="43"/>
  <c r="C116" i="43"/>
  <c r="D116" i="43"/>
  <c r="E116" i="43"/>
  <c r="F116" i="43"/>
  <c r="G116" i="43"/>
  <c r="H116" i="43"/>
  <c r="D115" i="43"/>
  <c r="E115" i="43"/>
  <c r="F115" i="43"/>
  <c r="G115" i="43"/>
  <c r="H115" i="43"/>
  <c r="I118" i="43"/>
  <c r="J118" i="43"/>
  <c r="K118" i="43"/>
  <c r="L118" i="43"/>
  <c r="M118" i="43"/>
  <c r="E66" i="39"/>
  <c r="S10" i="39"/>
  <c r="H38" i="39"/>
  <c r="J38" i="39"/>
  <c r="F38" i="39"/>
  <c r="F31" i="6"/>
  <c r="E27" i="6"/>
  <c r="H105" i="43"/>
  <c r="H106" i="43"/>
  <c r="H104" i="43"/>
  <c r="F105" i="43"/>
  <c r="F104" i="43"/>
  <c r="D104" i="43"/>
  <c r="D102" i="43"/>
  <c r="C107" i="43"/>
  <c r="C102" i="43"/>
  <c r="E6" i="3"/>
  <c r="C15" i="67"/>
  <c r="C18" i="67"/>
  <c r="Q61" i="67"/>
  <c r="Q73" i="67"/>
  <c r="J10" i="15"/>
  <c r="J5" i="15"/>
  <c r="J18" i="15"/>
  <c r="C49" i="67"/>
  <c r="C49" i="15"/>
  <c r="Q60" i="15"/>
  <c r="F27" i="69"/>
  <c r="F28" i="12"/>
  <c r="C29" i="12"/>
  <c r="D28" i="12"/>
  <c r="F27" i="11"/>
  <c r="F27" i="68"/>
  <c r="C38" i="69"/>
  <c r="C35" i="69"/>
  <c r="J5" i="67"/>
  <c r="J24" i="67"/>
  <c r="W10" i="40"/>
  <c r="M16" i="1"/>
  <c r="N16" i="1"/>
  <c r="C10" i="69"/>
  <c r="C8" i="69"/>
  <c r="C5" i="69"/>
  <c r="D19" i="69"/>
  <c r="D19" i="6"/>
  <c r="D26" i="6"/>
  <c r="C18" i="4"/>
  <c r="D8" i="6"/>
  <c r="D23" i="6"/>
  <c r="D14" i="6"/>
  <c r="D5" i="6"/>
  <c r="D12" i="6"/>
  <c r="D11" i="6"/>
  <c r="D13" i="6"/>
  <c r="D28" i="6"/>
  <c r="E61" i="40"/>
  <c r="D25" i="6"/>
  <c r="D22" i="6"/>
  <c r="D24" i="6"/>
  <c r="M19" i="9"/>
  <c r="C118" i="9"/>
  <c r="C14" i="74"/>
  <c r="B2" i="74"/>
  <c r="D15" i="6"/>
  <c r="D21" i="6"/>
  <c r="D20" i="6"/>
  <c r="D6" i="6"/>
  <c r="D10" i="6"/>
  <c r="D29" i="6"/>
  <c r="D9" i="6"/>
  <c r="L19" i="9"/>
  <c r="C10" i="68"/>
  <c r="D19" i="68"/>
  <c r="C115" i="43"/>
  <c r="S7" i="43"/>
  <c r="S2" i="43"/>
  <c r="S6" i="43"/>
  <c r="S4" i="43"/>
  <c r="S5" i="43"/>
  <c r="S3" i="43"/>
  <c r="C23" i="43"/>
  <c r="C21" i="43"/>
  <c r="E38" i="35"/>
  <c r="R39" i="35"/>
  <c r="R50" i="34"/>
  <c r="E49" i="34"/>
  <c r="I53" i="34"/>
  <c r="J53" i="34"/>
  <c r="I54" i="34"/>
  <c r="J54" i="34"/>
  <c r="W7" i="37"/>
  <c r="AC7" i="37"/>
  <c r="V42" i="37"/>
  <c r="I42" i="37"/>
  <c r="G40" i="36"/>
  <c r="H40" i="36"/>
  <c r="G41" i="36"/>
  <c r="H41" i="36"/>
  <c r="F58" i="21"/>
  <c r="G53" i="34"/>
  <c r="H53" i="34"/>
  <c r="G54" i="34"/>
  <c r="H54" i="34"/>
  <c r="M65" i="40"/>
  <c r="N63" i="40"/>
  <c r="I42" i="35"/>
  <c r="J42" i="35"/>
  <c r="I43" i="35"/>
  <c r="J43" i="35"/>
  <c r="AA7" i="37"/>
  <c r="R42" i="37"/>
  <c r="S7" i="37"/>
  <c r="E36" i="36"/>
  <c r="R37" i="36"/>
  <c r="I41" i="36"/>
  <c r="J41" i="36"/>
  <c r="I40" i="36"/>
  <c r="J40" i="36"/>
  <c r="G42" i="35"/>
  <c r="H42" i="35"/>
  <c r="G43" i="35"/>
  <c r="H43" i="35"/>
  <c r="U7" i="37"/>
  <c r="AB7" i="37"/>
  <c r="T42" i="37"/>
  <c r="G42" i="37"/>
  <c r="F68" i="39"/>
  <c r="E70" i="39"/>
  <c r="D5" i="71"/>
  <c r="M20" i="43"/>
  <c r="C19" i="43"/>
  <c r="C53" i="67"/>
  <c r="C10" i="67"/>
  <c r="C5" i="67"/>
  <c r="C53" i="15"/>
  <c r="C10" i="15"/>
  <c r="C5" i="15"/>
  <c r="F24" i="67"/>
  <c r="C24" i="67"/>
  <c r="F22" i="68"/>
  <c r="F22" i="11"/>
  <c r="F22" i="69"/>
  <c r="F25" i="12"/>
  <c r="F24" i="15"/>
  <c r="C24" i="15"/>
  <c r="F41" i="15"/>
  <c r="F41" i="67"/>
  <c r="F69" i="15"/>
  <c r="C38" i="85"/>
  <c r="C33" i="85"/>
  <c r="C32" i="85"/>
  <c r="C24" i="85"/>
  <c r="C66" i="85"/>
  <c r="C60" i="85"/>
  <c r="C38" i="83"/>
  <c r="C33" i="83"/>
  <c r="C32" i="83"/>
  <c r="C66" i="83"/>
  <c r="C60" i="83"/>
  <c r="S10" i="40"/>
  <c r="C15" i="12"/>
  <c r="C12" i="12"/>
  <c r="F34" i="11"/>
  <c r="C34" i="11"/>
  <c r="F34" i="68"/>
  <c r="C36" i="68"/>
  <c r="F11" i="12"/>
  <c r="AC10" i="39"/>
  <c r="W10" i="39"/>
  <c r="AB10" i="39"/>
  <c r="U10" i="39"/>
  <c r="D113" i="43"/>
  <c r="D16" i="6"/>
  <c r="K20" i="6"/>
  <c r="K24" i="6"/>
  <c r="M24" i="6"/>
  <c r="I24" i="6"/>
  <c r="K21" i="6"/>
  <c r="K22" i="6"/>
  <c r="M22" i="6"/>
  <c r="I22" i="6"/>
  <c r="K23" i="6"/>
  <c r="M23" i="6"/>
  <c r="I23" i="6"/>
  <c r="K25" i="6"/>
  <c r="M25" i="6"/>
  <c r="I25" i="6"/>
  <c r="K26" i="6"/>
  <c r="M26" i="6"/>
  <c r="I26" i="6"/>
  <c r="E31" i="6"/>
  <c r="K19" i="6"/>
  <c r="S6" i="1"/>
  <c r="AA38" i="39"/>
  <c r="S38" i="39"/>
  <c r="AB38" i="39"/>
  <c r="U38" i="39"/>
  <c r="D30" i="6"/>
  <c r="W38" i="39"/>
  <c r="AC38" i="39"/>
  <c r="F69" i="67"/>
  <c r="C19" i="67"/>
  <c r="C20" i="67"/>
  <c r="C26" i="67"/>
  <c r="J24" i="15"/>
  <c r="J26" i="15"/>
  <c r="J29" i="15"/>
  <c r="C48" i="67"/>
  <c r="C66" i="67"/>
  <c r="C48" i="15"/>
  <c r="C60" i="15"/>
  <c r="J26" i="67"/>
  <c r="J29" i="67"/>
  <c r="F50" i="68"/>
  <c r="F50" i="11"/>
  <c r="F50" i="69"/>
  <c r="C47" i="11"/>
  <c r="D45" i="11"/>
  <c r="C28" i="11"/>
  <c r="C27" i="11"/>
  <c r="C29" i="11"/>
  <c r="D27" i="11"/>
  <c r="C47" i="69"/>
  <c r="D45" i="69"/>
  <c r="C29" i="69"/>
  <c r="D27" i="69"/>
  <c r="J18" i="67"/>
  <c r="L16" i="1"/>
  <c r="C29" i="68"/>
  <c r="D27" i="68"/>
  <c r="C47" i="68"/>
  <c r="D45" i="68"/>
  <c r="C19" i="68"/>
  <c r="D37" i="68"/>
  <c r="A7" i="51"/>
  <c r="B7" i="72"/>
  <c r="C4" i="52"/>
  <c r="B45" i="72"/>
  <c r="A10" i="51"/>
  <c r="B9" i="72"/>
  <c r="D27" i="6"/>
  <c r="C19" i="69"/>
  <c r="C24" i="69"/>
  <c r="D37" i="69"/>
  <c r="C37" i="69"/>
  <c r="C33" i="69"/>
  <c r="C39" i="69"/>
  <c r="C46" i="69"/>
  <c r="C45" i="69"/>
  <c r="D8" i="74"/>
  <c r="G68" i="39"/>
  <c r="F70" i="39"/>
  <c r="E40" i="36"/>
  <c r="F40" i="36"/>
  <c r="E41" i="36"/>
  <c r="F41" i="36"/>
  <c r="E42" i="37"/>
  <c r="R43" i="37"/>
  <c r="I47" i="37"/>
  <c r="J47" i="37"/>
  <c r="I46" i="37"/>
  <c r="J46" i="37"/>
  <c r="C50" i="34"/>
  <c r="B2" i="34"/>
  <c r="B3" i="34"/>
  <c r="C49" i="34"/>
  <c r="E43" i="35"/>
  <c r="F43" i="35"/>
  <c r="E42" i="35"/>
  <c r="F42" i="35"/>
  <c r="G46" i="37"/>
  <c r="H46" i="37"/>
  <c r="G47" i="37"/>
  <c r="H47" i="37"/>
  <c r="C36" i="36"/>
  <c r="C37" i="36"/>
  <c r="B2" i="36"/>
  <c r="B3" i="36"/>
  <c r="O63" i="40"/>
  <c r="O65" i="40"/>
  <c r="N65" i="40"/>
  <c r="H7" i="40"/>
  <c r="G58" i="21"/>
  <c r="E54" i="34"/>
  <c r="F54" i="34"/>
  <c r="E53" i="34"/>
  <c r="F53" i="34"/>
  <c r="C38" i="35"/>
  <c r="C39" i="35"/>
  <c r="B2" i="35"/>
  <c r="B3" i="35"/>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68"/>
  <c r="D22" i="68"/>
  <c r="C24" i="68"/>
  <c r="C44" i="68"/>
  <c r="D41" i="68"/>
  <c r="C38" i="15"/>
  <c r="C32" i="15"/>
  <c r="C26" i="12"/>
  <c r="D25" i="12"/>
  <c r="C44" i="11"/>
  <c r="D41" i="11"/>
  <c r="C23" i="11"/>
  <c r="C26" i="11"/>
  <c r="D22" i="11"/>
  <c r="C24" i="11"/>
  <c r="C25" i="11"/>
  <c r="C44" i="69"/>
  <c r="D41" i="69"/>
  <c r="C23" i="69"/>
  <c r="C26" i="69"/>
  <c r="D22" i="69"/>
  <c r="C38" i="67"/>
  <c r="C32" i="67"/>
  <c r="C17" i="15"/>
  <c r="C60" i="67"/>
  <c r="C20" i="69"/>
  <c r="C28" i="69"/>
  <c r="C27" i="69"/>
  <c r="J59" i="83"/>
  <c r="J60" i="83"/>
  <c r="Q48" i="83"/>
  <c r="C37" i="68"/>
  <c r="L46" i="83"/>
  <c r="D31" i="6"/>
  <c r="M21" i="6"/>
  <c r="I21" i="6"/>
  <c r="S21" i="6"/>
  <c r="S8" i="1"/>
  <c r="C34" i="68"/>
  <c r="C38" i="68"/>
  <c r="C14" i="12"/>
  <c r="C16" i="12"/>
  <c r="C21" i="12"/>
  <c r="C36" i="11"/>
  <c r="C37" i="11"/>
  <c r="T6" i="1"/>
  <c r="AQ6" i="1"/>
  <c r="AR6" i="1"/>
  <c r="E6" i="70"/>
  <c r="M20" i="6"/>
  <c r="I20" i="6"/>
  <c r="H20" i="6"/>
  <c r="R20" i="6"/>
  <c r="S7" i="1"/>
  <c r="K27" i="6"/>
  <c r="M19" i="6"/>
  <c r="S26" i="6"/>
  <c r="H26" i="6"/>
  <c r="R26" i="6"/>
  <c r="S23" i="6"/>
  <c r="H23" i="6"/>
  <c r="R23" i="6"/>
  <c r="H21" i="6"/>
  <c r="R21" i="6"/>
  <c r="S25" i="6"/>
  <c r="H25" i="6"/>
  <c r="R25" i="6"/>
  <c r="S22" i="6"/>
  <c r="H22" i="6"/>
  <c r="R22" i="6"/>
  <c r="S24" i="6"/>
  <c r="H24" i="6"/>
  <c r="R24" i="6"/>
  <c r="C66" i="15"/>
  <c r="C23" i="67"/>
  <c r="C29" i="67"/>
  <c r="J14" i="67"/>
  <c r="C42" i="69"/>
  <c r="C43" i="69"/>
  <c r="C38" i="11"/>
  <c r="C35" i="11"/>
  <c r="I5" i="6"/>
  <c r="I6" i="6"/>
  <c r="C11" i="39"/>
  <c r="U7" i="40"/>
  <c r="AB7" i="40"/>
  <c r="T42" i="40"/>
  <c r="G42" i="40"/>
  <c r="J7" i="40"/>
  <c r="E47" i="37"/>
  <c r="F47" i="37"/>
  <c r="E46" i="37"/>
  <c r="F46" i="37"/>
  <c r="H68" i="39"/>
  <c r="G70" i="39"/>
  <c r="H58" i="21"/>
  <c r="F7" i="40"/>
  <c r="C42" i="37"/>
  <c r="C43" i="37"/>
  <c r="B2" i="37"/>
  <c r="B3" i="37"/>
  <c r="G33" i="43"/>
  <c r="I33" i="43"/>
  <c r="E33" i="43"/>
  <c r="G34" i="43"/>
  <c r="I34" i="43"/>
  <c r="E34" i="43"/>
  <c r="G39" i="43"/>
  <c r="I39" i="43"/>
  <c r="E39" i="43"/>
  <c r="E38" i="43"/>
  <c r="G38" i="43"/>
  <c r="I38" i="43"/>
  <c r="E29" i="43"/>
  <c r="C30" i="43"/>
  <c r="E30" i="43"/>
  <c r="G36" i="43"/>
  <c r="I36" i="43"/>
  <c r="E36" i="43"/>
  <c r="G35" i="43"/>
  <c r="I35" i="43"/>
  <c r="E35" i="43"/>
  <c r="G37" i="43"/>
  <c r="I37" i="43"/>
  <c r="E37" i="43"/>
  <c r="C33" i="15"/>
  <c r="C22" i="11"/>
  <c r="C31" i="11"/>
  <c r="C17" i="83"/>
  <c r="C17" i="85"/>
  <c r="C14" i="15"/>
  <c r="G15" i="74"/>
  <c r="S20" i="6"/>
  <c r="C18" i="15"/>
  <c r="C15" i="15"/>
  <c r="J11" i="39"/>
  <c r="F11" i="39"/>
  <c r="H11" i="39"/>
  <c r="E7" i="70"/>
  <c r="E8" i="70"/>
  <c r="C25" i="69"/>
  <c r="C22" i="69"/>
  <c r="C31" i="69"/>
  <c r="J59" i="85"/>
  <c r="J60" i="85"/>
  <c r="C35" i="68"/>
  <c r="C33" i="68"/>
  <c r="C39" i="68"/>
  <c r="C43" i="68"/>
  <c r="AR8" i="1"/>
  <c r="T8" i="1"/>
  <c r="AQ8" i="1"/>
  <c r="C41" i="69"/>
  <c r="C49" i="69"/>
  <c r="C51" i="69"/>
  <c r="C22" i="12"/>
  <c r="AQ7" i="1"/>
  <c r="AR7" i="1"/>
  <c r="T7" i="1"/>
  <c r="S16" i="1"/>
  <c r="C33" i="67"/>
  <c r="M27" i="6"/>
  <c r="I19" i="6"/>
  <c r="J19" i="67"/>
  <c r="C36" i="67"/>
  <c r="C57" i="67"/>
  <c r="C61" i="67"/>
  <c r="J59" i="67"/>
  <c r="J60" i="67"/>
  <c r="Q48" i="67"/>
  <c r="Q49" i="67"/>
  <c r="C13" i="67"/>
  <c r="C75" i="67"/>
  <c r="J59" i="15"/>
  <c r="J60" i="15"/>
  <c r="Q48" i="15"/>
  <c r="C33" i="11"/>
  <c r="R11" i="1"/>
  <c r="R9" i="1"/>
  <c r="R12" i="1"/>
  <c r="R10" i="1"/>
  <c r="R13" i="1"/>
  <c r="R7" i="1"/>
  <c r="R8" i="1"/>
  <c r="S7" i="40"/>
  <c r="AA7" i="40"/>
  <c r="R42" i="40"/>
  <c r="I58" i="21"/>
  <c r="I68" i="39"/>
  <c r="H70" i="39"/>
  <c r="G46" i="40"/>
  <c r="H46" i="40"/>
  <c r="W7" i="40"/>
  <c r="AC7" i="40"/>
  <c r="V42" i="40"/>
  <c r="I42" i="40"/>
  <c r="C26" i="43"/>
  <c r="B2" i="43"/>
  <c r="C27" i="43"/>
  <c r="J13" i="67"/>
  <c r="J23" i="67"/>
  <c r="J22" i="67"/>
  <c r="C14" i="83"/>
  <c r="C14" i="85"/>
  <c r="M21" i="85"/>
  <c r="F35" i="85"/>
  <c r="F35" i="83"/>
  <c r="M21" i="83"/>
  <c r="F35" i="67"/>
  <c r="B6" i="76"/>
  <c r="M21" i="67"/>
  <c r="E6" i="76"/>
  <c r="E2" i="70"/>
  <c r="C19" i="15"/>
  <c r="C18" i="85"/>
  <c r="C15" i="85"/>
  <c r="C15" i="83"/>
  <c r="C18" i="83"/>
  <c r="U11" i="39"/>
  <c r="AB11" i="39"/>
  <c r="W11" i="39"/>
  <c r="AC11" i="39"/>
  <c r="T16" i="1"/>
  <c r="AA11" i="39"/>
  <c r="S11" i="39"/>
  <c r="C20" i="15"/>
  <c r="C26" i="15"/>
  <c r="C52" i="69"/>
  <c r="B2" i="69"/>
  <c r="B3" i="69"/>
  <c r="F63" i="85"/>
  <c r="C62" i="85"/>
  <c r="C34" i="85"/>
  <c r="C31" i="85"/>
  <c r="J20" i="85"/>
  <c r="Q48" i="85"/>
  <c r="L46" i="85"/>
  <c r="J20" i="83"/>
  <c r="F63" i="83"/>
  <c r="C62" i="83"/>
  <c r="C34" i="83"/>
  <c r="C31" i="83"/>
  <c r="C64" i="67"/>
  <c r="I27" i="6"/>
  <c r="S19" i="6"/>
  <c r="S27" i="6"/>
  <c r="H19" i="6"/>
  <c r="C37" i="67"/>
  <c r="C56" i="67"/>
  <c r="C65" i="67"/>
  <c r="L46" i="67"/>
  <c r="Q70" i="67"/>
  <c r="L46" i="15"/>
  <c r="C42" i="68"/>
  <c r="C41" i="68"/>
  <c r="F63" i="67"/>
  <c r="C62" i="67"/>
  <c r="C59" i="67"/>
  <c r="C34" i="67"/>
  <c r="C31" i="67"/>
  <c r="J20" i="67"/>
  <c r="J17" i="67"/>
  <c r="J16" i="67"/>
  <c r="J25" i="67"/>
  <c r="C39" i="11"/>
  <c r="C42" i="11"/>
  <c r="C46" i="68"/>
  <c r="C45" i="68"/>
  <c r="I46" i="40"/>
  <c r="J46" i="40"/>
  <c r="G47" i="40"/>
  <c r="H47" i="40"/>
  <c r="E42" i="40"/>
  <c r="R43" i="40"/>
  <c r="J68" i="39"/>
  <c r="I70" i="39"/>
  <c r="J58" i="21"/>
  <c r="E2" i="76"/>
  <c r="B2" i="76"/>
  <c r="B3" i="43"/>
  <c r="C19" i="83"/>
  <c r="C20" i="83"/>
  <c r="C26" i="83"/>
  <c r="C19" i="85"/>
  <c r="C20" i="85"/>
  <c r="C26" i="85"/>
  <c r="C23" i="15"/>
  <c r="C29" i="15"/>
  <c r="Q49" i="15"/>
  <c r="C57" i="69"/>
  <c r="C56" i="69"/>
  <c r="C30" i="67"/>
  <c r="C39" i="67"/>
  <c r="Q69" i="67"/>
  <c r="Q68" i="67"/>
  <c r="C58" i="67"/>
  <c r="C67" i="67"/>
  <c r="C68" i="67"/>
  <c r="C71" i="67"/>
  <c r="H27" i="6"/>
  <c r="R19" i="6"/>
  <c r="C49" i="68"/>
  <c r="C51" i="68"/>
  <c r="C46" i="11"/>
  <c r="C45" i="11"/>
  <c r="C43" i="11"/>
  <c r="C41" i="11"/>
  <c r="K58" i="21"/>
  <c r="L58" i="21"/>
  <c r="M58" i="21"/>
  <c r="N58" i="21"/>
  <c r="O58" i="21"/>
  <c r="J7" i="21"/>
  <c r="K68" i="39"/>
  <c r="J70" i="39"/>
  <c r="E47" i="40"/>
  <c r="F47" i="40"/>
  <c r="E46" i="40"/>
  <c r="F46" i="40"/>
  <c r="I47" i="40"/>
  <c r="J47" i="40"/>
  <c r="F7" i="21"/>
  <c r="C42" i="40"/>
  <c r="C43" i="40"/>
  <c r="B3" i="76"/>
  <c r="L57" i="15"/>
  <c r="L60" i="15"/>
  <c r="J19" i="15"/>
  <c r="J14" i="15"/>
  <c r="J22" i="15"/>
  <c r="C57" i="15"/>
  <c r="C61" i="15"/>
  <c r="C23" i="83"/>
  <c r="C29" i="83"/>
  <c r="C36" i="83"/>
  <c r="C13" i="15"/>
  <c r="C75" i="15"/>
  <c r="C36" i="15"/>
  <c r="C23" i="85"/>
  <c r="C29" i="85"/>
  <c r="J13" i="15"/>
  <c r="J23" i="15"/>
  <c r="C80" i="67"/>
  <c r="C79" i="67"/>
  <c r="C40" i="67"/>
  <c r="Q56" i="67"/>
  <c r="C49" i="11"/>
  <c r="C51" i="11"/>
  <c r="C52" i="11"/>
  <c r="B2" i="11"/>
  <c r="B3" i="11"/>
  <c r="R27" i="6"/>
  <c r="R6" i="1"/>
  <c r="B55" i="40"/>
  <c r="F55" i="40"/>
  <c r="B60" i="40"/>
  <c r="F60" i="40"/>
  <c r="B57" i="40"/>
  <c r="F57" i="40"/>
  <c r="B59" i="40"/>
  <c r="F59" i="40"/>
  <c r="B56" i="40"/>
  <c r="F56" i="40"/>
  <c r="B54" i="40"/>
  <c r="F54" i="40"/>
  <c r="B53" i="40"/>
  <c r="F53" i="40"/>
  <c r="F61" i="40"/>
  <c r="B2" i="40"/>
  <c r="B3" i="40"/>
  <c r="B58" i="40"/>
  <c r="F58" i="40"/>
  <c r="B52" i="40"/>
  <c r="F52" i="40"/>
  <c r="B51" i="40"/>
  <c r="F51" i="40"/>
  <c r="S7" i="21"/>
  <c r="AA7" i="21"/>
  <c r="R48" i="21"/>
  <c r="H7" i="21"/>
  <c r="L68" i="39"/>
  <c r="K70" i="39"/>
  <c r="AC7" i="21"/>
  <c r="V48" i="21"/>
  <c r="I48" i="21"/>
  <c r="W7" i="21"/>
  <c r="Q57" i="15"/>
  <c r="Q66" i="15"/>
  <c r="F35" i="15"/>
  <c r="M21" i="15"/>
  <c r="L51" i="67"/>
  <c r="C13" i="83"/>
  <c r="C75" i="83"/>
  <c r="J14" i="83"/>
  <c r="J22" i="83"/>
  <c r="C57" i="83"/>
  <c r="C61" i="83"/>
  <c r="C59" i="83"/>
  <c r="C64" i="15"/>
  <c r="C37" i="15"/>
  <c r="Q70" i="15"/>
  <c r="J19" i="83"/>
  <c r="J17" i="83"/>
  <c r="Q49" i="83"/>
  <c r="C56" i="15"/>
  <c r="C65" i="15"/>
  <c r="J13" i="83"/>
  <c r="J23" i="83"/>
  <c r="Q70" i="83"/>
  <c r="C36" i="85"/>
  <c r="J14" i="85"/>
  <c r="Q49" i="85"/>
  <c r="C57" i="85"/>
  <c r="J19" i="85"/>
  <c r="J17" i="85"/>
  <c r="C13" i="85"/>
  <c r="Q67" i="67"/>
  <c r="L57" i="67"/>
  <c r="L60" i="67"/>
  <c r="Q47" i="67"/>
  <c r="Q53" i="67"/>
  <c r="Q65" i="67"/>
  <c r="C43" i="67"/>
  <c r="D2" i="67"/>
  <c r="B3" i="67"/>
  <c r="C83" i="67"/>
  <c r="C82" i="67"/>
  <c r="C45" i="67"/>
  <c r="C46" i="67"/>
  <c r="J20" i="15"/>
  <c r="J17" i="15"/>
  <c r="J16" i="15"/>
  <c r="J25" i="15"/>
  <c r="C34" i="15"/>
  <c r="C31" i="15"/>
  <c r="F63" i="15"/>
  <c r="C62" i="15"/>
  <c r="C59" i="15"/>
  <c r="R16" i="1"/>
  <c r="C56" i="11"/>
  <c r="C57" i="11"/>
  <c r="I52" i="21"/>
  <c r="J52" i="21"/>
  <c r="M68" i="39"/>
  <c r="L70" i="39"/>
  <c r="AB7" i="21"/>
  <c r="T48" i="21"/>
  <c r="G48" i="21"/>
  <c r="U7" i="21"/>
  <c r="E48" i="21"/>
  <c r="I53" i="21"/>
  <c r="J53" i="21"/>
  <c r="R49" i="21"/>
  <c r="C64" i="83"/>
  <c r="C56" i="83"/>
  <c r="C65" i="83"/>
  <c r="C37" i="83"/>
  <c r="C30" i="83"/>
  <c r="C39" i="83"/>
  <c r="C40" i="83"/>
  <c r="C30" i="15"/>
  <c r="C39" i="15"/>
  <c r="C40" i="15"/>
  <c r="J16" i="83"/>
  <c r="J25" i="83"/>
  <c r="C58" i="15"/>
  <c r="C67" i="15"/>
  <c r="C68" i="15"/>
  <c r="C71" i="15"/>
  <c r="Q69" i="83"/>
  <c r="Q68" i="83"/>
  <c r="Q70" i="85"/>
  <c r="C56" i="85"/>
  <c r="C65" i="85"/>
  <c r="C75" i="85"/>
  <c r="C37" i="85"/>
  <c r="C30" i="85"/>
  <c r="C39" i="85"/>
  <c r="C61" i="85"/>
  <c r="C59" i="85"/>
  <c r="C64" i="85"/>
  <c r="J22" i="85"/>
  <c r="J13" i="85"/>
  <c r="J23" i="85"/>
  <c r="Q57" i="67"/>
  <c r="Q62" i="67"/>
  <c r="Q66" i="67"/>
  <c r="Q75" i="67"/>
  <c r="B2" i="67"/>
  <c r="G52" i="21"/>
  <c r="H52" i="21"/>
  <c r="G53" i="21"/>
  <c r="H53" i="21"/>
  <c r="N68" i="39"/>
  <c r="M70" i="39"/>
  <c r="C48" i="21"/>
  <c r="C49" i="21"/>
  <c r="B2" i="21"/>
  <c r="B3" i="21"/>
  <c r="E52" i="21"/>
  <c r="F52" i="21"/>
  <c r="E53" i="21"/>
  <c r="F53" i="21"/>
  <c r="L51" i="83"/>
  <c r="L51" i="15"/>
  <c r="L51" i="85"/>
  <c r="C80" i="83"/>
  <c r="C79" i="83"/>
  <c r="C58" i="83"/>
  <c r="C67" i="83"/>
  <c r="C68" i="83"/>
  <c r="C71" i="83"/>
  <c r="Q69" i="15"/>
  <c r="Q68" i="15"/>
  <c r="Q67" i="83"/>
  <c r="C46" i="15"/>
  <c r="C80" i="15"/>
  <c r="C79" i="15"/>
  <c r="Q67" i="15"/>
  <c r="J16" i="85"/>
  <c r="J25" i="85"/>
  <c r="Q67" i="85"/>
  <c r="C80" i="85"/>
  <c r="C79" i="85"/>
  <c r="C40" i="85"/>
  <c r="Q69" i="85"/>
  <c r="Q68" i="85"/>
  <c r="Q47" i="83"/>
  <c r="Q53" i="83"/>
  <c r="Q56" i="83"/>
  <c r="Q62" i="83"/>
  <c r="Q65" i="83"/>
  <c r="Q75" i="83"/>
  <c r="B2" i="83"/>
  <c r="C43" i="83"/>
  <c r="C83" i="83"/>
  <c r="C82" i="83"/>
  <c r="C58" i="85"/>
  <c r="C67" i="85"/>
  <c r="C68" i="85"/>
  <c r="B2" i="15"/>
  <c r="C8" i="12"/>
  <c r="Q56" i="15"/>
  <c r="Q62" i="15"/>
  <c r="Q65" i="15"/>
  <c r="Q75" i="15"/>
  <c r="C83" i="15"/>
  <c r="C82" i="15"/>
  <c r="Q47" i="15"/>
  <c r="Q53" i="15"/>
  <c r="C43" i="15"/>
  <c r="O68" i="39"/>
  <c r="O70" i="39"/>
  <c r="N70" i="39"/>
  <c r="AO8" i="1"/>
  <c r="AO6" i="1"/>
  <c r="C46" i="83"/>
  <c r="B8" i="70"/>
  <c r="E8" i="12"/>
  <c r="C4" i="12"/>
  <c r="B3" i="83"/>
  <c r="E6" i="12"/>
  <c r="Q47" i="85"/>
  <c r="Q53" i="85"/>
  <c r="Q56" i="85"/>
  <c r="Q62" i="85"/>
  <c r="C43" i="85"/>
  <c r="B2" i="85"/>
  <c r="Q65" i="85"/>
  <c r="Q75" i="85"/>
  <c r="C83" i="85"/>
  <c r="C82" i="85"/>
  <c r="C71" i="85"/>
  <c r="C46" i="85"/>
  <c r="B6" i="70"/>
  <c r="B3" i="15"/>
  <c r="C6" i="12"/>
  <c r="J7" i="39"/>
  <c r="F7" i="39"/>
  <c r="H7" i="39"/>
  <c r="AO7" i="1"/>
  <c r="B7" i="70"/>
  <c r="B2" i="70"/>
  <c r="C23" i="12"/>
  <c r="C30" i="12"/>
  <c r="C28" i="12"/>
  <c r="C31" i="12"/>
  <c r="B3" i="85"/>
  <c r="AB7" i="39"/>
  <c r="T47" i="39"/>
  <c r="G47" i="39"/>
  <c r="U7" i="39"/>
  <c r="S7" i="39"/>
  <c r="AA7" i="39"/>
  <c r="R47" i="39"/>
  <c r="AC7" i="39"/>
  <c r="V47" i="39"/>
  <c r="I47" i="39"/>
  <c r="W7" i="39"/>
  <c r="C27" i="12"/>
  <c r="C25" i="12"/>
  <c r="C32" i="12"/>
  <c r="B2" i="12"/>
  <c r="B3" i="70"/>
  <c r="I51" i="39"/>
  <c r="J51" i="39"/>
  <c r="E47" i="39"/>
  <c r="R48" i="39"/>
  <c r="G51" i="39"/>
  <c r="H51" i="39"/>
  <c r="G52" i="39"/>
  <c r="H52" i="39"/>
  <c r="D19" i="9"/>
  <c r="D21" i="9"/>
  <c r="D102" i="9"/>
  <c r="B3" i="12"/>
  <c r="E51" i="39"/>
  <c r="F51" i="39"/>
  <c r="E52" i="39"/>
  <c r="F52" i="39"/>
  <c r="C48" i="39"/>
  <c r="C47" i="39"/>
  <c r="I52" i="39"/>
  <c r="J52" i="39"/>
  <c r="D20" i="9"/>
  <c r="D103" i="9"/>
  <c r="B60" i="39"/>
  <c r="F60" i="39"/>
  <c r="B58" i="39"/>
  <c r="F58" i="39"/>
  <c r="B64" i="39"/>
  <c r="F64" i="39"/>
  <c r="B57" i="39"/>
  <c r="F57" i="39"/>
  <c r="B62" i="39"/>
  <c r="F62" i="39"/>
  <c r="B61" i="39"/>
  <c r="F61" i="39"/>
  <c r="B56" i="39"/>
  <c r="F56" i="39"/>
  <c r="B59" i="39"/>
  <c r="F59" i="39"/>
  <c r="B65" i="39"/>
  <c r="F65" i="39"/>
  <c r="B63" i="39"/>
  <c r="F63" i="39"/>
  <c r="F66" i="39"/>
  <c r="B2" i="39"/>
  <c r="B3" i="39"/>
  <c r="C6" i="68"/>
  <c r="C7" i="68"/>
  <c r="C5" i="68"/>
  <c r="C23" i="68"/>
  <c r="C20" i="68"/>
  <c r="C28" i="68"/>
  <c r="C27" i="68"/>
  <c r="C25" i="68"/>
  <c r="C22" i="68"/>
  <c r="C31" i="68"/>
  <c r="C52" i="68"/>
  <c r="B2" i="68"/>
  <c r="C19" i="9"/>
  <c r="C57" i="68"/>
  <c r="C56" i="68"/>
  <c r="C21" i="9"/>
  <c r="C102" i="9"/>
  <c r="G19" i="9"/>
  <c r="D22" i="9"/>
  <c r="B3" i="68"/>
  <c r="C20" i="9"/>
  <c r="D34" i="9"/>
  <c r="D35" i="9"/>
  <c r="C103" i="9"/>
  <c r="G20" i="9"/>
  <c r="G21" i="9"/>
  <c r="C32" i="9"/>
  <c r="C35" i="9"/>
  <c r="F118" i="9"/>
  <c r="H118" i="9"/>
  <c r="C34" i="9"/>
  <c r="D118" i="9"/>
  <c r="D119" i="9"/>
  <c r="D5" i="52"/>
  <c r="B49" i="72"/>
  <c r="F4" i="52"/>
  <c r="B51" i="72"/>
  <c r="G118" i="9"/>
  <c r="G4" i="52"/>
  <c r="B52" i="72"/>
  <c r="F119" i="9"/>
  <c r="F5" i="52"/>
  <c r="B53" i="72"/>
  <c r="I118" i="9"/>
  <c r="C104" i="9"/>
  <c r="D14" i="74"/>
  <c r="H101" i="9"/>
  <c r="H109" i="9"/>
  <c r="H4" i="52"/>
  <c r="H119" i="9"/>
  <c r="H5" i="52"/>
  <c r="H110" i="9"/>
  <c r="D18" i="53"/>
  <c r="B35" i="72"/>
  <c r="D16" i="53"/>
  <c r="M49" i="9"/>
  <c r="D124" i="9"/>
  <c r="D4" i="52"/>
  <c r="B47" i="72"/>
  <c r="M48" i="9"/>
  <c r="D5" i="53"/>
  <c r="D45" i="9"/>
  <c r="H107" i="9"/>
  <c r="E14" i="74"/>
  <c r="F14" i="74"/>
  <c r="B5" i="74"/>
  <c r="H102" i="9"/>
  <c r="D7" i="53"/>
  <c r="B21" i="72"/>
  <c r="C105" i="9"/>
  <c r="E118" i="9"/>
  <c r="E4" i="52"/>
  <c r="B48" i="72"/>
  <c r="I4" i="52"/>
  <c r="H14" i="74"/>
  <c r="B7" i="74"/>
  <c r="D10" i="52"/>
  <c r="D125" i="9"/>
  <c r="D11" i="52"/>
  <c r="B34" i="72"/>
  <c r="D17" i="53"/>
  <c r="B36" i="72"/>
  <c r="L68" i="9"/>
  <c r="M68" i="9"/>
  <c r="L65" i="9"/>
  <c r="M65" i="9"/>
  <c r="L66" i="9"/>
  <c r="M66" i="9"/>
  <c r="L64" i="9"/>
  <c r="M64" i="9"/>
  <c r="L63" i="9"/>
  <c r="M63" i="9"/>
  <c r="L67" i="9"/>
  <c r="M67" i="9"/>
  <c r="D5" i="74"/>
  <c r="C5" i="74"/>
  <c r="C78" i="9"/>
  <c r="C73" i="9"/>
  <c r="D55" i="9"/>
  <c r="M53" i="9"/>
  <c r="C93" i="9"/>
  <c r="C86" i="9"/>
  <c r="D52" i="9"/>
  <c r="C85" i="9"/>
  <c r="C95" i="9"/>
  <c r="C72" i="9"/>
  <c r="C64" i="9"/>
  <c r="C63" i="9"/>
  <c r="C67" i="9"/>
  <c r="C68" i="9"/>
  <c r="D54" i="9"/>
  <c r="D53" i="9"/>
  <c r="D13" i="53"/>
  <c r="H108" i="9"/>
  <c r="D15" i="53"/>
  <c r="B31" i="72"/>
  <c r="D122" i="9"/>
  <c r="B20" i="72"/>
  <c r="D6" i="53"/>
  <c r="B22" i="72"/>
  <c r="M69" i="9"/>
  <c r="N69" i="9"/>
  <c r="C7" i="74"/>
  <c r="D7" i="74"/>
  <c r="C79" i="9"/>
  <c r="C80" i="9"/>
  <c r="E80" i="9"/>
  <c r="E81" i="9"/>
  <c r="D123" i="9"/>
  <c r="D9" i="52"/>
  <c r="G14" i="74"/>
  <c r="B6" i="74"/>
  <c r="D8" i="52"/>
  <c r="B30" i="72"/>
  <c r="D14" i="53"/>
  <c r="B32" i="72"/>
  <c r="C81" i="9"/>
  <c r="C96" i="9"/>
  <c r="E96" i="9"/>
  <c r="E97" i="9"/>
  <c r="C97" i="9"/>
  <c r="D58" i="9"/>
  <c r="D56" i="9"/>
  <c r="M54" i="9"/>
  <c r="N57" i="9"/>
  <c r="P57" i="9"/>
  <c r="C6" i="74"/>
  <c r="D6" i="74"/>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<sst xmlns="http://schemas.openxmlformats.org/spreadsheetml/2006/main" count="8716" uniqueCount="3364">
  <si>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</si>
  <si>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</si>
  <si>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</si>
  <si>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</si>
  <si>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</si>
  <si>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</si>
  <si>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</si>
  <si>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</si>
  <si>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</si>
  <si>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</si>
  <si>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</si>
  <si>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</si>
  <si>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</si>
  <si>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</si>
  <si>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</si>
  <si>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</si>
  <si>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</si>
  <si>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</si>
  <si>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</si>
  <si>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</si>
  <si>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</si>
  <si>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</si>
  <si>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</si>
  <si>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</si>
  <si>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</si>
  <si>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</si>
  <si>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</si>
  <si>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</si>
  <si>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</si>
  <si>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</si>
  <si>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</si>
  <si>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</si>
  <si>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</si>
  <si>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</si>
  <si>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</si>
  <si>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</si>
  <si>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</si>
  <si>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</si>
  <si>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</si>
  <si>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</si>
  <si>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</si>
  <si>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</si>
  <si>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</si>
  <si>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</si>
  <si>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</si>
  <si>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</si>
  <si>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</si>
  <si>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</si>
  <si>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</si>
  <si>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</si>
  <si>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</si>
  <si>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</si>
  <si>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</si>
  <si>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</si>
  <si>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</si>
  <si>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</si>
  <si>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</si>
  <si>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</si>
  <si>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</si>
  <si>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</si>
  <si>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</si>
  <si>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</si>
  <si>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</si>
  <si>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</si>
  <si>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</si>
  <si>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</si>
  <si>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</si>
  <si>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</si>
  <si>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</si>
  <si>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</si>
  <si>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</si>
  <si>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</si>
  <si>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</si>
  <si>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</si>
  <si>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</si>
  <si>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</si>
  <si>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</si>
  <si>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</si>
  <si>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</si>
  <si>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</si>
  <si>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</si>
  <si>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</si>
  <si>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</si>
  <si>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</si>
  <si>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</si>
  <si>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</si>
  <si>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</si>
  <si>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</si>
  <si>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</si>
  <si>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</si>
  <si>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</si>
  <si>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</si>
  <si>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</si>
  <si>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</si>
  <si>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</si>
  <si>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</si>
  <si>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</si>
  <si>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</si>
  <si>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</si>
  <si>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</si>
  <si>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</si>
  <si>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</si>
  <si>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</si>
  <si>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</si>
  <si>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</si>
  <si>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</si>
  <si>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</si>
  <si>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</si>
  <si>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</si>
  <si>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</si>
  <si>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</si>
  <si>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</si>
  <si>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</si>
  <si>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</si>
  <si>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</si>
  <si>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</si>
  <si>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</si>
  <si>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</si>
  <si>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</si>
  <si>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</si>
  <si>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</si>
  <si>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</si>
  <si>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</si>
  <si>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</si>
  <si>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</si>
  <si>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</si>
  <si>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</si>
  <si>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</si>
  <si>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</si>
  <si>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</si>
  <si>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</si>
  <si>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</si>
  <si>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</si>
  <si>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</si>
  <si>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</si>
  <si>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</si>
  <si>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</si>
  <si>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</si>
  <si>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</si>
  <si>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</si>
  <si>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</si>
  <si>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</si>
  <si>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</si>
  <si>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</si>
  <si>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</si>
  <si>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</si>
  <si>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</si>
  <si>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</si>
  <si>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</si>
  <si>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</si>
  <si>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</si>
  <si>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</si>
  <si>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</si>
  <si>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</si>
  <si>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</si>
  <si>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</si>
  <si>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</si>
  <si>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</si>
  <si>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</si>
  <si>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</si>
  <si>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</si>
  <si>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</si>
  <si>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</si>
  <si>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</si>
  <si>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</si>
  <si>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</si>
  <si>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</si>
  <si>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</si>
  <si>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</si>
  <si>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</si>
  <si>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</si>
  <si>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</si>
  <si>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</si>
  <si>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</si>
  <si>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</si>
  <si>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</si>
  <si>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</si>
  <si>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</si>
  <si>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</si>
  <si>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</si>
  <si>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</si>
  <si>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</si>
  <si>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</si>
  <si>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</si>
  <si>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</si>
  <si>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</si>
  <si>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</si>
  <si>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</si>
  <si>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</si>
  <si>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</si>
  <si>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</si>
  <si>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</si>
  <si>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</si>
  <si>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</si>
  <si>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</si>
  <si>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</si>
  <si>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</si>
  <si>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</si>
  <si>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</si>
  <si>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</si>
  <si>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</si>
  <si>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</si>
  <si>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</si>
  <si>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</si>
  <si>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</si>
  <si>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</si>
  <si>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</si>
  <si>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</si>
  <si>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</si>
  <si>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</si>
  <si>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</si>
  <si>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</si>
  <si>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</si>
  <si>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</si>
  <si>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</si>
  <si>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</si>
  <si>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</si>
  <si>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</si>
  <si>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</si>
  <si>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</si>
  <si>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</si>
  <si>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</si>
  <si>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</si>
  <si>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</si>
  <si>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</si>
  <si>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</si>
  <si>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</si>
  <si>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</si>
  <si>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</si>
  <si>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</si>
  <si>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</si>
  <si>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</si>
  <si>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</si>
  <si>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</si>
  <si>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</si>
  <si>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</si>
  <si>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</si>
  <si>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</si>
  <si>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</si>
  <si>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</si>
  <si>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</si>
  <si>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</si>
  <si>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</si>
  <si>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</si>
  <si>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</si>
  <si>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</si>
  <si>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</si>
  <si>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</si>
  <si>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</si>
  <si>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</si>
  <si>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</si>
  <si>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</si>
  <si>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</si>
  <si>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</si>
  <si>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</si>
  <si>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</si>
  <si>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</si>
  <si>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</si>
  <si>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</si>
  <si>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</si>
  <si>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</si>
  <si>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</si>
  <si>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</si>
  <si>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</si>
  <si>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</si>
  <si>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</si>
  <si>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</si>
  <si>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</si>
  <si>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</si>
  <si>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</si>
  <si>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</si>
  <si>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</si>
  <si>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</si>
  <si>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</si>
  <si>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</si>
  <si>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</si>
  <si>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</si>
  <si>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</si>
  <si>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</si>
  <si>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</si>
  <si>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</si>
  <si>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</si>
  <si>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</si>
  <si>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</si>
  <si>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</si>
  <si>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</si>
  <si>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</si>
  <si>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</si>
  <si>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</si>
  <si>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</si>
  <si>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</si>
  <si>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</si>
  <si>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</si>
  <si>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</si>
  <si>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</si>
  <si>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</si>
  <si>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</si>
  <si>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</si>
  <si>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</si>
  <si>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</si>
  <si>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</si>
  <si>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</si>
  <si>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</si>
  <si>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</si>
  <si>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</si>
  <si>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</si>
  <si>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</si>
  <si>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</si>
  <si>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</si>
  <si>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</si>
  <si>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</si>
  <si>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</si>
  <si>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</si>
  <si>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</si>
  <si>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</si>
  <si>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</si>
  <si>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</si>
  <si>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</si>
  <si>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</si>
  <si>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</si>
  <si>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</si>
  <si>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</si>
  <si>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</si>
  <si>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</si>
  <si>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</si>
  <si>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</si>
  <si>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</si>
  <si>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</si>
  <si>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</si>
  <si>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</si>
  <si>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</si>
  <si>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</si>
  <si>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</si>
  <si>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</si>
  <si>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</si>
  <si>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</si>
  <si>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</si>
  <si>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</si>
  <si>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</si>
  <si>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</si>
  <si>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</si>
  <si>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</si>
  <si>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</si>
  <si>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</si>
  <si>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</si>
  <si>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</si>
  <si>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</si>
  <si>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</si>
  <si>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</si>
  <si>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</si>
  <si>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</si>
  <si>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</si>
  <si>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</si>
  <si>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</si>
  <si>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</si>
  <si>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</si>
  <si>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</si>
  <si>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</si>
  <si>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</si>
  <si>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</si>
  <si>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</si>
  <si>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</si>
  <si>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</si>
  <si>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</si>
  <si>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</si>
  <si>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</si>
  <si>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</si>
  <si>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</si>
  <si>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</si>
  <si>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</si>
  <si>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</si>
  <si>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</si>
  <si>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</si>
  <si>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</si>
  <si>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</si>
  <si>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</si>
  <si>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</si>
  <si>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</si>
  <si>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</si>
  <si>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</si>
  <si>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</si>
  <si>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</si>
  <si>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</si>
  <si>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</si>
  <si>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</si>
  <si>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</si>
  <si>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</si>
  <si>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</si>
  <si>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</si>
  <si>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</si>
  <si>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</si>
  <si>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</si>
  <si>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</si>
  <si>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</si>
  <si>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</si>
  <si>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</si>
  <si>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</si>
  <si>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</si>
  <si>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</si>
  <si>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</si>
  <si>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</si>
  <si>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</si>
  <si>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</si>
  <si>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</si>
  <si>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</si>
  <si>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</si>
  <si>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</si>
  <si>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</si>
  <si>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</si>
  <si>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</si>
  <si>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</si>
  <si>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</si>
  <si>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</si>
  <si>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</si>
  <si>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</si>
  <si>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</si>
  <si>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</si>
  <si>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</si>
  <si>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</si>
  <si>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</si>
  <si>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</si>
  <si>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</si>
  <si>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</si>
  <si>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</si>
  <si>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</si>
  <si>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</si>
  <si>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</si>
  <si>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</si>
  <si>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</si>
  <si>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</si>
  <si>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</si>
  <si>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</si>
  <si>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</si>
  <si>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</si>
  <si>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</si>
  <si>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</si>
  <si>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</si>
  <si>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</si>
  <si>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</si>
  <si>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</si>
  <si>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</si>
  <si>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</si>
  <si>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</si>
  <si>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</si>
  <si>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</si>
  <si>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</si>
  <si>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</si>
  <si>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</si>
  <si>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</si>
  <si>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</si>
  <si>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</si>
  <si>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</si>
  <si>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</si>
  <si>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</si>
  <si>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</si>
  <si>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</si>
  <si>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</si>
  <si>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</si>
  <si>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</si>
  <si>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</si>
  <si>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</si>
  <si>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</si>
  <si>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</si>
  <si>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</si>
  <si>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</si>
  <si>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</si>
  <si>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</si>
  <si>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</si>
  <si>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</si>
  <si>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</si>
  <si>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</si>
  <si>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</si>
  <si>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</si>
  <si>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</si>
  <si>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</si>
  <si>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</si>
  <si>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</si>
  <si>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</si>
  <si>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</si>
  <si>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</si>
  <si>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</si>
  <si>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</si>
  <si>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</si>
  <si>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</si>
  <si>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</si>
  <si>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</si>
  <si>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</si>
  <si>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</si>
  <si>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</si>
  <si>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</si>
  <si>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</si>
  <si>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</si>
  <si>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</si>
  <si>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</si>
  <si>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</si>
  <si>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</si>
  <si>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</si>
  <si>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</si>
  <si>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</si>
  <si>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</si>
  <si>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</si>
  <si>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</si>
  <si>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</si>
  <si>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</si>
  <si>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</si>
  <si>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</si>
  <si>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</si>
  <si>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</si>
  <si>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</si>
  <si>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</si>
  <si>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</si>
  <si>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</si>
  <si>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</si>
  <si>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</si>
  <si>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</si>
  <si>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</si>
  <si>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</si>
  <si>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</si>
  <si>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</si>
  <si>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</si>
  <si>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</si>
  <si>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</si>
  <si>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</si>
  <si>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</si>
  <si>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</si>
  <si>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</si>
  <si>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</si>
  <si>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</si>
  <si>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</si>
  <si>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</si>
  <si>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</si>
  <si>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</si>
  <si>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</si>
  <si>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</si>
  <si>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</si>
  <si>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</si>
  <si>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</si>
  <si>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</si>
  <si>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</si>
  <si>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</si>
  <si>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</si>
  <si>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</si>
  <si>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</si>
  <si>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</si>
  <si>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</si>
  <si>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</si>
  <si>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</si>
  <si>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</si>
  <si>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</si>
  <si>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</si>
  <si>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</si>
  <si>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</si>
  <si>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</si>
  <si>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</si>
  <si>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</si>
  <si>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</si>
  <si>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</si>
  <si>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</si>
  <si>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</si>
  <si>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</si>
  <si>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</si>
  <si>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</si>
  <si>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</si>
  <si>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</si>
  <si>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</si>
  <si>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</si>
  <si>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</si>
  <si>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</si>
  <si>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</si>
  <si>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</si>
  <si>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</si>
  <si>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</si>
  <si>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</si>
  <si>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</si>
  <si>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</si>
  <si>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</si>
  <si>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</si>
  <si>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</si>
  <si>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</si>
  <si>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</si>
  <si>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</si>
  <si>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</si>
  <si>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</si>
  <si>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</si>
  <si>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</si>
  <si>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</si>
  <si>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</si>
  <si>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</si>
  <si>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</si>
  <si>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</si>
  <si>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</si>
  <si>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</si>
  <si>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</si>
  <si>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</si>
  <si>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</si>
  <si>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</si>
  <si>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</si>
  <si>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</si>
  <si>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</si>
  <si>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</si>
  <si>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</si>
  <si>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</si>
  <si>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</si>
  <si>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</si>
  <si>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</si>
  <si>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</si>
  <si>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</si>
  <si>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</si>
  <si>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</si>
  <si>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</si>
  <si>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</si>
  <si>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</si>
  <si>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</si>
  <si>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</si>
  <si>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</si>
  <si>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</si>
  <si>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</si>
  <si>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</si>
  <si>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</si>
  <si>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</si>
  <si>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</si>
  <si>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</si>
  <si>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</si>
  <si>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</si>
  <si>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</si>
  <si>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</si>
  <si>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</si>
  <si>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</si>
  <si>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</si>
  <si>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</si>
  <si>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</si>
  <si>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</si>
  <si>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</si>
  <si>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</si>
  <si>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</si>
  <si>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</si>
  <si>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</si>
  <si>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</si>
  <si>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</si>
  <si>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</si>
  <si>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</si>
  <si>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</si>
  <si>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</si>
  <si>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</si>
  <si>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</si>
  <si>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</si>
  <si>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</si>
  <si>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</si>
  <si>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</si>
  <si>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</si>
  <si>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</si>
  <si>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</si>
  <si>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</si>
  <si>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</si>
  <si>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</si>
  <si>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</si>
  <si>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</si>
  <si>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</si>
  <si>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</si>
  <si>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</si>
  <si>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</si>
  <si>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</si>
  <si>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</si>
  <si>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</si>
  <si>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</si>
  <si>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</si>
  <si>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</si>
  <si>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</si>
  <si>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</si>
  <si>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</si>
  <si>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</si>
  <si>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</si>
  <si>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</si>
  <si>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</si>
  <si>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</si>
  <si>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</si>
  <si>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</si>
  <si>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</si>
  <si>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</si>
  <si>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</si>
  <si>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</si>
  <si>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</si>
  <si>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</si>
  <si>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</si>
  <si>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</si>
  <si>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</si>
  <si>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</si>
  <si>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</si>
  <si>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</si>
  <si>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</si>
  <si>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</si>
  <si>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</si>
  <si>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</si>
  <si>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</si>
  <si>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</si>
  <si>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</si>
  <si>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</si>
  <si>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</si>
  <si>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</si>
  <si>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</si>
  <si>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</si>
  <si>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</si>
  <si>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</si>
  <si>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</si>
  <si>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</si>
  <si>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</si>
  <si>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</si>
  <si>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</si>
  <si>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</si>
  <si>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</si>
  <si>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</si>
  <si>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</si>
  <si>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</si>
  <si>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</si>
  <si>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</si>
  <si>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</si>
  <si>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</si>
  <si>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</si>
  <si>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</si>
  <si>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</si>
  <si>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</si>
  <si>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</si>
  <si>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</si>
  <si>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</si>
  <si>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</si>
  <si>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</si>
  <si>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</si>
  <si>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</si>
  <si>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</si>
  <si>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</si>
  <si>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</si>
  <si>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</si>
  <si>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</si>
  <si>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</si>
  <si>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</si>
  <si>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</si>
  <si>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</si>
  <si>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</si>
  <si>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</si>
  <si>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</si>
  <si>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</si>
  <si>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</si>
  <si>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</si>
  <si>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</si>
  <si>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</si>
  <si>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</si>
  <si>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</si>
  <si>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</si>
  <si>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</si>
  <si>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</si>
  <si>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</si>
  <si>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</si>
  <si>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</si>
  <si>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</si>
  <si>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</si>
  <si>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</si>
  <si>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</si>
  <si>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</si>
  <si>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</si>
  <si>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</si>
  <si>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</si>
  <si>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</si>
  <si>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</si>
  <si>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</si>
  <si>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</si>
  <si>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</si>
  <si>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</si>
  <si>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</si>
  <si>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</si>
  <si>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</si>
  <si>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</si>
  <si>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</si>
  <si>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</si>
  <si>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</si>
  <si>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</si>
  <si>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</si>
  <si>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</si>
  <si>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</si>
  <si>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</si>
  <si>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</si>
  <si>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</si>
  <si>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</si>
  <si>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</si>
  <si>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</si>
  <si>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</si>
  <si>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</si>
  <si>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</si>
  <si>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</si>
  <si>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</si>
  <si>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</si>
  <si>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</si>
  <si>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</si>
  <si>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</si>
  <si>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</si>
  <si>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</si>
  <si>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</si>
  <si>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</si>
  <si>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</si>
  <si>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</si>
  <si>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</si>
  <si>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</si>
  <si>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</si>
  <si>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</si>
  <si>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</si>
  <si>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</si>
  <si>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</si>
  <si>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</si>
  <si>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</si>
  <si>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</si>
  <si>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</si>
  <si>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</si>
  <si>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</si>
  <si>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</si>
  <si>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</si>
  <si>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</si>
  <si>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</si>
  <si>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</si>
  <si>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</si>
  <si>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</si>
  <si>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</si>
  <si>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</si>
  <si>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</si>
  <si>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</si>
  <si>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</si>
  <si>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</si>
  <si>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</si>
  <si>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</si>
  <si>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</si>
  <si>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</si>
  <si>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</si>
  <si>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</si>
  <si>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</si>
  <si>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</si>
  <si>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</si>
  <si>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</si>
  <si>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</si>
  <si>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</si>
  <si>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</si>
  <si>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</si>
  <si>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</si>
  <si>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</si>
  <si>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</si>
  <si>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</si>
  <si>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</si>
  <si>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</si>
  <si>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</si>
  <si>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</si>
  <si>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</si>
  <si>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</si>
  <si>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</si>
  <si>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</si>
  <si>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</si>
  <si>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</si>
  <si>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</si>
  <si>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</si>
  <si>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</si>
  <si>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</si>
  <si>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</si>
  <si>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</si>
  <si>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</si>
  <si>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</si>
  <si>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</si>
  <si>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</si>
  <si>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</si>
  <si>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</si>
  <si>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</si>
  <si>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</si>
  <si>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</si>
  <si>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</si>
  <si>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</si>
  <si>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</si>
  <si>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</si>
  <si>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</si>
  <si>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</si>
  <si>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</si>
  <si>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</si>
  <si>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</si>
  <si>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</si>
  <si>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</si>
  <si>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</si>
  <si>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</si>
  <si>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</si>
  <si>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</si>
  <si>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</si>
  <si>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</si>
  <si>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</si>
  <si>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</si>
  <si>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</si>
  <si>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</si>
  <si>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</si>
  <si>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</si>
  <si>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</si>
  <si>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</si>
  <si>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</si>
  <si>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</si>
  <si>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</si>
  <si>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</si>
  <si>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</si>
  <si>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</si>
  <si>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</si>
  <si>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</si>
  <si>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</si>
  <si>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</si>
  <si>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</si>
  <si>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</si>
  <si>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</si>
  <si>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</si>
  <si>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</si>
  <si>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</si>
  <si>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</si>
  <si>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</si>
  <si>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</si>
  <si>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</si>
  <si>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</si>
  <si>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</si>
  <si>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</si>
  <si>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</si>
  <si>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</si>
  <si>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</si>
  <si>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</si>
  <si>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</si>
  <si>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</si>
  <si>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</si>
  <si>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</si>
  <si>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</si>
  <si>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</si>
  <si>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</si>
  <si>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</si>
  <si>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</si>
  <si>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</si>
  <si>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</si>
  <si>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</si>
  <si>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</si>
  <si>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</si>
  <si>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</si>
  <si>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</si>
  <si>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</si>
  <si>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</si>
  <si>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</si>
  <si>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</si>
  <si>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</si>
  <si>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</si>
  <si>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</si>
  <si>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</si>
  <si>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</si>
  <si>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</si>
  <si>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</si>
  <si>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</si>
  <si>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</si>
  <si>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</si>
  <si>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</si>
  <si>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</si>
  <si>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</si>
  <si>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</si>
  <si>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</si>
  <si>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</si>
  <si>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</si>
  <si>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</si>
  <si>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</si>
  <si>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</si>
  <si>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</si>
  <si>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</si>
  <si>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</si>
  <si>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</si>
  <si>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</si>
  <si>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</si>
  <si>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</si>
  <si>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</si>
  <si>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</si>
  <si>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</si>
  <si>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</si>
  <si>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</si>
  <si>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</si>
  <si>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</si>
  <si>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</si>
  <si>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</si>
  <si>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</si>
  <si>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</si>
  <si>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</si>
  <si>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</si>
  <si>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</si>
  <si>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</si>
  <si>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</si>
  <si>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</si>
  <si>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</si>
  <si>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</si>
  <si>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</si>
  <si>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</si>
  <si>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</si>
  <si>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</si>
  <si>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</si>
  <si>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</si>
  <si>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</si>
  <si>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</si>
  <si>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</si>
  <si>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</si>
  <si>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</si>
  <si>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</si>
  <si>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</si>
  <si>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</si>
  <si>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</si>
  <si>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</si>
  <si>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</si>
  <si>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</si>
  <si>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</si>
  <si>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</si>
  <si>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</si>
  <si>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</si>
  <si>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</si>
  <si>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</si>
  <si>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</si>
  <si>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</si>
  <si>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</si>
  <si>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</si>
  <si>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</si>
  <si>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</si>
  <si>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</si>
  <si>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</si>
  <si>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</si>
  <si>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</si>
  <si>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</si>
  <si>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</si>
  <si>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</si>
  <si>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</si>
  <si>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</si>
  <si>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</si>
  <si>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</si>
  <si>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</si>
  <si>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</si>
  <si>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</si>
  <si>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</si>
  <si>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</si>
  <si>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</si>
  <si>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</si>
  <si>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</si>
  <si>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</si>
  <si>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</si>
  <si>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</si>
  <si>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</si>
  <si>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</si>
  <si>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</si>
  <si>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</si>
  <si>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</si>
  <si>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</si>
  <si>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</si>
  <si>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</si>
  <si>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</si>
  <si>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</si>
  <si>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</si>
  <si>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</si>
  <si>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</si>
  <si>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</si>
  <si>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</si>
  <si>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</si>
  <si>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</si>
  <si>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</si>
  <si>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</si>
  <si>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</si>
  <si>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</si>
  <si>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</si>
  <si>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</si>
  <si>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</si>
  <si>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</si>
  <si>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</si>
  <si>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</si>
  <si>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</si>
  <si>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</si>
  <si>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</si>
  <si>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</si>
  <si>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</si>
  <si>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</si>
  <si>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</si>
  <si>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</si>
  <si>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</si>
  <si>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</si>
  <si>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</si>
  <si>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</si>
  <si>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</si>
  <si>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</si>
  <si>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</si>
  <si>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</si>
  <si>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</si>
  <si>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</si>
  <si>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</si>
  <si>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</si>
  <si>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</si>
  <si>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</si>
  <si>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</si>
  <si>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</si>
  <si>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</si>
  <si>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</si>
  <si>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</si>
  <si>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</si>
  <si>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</si>
  <si>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</si>
  <si>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</si>
  <si>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</si>
  <si>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</si>
  <si>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</si>
  <si>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</si>
  <si>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</si>
  <si>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</si>
  <si>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</si>
  <si>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</si>
  <si>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</si>
  <si>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</si>
  <si>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</si>
  <si>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</si>
  <si>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</si>
  <si>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</si>
  <si>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</si>
  <si>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</si>
  <si>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</si>
  <si>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</si>
  <si>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</si>
  <si>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</si>
  <si>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</si>
  <si>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</si>
  <si>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</si>
  <si>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</si>
  <si>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</si>
  <si>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</si>
  <si>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</si>
  <si>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</si>
  <si>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</si>
  <si>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</si>
  <si>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</si>
  <si>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</si>
  <si>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</si>
  <si>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</si>
  <si>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</si>
  <si>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</si>
  <si>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</si>
  <si>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</si>
  <si>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</si>
  <si>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</si>
  <si>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</si>
  <si>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</si>
  <si>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</si>
  <si>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</si>
  <si>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</si>
  <si>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</si>
  <si>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</si>
  <si>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</si>
  <si>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</si>
  <si>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</si>
  <si>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</si>
  <si>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</si>
  <si>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</si>
  <si>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</si>
  <si>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</si>
  <si>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</si>
  <si>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</si>
  <si>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</si>
  <si>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</si>
  <si>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</si>
  <si>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</si>
  <si>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</si>
  <si>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</si>
  <si>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</si>
  <si>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</si>
  <si>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</si>
  <si>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</si>
  <si>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</si>
  <si>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</si>
  <si>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</si>
  <si>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</si>
  <si>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</si>
  <si>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</si>
  <si>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</si>
  <si>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</si>
  <si>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</si>
  <si>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</si>
  <si>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</si>
  <si>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</si>
  <si>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</si>
  <si>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</si>
  <si>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</si>
  <si>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</si>
  <si>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</si>
  <si>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</si>
  <si>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</si>
  <si>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</si>
  <si>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</si>
  <si>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</si>
  <si>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</si>
  <si>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</si>
  <si>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</si>
  <si>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</si>
  <si>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</si>
  <si>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</si>
  <si>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</si>
  <si>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</si>
  <si>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</si>
  <si>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</si>
  <si>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</si>
  <si>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</si>
  <si>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</si>
  <si>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</si>
  <si>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</si>
  <si>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</si>
  <si>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</si>
  <si>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</si>
  <si>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</si>
  <si>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</si>
  <si>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</si>
  <si>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</si>
  <si>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</si>
  <si>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</si>
  <si>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</si>
  <si>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</si>
  <si>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</si>
  <si>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</si>
  <si>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</si>
  <si>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</si>
  <si>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</si>
  <si>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</si>
  <si>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</si>
  <si>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</si>
  <si>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</si>
  <si>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</si>
  <si>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</si>
  <si>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</si>
  <si>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</si>
  <si>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</si>
  <si>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</si>
  <si>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</si>
  <si>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</si>
  <si>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</si>
  <si>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</si>
  <si>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</si>
  <si>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</si>
  <si>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</si>
  <si>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</si>
  <si>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</si>
  <si>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</si>
  <si>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</si>
  <si>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</si>
  <si>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</si>
  <si>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</si>
  <si>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</si>
  <si>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</si>
  <si>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</si>
  <si>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</si>
  <si>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</si>
  <si>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</si>
  <si>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</si>
  <si>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</si>
  <si>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</si>
  <si>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</si>
  <si>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</si>
  <si>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</si>
  <si>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</si>
  <si>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</si>
  <si>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</si>
  <si>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</si>
  <si>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</si>
  <si>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</si>
  <si>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</si>
  <si>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</si>
  <si>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</si>
  <si>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</si>
  <si>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</si>
  <si>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</si>
  <si>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</si>
  <si>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</si>
  <si>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</si>
  <si>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</si>
  <si>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</si>
  <si>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</si>
  <si>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</si>
  <si>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</si>
  <si>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</si>
  <si>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</si>
  <si>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</si>
  <si>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</si>
  <si>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</si>
  <si>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</si>
  <si>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</si>
  <si>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</si>
  <si>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</si>
  <si>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</si>
  <si>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</si>
  <si>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</si>
  <si>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</si>
  <si>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</si>
  <si>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</si>
  <si>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</si>
  <si>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</si>
  <si>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</si>
  <si>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</si>
  <si>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</si>
  <si>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</si>
  <si>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</si>
  <si>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</si>
  <si>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</si>
  <si>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</si>
  <si>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</si>
  <si>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</si>
  <si>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</si>
  <si>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</si>
  <si>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</si>
  <si>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</si>
  <si>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</si>
  <si>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</si>
  <si>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</si>
  <si>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</si>
  <si>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</si>
  <si>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</si>
  <si>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</si>
  <si>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</si>
  <si>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</si>
  <si>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</si>
  <si>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</si>
  <si>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</si>
  <si>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</si>
  <si>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</si>
  <si>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</si>
  <si>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</si>
  <si>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</si>
  <si>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</si>
  <si>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</si>
  <si>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</si>
  <si>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</si>
  <si>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</si>
  <si>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</si>
  <si>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</si>
  <si>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</si>
  <si>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</si>
  <si>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</si>
  <si>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</si>
  <si>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</si>
  <si>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</si>
  <si>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</si>
  <si>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</si>
  <si>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</si>
  <si>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</si>
  <si>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</si>
  <si>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</si>
  <si>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</si>
  <si>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</si>
  <si>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</si>
  <si>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</si>
  <si>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</si>
  <si>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</si>
  <si>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</si>
  <si>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</si>
  <si>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</si>
  <si>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</si>
  <si>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</si>
  <si>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</si>
  <si>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</si>
  <si>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</si>
  <si>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</si>
  <si>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</si>
  <si>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</si>
  <si>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</si>
  <si>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</si>
  <si>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</si>
  <si>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</si>
  <si>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</si>
  <si>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</si>
  <si>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</si>
  <si>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</si>
  <si>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</si>
  <si>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</si>
  <si>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</si>
  <si>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</si>
  <si>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</si>
  <si>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</si>
  <si>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</si>
  <si>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</si>
  <si>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</si>
  <si>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</si>
  <si>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</si>
  <si>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</si>
  <si>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</si>
  <si>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</si>
  <si>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</si>
  <si>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</si>
  <si>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</si>
  <si>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</si>
  <si>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</si>
  <si>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</si>
  <si>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</si>
  <si>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</si>
  <si>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</si>
  <si>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</si>
  <si>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</si>
  <si>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</si>
  <si>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</si>
  <si>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</si>
  <si>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</si>
  <si>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</si>
  <si>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</si>
  <si>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</si>
  <si>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</si>
  <si>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</si>
  <si>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</si>
  <si>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</si>
  <si>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</si>
  <si>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</si>
  <si>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</si>
  <si>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</si>
  <si>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</si>
  <si>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</si>
  <si>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</si>
  <si>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</si>
  <si>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</si>
  <si>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</si>
  <si>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</si>
  <si>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</si>
  <si>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</si>
  <si>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</si>
  <si>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</si>
  <si>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</si>
  <si>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</si>
  <si>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</si>
  <si>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</si>
  <si>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</si>
  <si>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</si>
  <si>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</si>
  <si>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</si>
  <si>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</si>
  <si>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</si>
  <si>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</si>
  <si>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</si>
  <si>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</si>
  <si>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</si>
  <si>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</si>
  <si>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</si>
  <si>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</si>
  <si>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</si>
  <si>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</si>
  <si>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</si>
  <si>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</si>
  <si>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</si>
  <si>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</si>
  <si>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</si>
  <si>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</si>
  <si>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</si>
  <si>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</si>
  <si>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</si>
  <si>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</si>
  <si>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</si>
  <si>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</si>
  <si>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</si>
  <si>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</si>
  <si>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</si>
  <si>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</si>
  <si>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</si>
  <si>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</si>
  <si>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</si>
  <si>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</si>
  <si>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</si>
  <si>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</si>
  <si>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</si>
  <si>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</si>
  <si>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</si>
  <si>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</si>
  <si>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</si>
  <si>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</si>
  <si>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</si>
  <si>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</si>
  <si>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</si>
  <si>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</si>
  <si>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</si>
  <si>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</si>
  <si>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</si>
  <si>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</si>
  <si>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</si>
  <si>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</si>
  <si>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</si>
  <si>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</si>
  <si>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</si>
  <si>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</si>
  <si>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</si>
  <si>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</si>
  <si>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</si>
  <si>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</si>
  <si>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</si>
  <si>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</si>
  <si>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</si>
  <si>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</si>
  <si>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</si>
  <si>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</si>
  <si>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</si>
  <si>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</si>
  <si>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</si>
  <si>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</si>
  <si>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</si>
  <si>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</si>
  <si>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</si>
  <si>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</si>
  <si>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</si>
  <si>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</si>
  <si>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</si>
  <si>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</si>
  <si>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</si>
  <si>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</si>
  <si>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</si>
  <si>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</si>
  <si>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</si>
  <si>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</si>
  <si>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</si>
  <si>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</si>
  <si>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</si>
  <si>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</si>
  <si>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</si>
  <si>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</si>
  <si>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</si>
  <si>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</si>
  <si>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</si>
  <si>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</si>
  <si>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</si>
  <si>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</si>
  <si>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</si>
  <si>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</si>
  <si>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</si>
  <si>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</si>
  <si>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</si>
  <si>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</si>
  <si>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</si>
  <si>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</si>
  <si>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</si>
  <si>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</si>
  <si>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</si>
  <si>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</si>
  <si>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</si>
  <si>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</si>
  <si>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</si>
  <si>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</si>
  <si>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</si>
  <si>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</si>
  <si>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</si>
  <si>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</si>
  <si>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</si>
  <si>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</si>
  <si>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</si>
  <si>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</si>
  <si>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</si>
  <si>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</si>
  <si>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</si>
  <si>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</si>
  <si>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</si>
  <si>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</si>
  <si>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</si>
  <si>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</si>
  <si>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</si>
  <si>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</si>
  <si>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</si>
  <si>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</si>
  <si>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</si>
  <si>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</si>
  <si>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</si>
  <si>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</si>
  <si>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</si>
  <si>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</si>
  <si>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</si>
  <si>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</si>
  <si>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</si>
  <si>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</si>
  <si>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</si>
  <si>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</si>
  <si>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</si>
  <si>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</si>
  <si>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</si>
  <si>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</si>
  <si>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</si>
  <si>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</si>
  <si>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</si>
  <si>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</si>
  <si>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</si>
  <si>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</si>
  <si>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</si>
  <si>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</si>
  <si>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</si>
  <si>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</si>
  <si>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</si>
  <si>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</si>
  <si>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</si>
  <si>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</si>
  <si>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</si>
  <si>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</si>
  <si>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</si>
  <si>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</si>
  <si>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</si>
  <si>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</si>
  <si>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</si>
  <si>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</si>
  <si>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</si>
  <si>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</si>
  <si>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</si>
  <si>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</si>
  <si>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</si>
  <si>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</si>
  <si>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</si>
  <si>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</si>
  <si>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</si>
  <si>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</si>
  <si>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</si>
  <si>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</si>
  <si>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</si>
  <si>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</si>
  <si>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</si>
  <si>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</si>
  <si>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</si>
  <si>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</si>
  <si>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</si>
  <si>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</si>
  <si>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</si>
  <si>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</si>
  <si>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</si>
  <si>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</si>
  <si>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</si>
  <si>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</si>
  <si>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</si>
  <si>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</si>
  <si>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</si>
  <si>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</si>
  <si>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</si>
  <si>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</si>
  <si>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</si>
  <si>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</si>
  <si>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</si>
  <si>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</si>
  <si>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</si>
  <si>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</si>
  <si>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</si>
  <si>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</si>
  <si>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</si>
  <si>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</si>
  <si>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</si>
  <si>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</si>
  <si>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</si>
  <si>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</si>
  <si>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</si>
  <si>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</si>
  <si>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</si>
  <si>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</si>
  <si>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</si>
  <si>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</si>
  <si>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</si>
  <si>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</si>
  <si>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</si>
  <si>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</si>
  <si>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</si>
  <si>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</si>
  <si>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</si>
  <si>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</si>
  <si>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</si>
  <si>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</si>
  <si>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</si>
  <si>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</si>
  <si>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</si>
  <si>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</si>
  <si>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</si>
  <si>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</si>
  <si>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</si>
  <si>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</si>
  <si>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</si>
  <si>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</si>
  <si>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</si>
  <si>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</si>
  <si>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</si>
  <si>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</si>
  <si>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</si>
  <si>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</si>
  <si>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</si>
  <si>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</si>
  <si>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</si>
  <si>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</si>
  <si>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</si>
  <si>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</si>
  <si>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</si>
  <si>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</si>
  <si>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</si>
  <si>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</si>
  <si>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</si>
  <si>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</si>
  <si>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</si>
  <si>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</si>
  <si>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</si>
  <si>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</si>
  <si>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</si>
  <si>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</si>
  <si>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</si>
  <si>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</si>
  <si>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</si>
  <si>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</si>
  <si>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</si>
  <si>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</si>
  <si>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</si>
  <si>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</si>
  <si>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</si>
  <si>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</si>
  <si>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</si>
  <si>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</si>
  <si>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</si>
  <si>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</si>
  <si>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</si>
  <si>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</si>
  <si>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</si>
  <si>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</si>
  <si>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</si>
  <si>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</si>
  <si>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</si>
  <si>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</si>
  <si>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</si>
  <si>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</si>
  <si>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</si>
  <si>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</si>
  <si>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</si>
  <si>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</si>
  <si>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</si>
  <si>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</si>
  <si>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</si>
  <si>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</si>
  <si>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</si>
  <si>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</si>
  <si>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</si>
  <si>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</si>
  <si>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</si>
  <si>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</si>
  <si>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</si>
  <si>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</si>
  <si>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</si>
  <si>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</si>
  <si>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</si>
  <si>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</si>
  <si>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</si>
  <si>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</si>
  <si>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</si>
  <si>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</si>
  <si>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</si>
  <si>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</si>
  <si>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</si>
  <si>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</si>
  <si>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</si>
  <si>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</si>
  <si>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</si>
  <si>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</si>
  <si>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</si>
  <si>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</si>
  <si>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</si>
  <si>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</si>
  <si>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</si>
  <si>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</si>
  <si>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</si>
  <si>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</si>
  <si>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</si>
  <si>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</si>
  <si>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</si>
  <si>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</si>
  <si>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</si>
  <si>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</si>
  <si>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</si>
  <si>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</si>
  <si>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</si>
  <si>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</si>
  <si>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</si>
  <si>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</si>
  <si>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</si>
  <si>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</si>
  <si>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</si>
  <si>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</si>
  <si>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</si>
  <si>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</si>
  <si>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</si>
  <si>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</si>
  <si>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</si>
  <si>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</si>
  <si>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</si>
  <si>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</si>
  <si>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</si>
  <si>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</si>
  <si>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</si>
  <si>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</si>
  <si>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</si>
  <si>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</si>
  <si>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</si>
  <si>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</si>
  <si>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</si>
  <si>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</si>
  <si>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</si>
  <si>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</si>
  <si>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</si>
  <si>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</si>
  <si>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</si>
  <si>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</si>
  <si>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</si>
  <si>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</si>
  <si>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</si>
  <si>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</si>
  <si>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</si>
  <si>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</si>
  <si>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</si>
  <si>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</si>
  <si>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</si>
  <si>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</si>
  <si>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</si>
  <si>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</si>
  <si>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</si>
  <si>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</si>
  <si>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</si>
  <si>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</si>
  <si>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</si>
  <si>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</si>
  <si>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</si>
  <si>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</si>
  <si>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</si>
  <si>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</si>
  <si>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</si>
  <si>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</si>
  <si>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</si>
  <si>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</si>
  <si>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</si>
  <si>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</si>
  <si>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</si>
  <si>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</si>
  <si>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</si>
  <si>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</si>
  <si>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</si>
  <si>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</si>
  <si>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</si>
  <si>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</si>
  <si>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</si>
  <si>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</si>
  <si>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</si>
  <si>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</si>
  <si>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</si>
  <si>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</si>
  <si>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</si>
  <si>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</si>
  <si>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</si>
  <si>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</si>
  <si>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</si>
  <si>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</si>
  <si>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</si>
  <si>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</si>
  <si>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</si>
  <si>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</si>
  <si>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</si>
  <si>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</si>
  <si>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</si>
  <si>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</si>
  <si>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</si>
  <si>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</si>
  <si>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</si>
  <si>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</si>
  <si>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</si>
  <si>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</si>
  <si>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</si>
  <si>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</si>
  <si>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</si>
  <si>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</si>
  <si>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</si>
  <si>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</si>
  <si>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</si>
  <si>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</si>
  <si>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</si>
  <si>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</si>
  <si>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</si>
  <si>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</si>
  <si>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</si>
  <si>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</si>
  <si>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</si>
  <si>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</si>
  <si>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</si>
  <si>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</si>
  <si>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</si>
  <si>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</si>
  <si>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</si>
  <si>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</si>
  <si>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</si>
  <si>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</si>
  <si>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</si>
  <si>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</si>
  <si>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</si>
  <si>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</si>
  <si>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</si>
  <si>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</si>
  <si>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</si>
  <si>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</si>
  <si>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</si>
  <si>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</si>
  <si>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</si>
  <si>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</si>
  <si>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</si>
  <si>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</si>
  <si>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</si>
  <si>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</si>
  <si>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</si>
  <si>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</si>
  <si>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</si>
  <si>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</si>
  <si>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</si>
  <si>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</si>
  <si>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</si>
  <si>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</si>
  <si>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</si>
  <si>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</si>
  <si>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</si>
  <si>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</si>
  <si>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</si>
  <si>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</si>
  <si>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</si>
  <si>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</si>
  <si>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</si>
  <si>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</si>
  <si>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</si>
  <si>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</si>
  <si>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</si>
  <si>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</si>
  <si>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</si>
  <si>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</si>
  <si>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</si>
  <si>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</si>
  <si>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</si>
  <si>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</si>
  <si>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</si>
  <si>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</si>
  <si>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</si>
  <si>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</si>
  <si>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</si>
  <si>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</si>
  <si>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</si>
  <si>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</si>
  <si>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</si>
  <si>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</si>
  <si>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</si>
  <si>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</si>
  <si>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</si>
  <si>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</si>
  <si>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</si>
  <si>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</si>
  <si>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</si>
  <si>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</si>
  <si>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</si>
  <si>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</si>
  <si>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</si>
  <si>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</si>
  <si>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</si>
  <si>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</si>
  <si>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</si>
  <si>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</si>
  <si>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</si>
  <si>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</si>
  <si>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</si>
  <si>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</si>
  <si>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</si>
  <si>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</si>
  <si>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</si>
  <si>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</si>
  <si>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</si>
  <si>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</si>
  <si>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</si>
  <si>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</si>
  <si>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</si>
  <si>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</si>
  <si>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</si>
  <si>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</si>
  <si>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</si>
  <si>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</si>
  <si>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</si>
  <si>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</si>
  <si>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</si>
  <si>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</si>
  <si>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</si>
  <si>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</si>
  <si>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</si>
  <si>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</si>
  <si>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</si>
  <si>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</si>
  <si>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</si>
  <si>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</si>
  <si>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</si>
  <si>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</si>
  <si>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</si>
  <si>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</si>
  <si>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</si>
  <si>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</si>
  <si>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</si>
  <si>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</si>
  <si>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</si>
  <si>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</si>
  <si>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</si>
  <si>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</si>
  <si>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</si>
  <si>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</si>
  <si>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</si>
  <si>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</si>
  <si>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</si>
  <si>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</si>
  <si>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</si>
  <si>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</si>
  <si>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</si>
  <si>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</si>
  <si>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</si>
  <si>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</si>
  <si>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</si>
  <si>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</si>
  <si>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</si>
  <si>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</si>
  <si>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</si>
  <si>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</si>
  <si>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</si>
  <si>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</si>
  <si>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</si>
  <si>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</si>
  <si>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</si>
  <si>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</si>
  <si>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</si>
  <si>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</si>
  <si>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</si>
  <si>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</si>
  <si>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</si>
  <si>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</si>
  <si>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</si>
  <si>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</si>
  <si>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</si>
  <si>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</si>
  <si>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</si>
  <si>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</si>
  <si>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</si>
  <si>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</si>
  <si>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</si>
  <si>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</si>
  <si>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</si>
  <si>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</si>
  <si>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</si>
  <si>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</si>
  <si>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</si>
  <si>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</si>
  <si>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</si>
  <si>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</si>
  <si>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</si>
  <si>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</si>
  <si>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</si>
  <si>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</si>
  <si>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</si>
  <si>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</si>
  <si>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</si>
  <si>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</si>
  <si>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</si>
  <si>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</si>
  <si>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</si>
  <si>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</si>
  <si>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</si>
  <si>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</si>
  <si>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</si>
  <si>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</si>
  <si>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</si>
  <si>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</si>
  <si>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</si>
  <si>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</si>
  <si>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</si>
  <si>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</si>
  <si>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</si>
  <si>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</si>
  <si>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</si>
  <si>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</si>
  <si>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</si>
  <si>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</si>
  <si>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</si>
  <si>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</si>
  <si>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</si>
  <si>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</si>
  <si>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</si>
  <si>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</si>
  <si>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</si>
  <si>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</si>
  <si>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</si>
  <si>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</si>
  <si>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</si>
  <si>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</si>
  <si>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</si>
  <si>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</si>
  <si>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</si>
  <si>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</si>
  <si>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</si>
  <si>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</si>
  <si>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</si>
  <si>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</si>
  <si>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</si>
  <si>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</si>
  <si>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</si>
  <si>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</si>
  <si>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</si>
  <si>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</si>
  <si>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</si>
  <si>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</si>
  <si>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</si>
  <si>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</si>
  <si>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</si>
  <si>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</si>
  <si>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</si>
  <si>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</si>
  <si>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</si>
  <si>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</si>
  <si>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</si>
  <si>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</si>
  <si>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</si>
  <si>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</si>
  <si>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</si>
  <si>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</si>
  <si>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</si>
  <si>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</si>
  <si>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</si>
  <si>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</si>
  <si>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</si>
  <si>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</si>
  <si>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</si>
  <si>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</si>
  <si>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</si>
  <si>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</si>
  <si>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</si>
  <si>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</si>
  <si>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</si>
  <si>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</si>
  <si>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</si>
  <si>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</si>
  <si>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</si>
  <si>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</si>
  <si>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</si>
  <si>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</si>
  <si>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</si>
  <si>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</si>
  <si>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</si>
  <si>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</si>
  <si>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</si>
  <si>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</si>
  <si>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</si>
  <si>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</si>
  <si>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</si>
  <si>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</si>
  <si>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</si>
  <si>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</si>
  <si>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</si>
  <si>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</si>
  <si>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</si>
  <si>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</si>
  <si>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</si>
  <si>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</si>
  <si>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</si>
  <si>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</si>
  <si>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</si>
  <si>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</si>
  <si>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</si>
  <si>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</si>
  <si>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</si>
  <si>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</si>
  <si>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</si>
  <si>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</si>
  <si>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</si>
  <si>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</si>
  <si>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</si>
  <si>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</si>
  <si>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</si>
  <si>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</si>
  <si>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</si>
  <si>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</si>
  <si>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</si>
  <si>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</si>
  <si>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</si>
  <si>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</si>
  <si>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</si>
  <si>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</si>
  <si>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</si>
  <si>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</si>
  <si>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</si>
  <si>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</si>
  <si>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</si>
  <si>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</si>
  <si>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</si>
  <si>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</si>
  <si>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</si>
  <si>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</si>
  <si>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</si>
  <si>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</si>
  <si>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</si>
  <si>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</si>
  <si>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</si>
  <si>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</si>
  <si>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</si>
  <si>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</si>
  <si>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</si>
  <si>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</si>
  <si>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</si>
  <si>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</si>
  <si>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</si>
  <si>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</si>
  <si>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</si>
  <si>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</si>
  <si>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</si>
  <si>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</si>
  <si>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</si>
  <si>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</si>
  <si>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</si>
  <si>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</si>
  <si>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</si>
  <si>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</si>
  <si>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</si>
  <si>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</si>
  <si>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</si>
  <si>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</si>
  <si>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</si>
  <si>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</si>
  <si>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</si>
  <si>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</si>
  <si>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</si>
  <si>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</si>
  <si>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</si>
  <si>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</si>
  <si>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</si>
  <si>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</si>
  <si>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</si>
  <si>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</si>
  <si>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</si>
  <si>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</si>
  <si>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</si>
  <si>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</si>
  <si>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</si>
  <si>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</si>
  <si>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</si>
  <si>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</si>
  <si>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</si>
  <si>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</si>
  <si>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</si>
  <si>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</si>
  <si>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</si>
  <si>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</si>
  <si>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</si>
  <si>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</si>
  <si>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</si>
  <si>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</si>
  <si>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</si>
  <si>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</si>
  <si>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</si>
  <si>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</si>
  <si>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</si>
  <si>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</si>
  <si>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</si>
  <si>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</si>
  <si>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</si>
  <si>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</si>
  <si>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</si>
  <si>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</si>
  <si>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</si>
  <si>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</si>
  <si>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</si>
  <si>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</si>
  <si>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</si>
  <si>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</si>
  <si>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</si>
  <si>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</si>
  <si>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</si>
  <si>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</si>
  <si>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</si>
  <si>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</si>
  <si>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</si>
  <si>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</si>
  <si>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</si>
  <si>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</si>
  <si>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</si>
  <si>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</si>
  <si>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</si>
  <si>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</si>
  <si>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</si>
  <si>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</si>
  <si>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</si>
  <si>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</si>
  <si>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</si>
  <si>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</si>
  <si>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</si>
  <si>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</si>
  <si>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</si>
  <si>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</si>
  <si>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</si>
  <si>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</si>
  <si>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</si>
  <si>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</si>
  <si>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</si>
  <si>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</si>
  <si>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</si>
  <si>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</si>
  <si>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</si>
  <si>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</si>
  <si>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</si>
  <si>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</si>
  <si>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</si>
  <si>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</si>
  <si>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</si>
  <si>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</si>
  <si>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</si>
  <si>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</si>
  <si>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</si>
  <si>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</si>
  <si>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</si>
  <si>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</si>
  <si>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</si>
  <si>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</si>
  <si>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</si>
  <si>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</si>
  <si>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</si>
  <si>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</si>
  <si>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</si>
  <si>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</si>
  <si>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</si>
  <si>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</si>
  <si>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</si>
  <si>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</si>
  <si>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</si>
  <si>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</si>
  <si>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</si>
  <si>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</si>
  <si>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</si>
  <si>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</si>
  <si>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</si>
  <si>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</si>
  <si>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</si>
  <si>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</si>
  <si>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</si>
  <si>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</si>
  <si>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</si>
  <si>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</si>
  <si>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</si>
  <si>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</si>
  <si>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</si>
  <si>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</si>
  <si>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</si>
  <si>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</si>
  <si>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</si>
  <si>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</si>
  <si>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</si>
  <si>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</si>
  <si>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</si>
  <si>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</si>
  <si>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</si>
  <si>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</si>
  <si>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</si>
  <si>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</si>
  <si>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</si>
  <si>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</si>
  <si>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</si>
  <si>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</si>
  <si>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</si>
  <si>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</si>
  <si>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</si>
  <si>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</si>
  <si>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</si>
  <si>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</si>
  <si>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</si>
  <si>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</si>
  <si>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</si>
  <si>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</si>
  <si>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</si>
  <si>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</si>
  <si>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</si>
  <si>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</si>
  <si>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</si>
  <si>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</si>
  <si>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</si>
  <si>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</si>
  <si>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</si>
  <si>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</si>
  <si>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</si>
  <si>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</si>
  <si>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</si>
  <si>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</si>
  <si>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</si>
  <si>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</si>
  <si>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</si>
  <si>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</si>
  <si>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</si>
  <si>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</si>
  <si>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</si>
  <si>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</si>
  <si>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</si>
  <si>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</si>
  <si>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</si>
  <si>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</si>
  <si>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</si>
  <si>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</si>
  <si>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</si>
  <si>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</si>
  <si>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</si>
  <si>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</si>
  <si>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</si>
  <si>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</si>
  <si>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</si>
  <si>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</si>
  <si>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</si>
  <si>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</si>
  <si>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</si>
  <si>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</si>
  <si>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</si>
  <si>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</si>
  <si>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</si>
  <si>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</si>
  <si>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</si>
  <si>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</si>
  <si>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</si>
  <si>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</si>
  <si>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</si>
  <si>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</si>
  <si>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</si>
  <si>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</si>
  <si>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</si>
  <si>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</si>
  <si>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</si>
  <si>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</si>
  <si>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</si>
  <si>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</si>
  <si>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</si>
  <si>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</si>
  <si>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</si>
  <si>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</si>
  <si>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</si>
  <si>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</si>
  <si>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</si>
  <si>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</si>
  <si>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</si>
  <si>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</si>
  <si>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</si>
  <si>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</si>
  <si>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</si>
  <si>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</si>
  <si>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</si>
  <si>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</si>
  <si>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</si>
  <si>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</si>
  <si>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</si>
  <si>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</si>
  <si>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</si>
  <si>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</si>
  <si>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</si>
  <si>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</si>
  <si>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</si>
  <si>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</si>
  <si>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</si>
  <si>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</si>
  <si>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</si>
  <si>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</si>
  <si>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</si>
  <si>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</si>
  <si>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</si>
  <si>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</si>
  <si>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</si>
  <si>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</si>
  <si>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</si>
  <si>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</si>
  <si>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</si>
  <si>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</si>
  <si>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</si>
  <si>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</si>
  <si>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</si>
  <si>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</si>
  <si>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</si>
  <si>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</si>
  <si>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</si>
  <si>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</si>
  <si>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</si>
  <si>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</si>
  <si>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</si>
  <si>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</si>
  <si>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</si>
  <si>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</si>
  <si>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</si>
  <si>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</si>
  <si>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</si>
  <si>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</si>
  <si>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</si>
  <si>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</si>
  <si>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</si>
  <si>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</si>
  <si>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</si>
  <si>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</si>
  <si>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</si>
  <si>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</si>
  <si>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</si>
  <si>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</si>
  <si>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</si>
  <si>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</si>
  <si>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</si>
  <si>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</si>
  <si>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</si>
  <si>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</si>
  <si>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</si>
  <si>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</si>
  <si>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</si>
  <si>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</si>
  <si>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</si>
  <si>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</si>
  <si>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</si>
  <si>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</si>
  <si>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</si>
  <si>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</si>
  <si>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</si>
  <si>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</si>
  <si>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</si>
  <si>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</si>
  <si>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</si>
  <si>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</si>
  <si>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</si>
  <si>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</si>
  <si>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</si>
  <si>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</si>
  <si>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</si>
  <si>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</si>
  <si>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</si>
  <si>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</si>
  <si>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</si>
  <si>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</si>
  <si>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</si>
  <si>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</si>
  <si>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</si>
  <si>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</si>
  <si>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</si>
  <si>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</si>
  <si>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</si>
  <si>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</si>
  <si>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</si>
  <si>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</si>
  <si>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</si>
  <si>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</si>
  <si>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</si>
  <si>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</si>
  <si>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</si>
  <si>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</si>
  <si>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</si>
  <si>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</si>
  <si>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</si>
  <si>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</si>
  <si>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</si>
  <si>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</si>
  <si>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</si>
  <si>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</si>
  <si>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</si>
  <si>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</si>
  <si>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</si>
  <si>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</si>
  <si>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</si>
  <si>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</si>
  <si>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</si>
  <si>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</si>
  <si>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</si>
  <si>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</si>
  <si>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</si>
  <si>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</si>
  <si>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</si>
  <si>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</si>
  <si>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</si>
  <si>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</si>
  <si>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</si>
  <si>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</si>
  <si>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</si>
  <si>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</si>
  <si>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</si>
  <si>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</si>
  <si>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</si>
  <si>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</si>
  <si>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</si>
  <si>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</si>
  <si>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</si>
  <si>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</si>
  <si>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</si>
  <si>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</si>
  <si>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</si>
  <si>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</si>
  <si>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</si>
  <si>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</si>
  <si>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</si>
  <si>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</si>
  <si>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</si>
  <si>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</si>
  <si>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</si>
  <si>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</si>
  <si>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</si>
  <si>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</si>
  <si>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</si>
  <si>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</si>
  <si>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</si>
  <si>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</si>
  <si>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</si>
  <si>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</si>
  <si>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</si>
  <si>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</si>
  <si>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</si>
  <si>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</si>
  <si>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</si>
  <si>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</si>
  <si>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</si>
  <si>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</si>
  <si>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</si>
  <si>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</si>
  <si>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</si>
  <si>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</si>
  <si>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</si>
  <si>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</si>
  <si>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</si>
  <si>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</si>
  <si>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</si>
  <si>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</si>
  <si>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</si>
  <si>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</si>
  <si>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</si>
  <si>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</si>
  <si>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</si>
  <si>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</si>
  <si>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</si>
  <si>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</si>
  <si>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</si>
  <si>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</si>
  <si>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</si>
  <si>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</si>
  <si>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</si>
  <si>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</si>
  <si>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</si>
  <si>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</si>
  <si>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</si>
  <si>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</si>
  <si>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</si>
  <si>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</si>
  <si>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</si>
  <si>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</si>
  <si>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</si>
  <si>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</si>
  <si>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</si>
  <si>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</si>
  <si>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</si>
  <si>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</si>
  <si>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</si>
  <si>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</si>
  <si>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</si>
  <si>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</si>
  <si>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</si>
  <si>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</si>
  <si>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</si>
  <si>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</si>
  <si>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</si>
  <si>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</si>
  <si>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</si>
  <si>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</si>
  <si>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</si>
  <si>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</si>
  <si>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</si>
  <si>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</si>
  <si>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</si>
  <si>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</si>
  <si>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</si>
  <si>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</si>
  <si>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</si>
  <si>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</si>
  <si>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</si>
  <si>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</si>
  <si>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</si>
  <si>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</si>
  <si>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</si>
  <si>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</si>
  <si>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</si>
  <si>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</si>
  <si>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</si>
  <si>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</si>
  <si>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</si>
  <si>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</si>
  <si>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</si>
  <si>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</si>
  <si>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</si>
  <si>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</si>
  <si>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</si>
  <si>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</si>
  <si>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</si>
  <si>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</si>
  <si>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</si>
  <si>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</si>
  <si>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</si>
  <si>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</si>
  <si>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</si>
  <si>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</si>
  <si>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</si>
  <si>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</si>
  <si>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</si>
  <si>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</si>
  <si>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</si>
  <si>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</si>
  <si>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</si>
  <si>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</si>
  <si>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</si>
  <si>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</si>
  <si>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</si>
  <si>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</si>
  <si>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</si>
  <si>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</si>
  <si>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</si>
  <si>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</si>
  <si>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</si>
  <si>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</si>
  <si>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</si>
  <si>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</si>
  <si>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</si>
  <si>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</si>
  <si>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</si>
  <si>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</si>
  <si>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</si>
  <si>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</si>
  <si>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</si>
  <si>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</si>
  <si>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</si>
  <si>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</si>
  <si>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</si>
  <si>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</si>
  <si>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</si>
  <si>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</si>
  <si>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</si>
  <si>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</si>
  <si>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</si>
  <si>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</si>
  <si>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</si>
  <si>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</si>
  <si>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</si>
  <si>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</si>
  <si>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</si>
  <si>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</si>
  <si>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</si>
  <si>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</si>
  <si>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</si>
  <si>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</si>
  <si>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</si>
  <si>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</si>
  <si>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</si>
  <si>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</si>
  <si>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</si>
  <si>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</si>
  <si>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</si>
  <si>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</si>
  <si>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</si>
  <si>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</si>
  <si>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</si>
  <si>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</si>
  <si>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</si>
  <si>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</si>
  <si>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</si>
  <si>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</si>
  <si>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</si>
  <si>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</si>
  <si>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</si>
  <si>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</si>
  <si>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</si>
  <si>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</si>
  <si>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</si>
  <si>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</si>
  <si>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</si>
  <si>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</si>
  <si>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</si>
  <si>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</si>
  <si>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</si>
  <si>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</si>
  <si>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</si>
  <si>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</si>
  <si>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</si>
  <si>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</si>
  <si>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</si>
  <si>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</si>
  <si>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</si>
  <si>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</si>
  <si>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</si>
  <si>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</si>
  <si>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</si>
  <si>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</si>
  <si>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</si>
  <si>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</si>
  <si>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</si>
  <si>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</si>
  <si>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</si>
  <si>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</si>
  <si>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</si>
  <si>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</si>
  <si>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</si>
  <si>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</si>
  <si>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</si>
  <si>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</si>
  <si>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</si>
  <si>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</si>
  <si>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</si>
  <si>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</si>
  <si>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</si>
  <si>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</si>
  <si>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</si>
  <si>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</si>
  <si>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</si>
  <si>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</si>
  <si>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</si>
  <si>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</si>
  <si>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</si>
  <si>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</si>
  <si>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</si>
  <si>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</si>
  <si>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</si>
  <si>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</si>
  <si>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</si>
  <si>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</si>
  <si>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</si>
  <si>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</si>
  <si>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</si>
  <si>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</si>
  <si>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</si>
  <si>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</si>
  <si>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</si>
  <si>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</si>
  <si>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</si>
  <si>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</si>
  <si>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</si>
  <si>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</si>
  <si>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</si>
  <si>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</si>
  <si>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</si>
  <si>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</si>
  <si>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</si>
  <si>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</si>
  <si>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</si>
  <si>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</si>
  <si>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</si>
  <si>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</si>
  <si>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</si>
  <si>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</si>
  <si>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</si>
  <si>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</si>
  <si>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</si>
  <si>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</si>
  <si>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</si>
  <si>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</si>
  <si>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</si>
  <si>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</si>
  <si>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</si>
  <si>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</si>
  <si>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</si>
  <si>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</si>
  <si>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</si>
  <si>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</si>
  <si>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</si>
  <si>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</si>
  <si>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</si>
  <si>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</si>
  <si>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</si>
  <si>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</si>
  <si>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</si>
  <si>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</si>
  <si>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</si>
  <si>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</si>
  <si>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</si>
  <si>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</si>
  <si>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</si>
  <si>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</si>
  <si>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</si>
  <si>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</si>
  <si>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</si>
  <si>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</si>
  <si>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</si>
  <si>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</si>
  <si>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</si>
  <si>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</si>
  <si>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</si>
  <si>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</si>
  <si>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</si>
  <si>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</si>
  <si>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</si>
  <si>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</si>
  <si>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</si>
  <si>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</si>
  <si>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</si>
  <si>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</si>
  <si>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</si>
  <si>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</si>
  <si>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</si>
  <si>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</si>
  <si>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</si>
  <si>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</si>
  <si>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</si>
  <si>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</si>
  <si>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</si>
  <si>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</si>
  <si>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</si>
  <si>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</si>
  <si>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</si>
  <si>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</si>
  <si>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</si>
  <si>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</si>
  <si>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</si>
  <si>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</si>
  <si>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</si>
  <si>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</si>
  <si>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</si>
  <si>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</si>
  <si>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</si>
  <si>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</si>
  <si>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</si>
  <si>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</si>
  <si>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</si>
  <si>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</si>
  <si>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</si>
  <si>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</si>
  <si>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</si>
  <si>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</si>
  <si>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</si>
  <si>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</si>
  <si>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</si>
  <si>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</si>
  <si>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</si>
  <si>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</si>
  <si>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</si>
  <si>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</si>
  <si>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</si>
  <si>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</si>
  <si>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</si>
  <si>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</si>
  <si>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</si>
  <si>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</si>
  <si>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</si>
  <si>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</si>
  <si>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</si>
  <si>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</si>
  <si>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</si>
  <si>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</si>
  <si>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</si>
  <si>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</si>
  <si>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</si>
  <si>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</si>
  <si>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</si>
  <si>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</si>
  <si>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</si>
  <si>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</si>
  <si>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</si>
  <si>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</si>
  <si>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</si>
  <si>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</si>
  <si>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</si>
  <si>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</si>
  <si>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</si>
  <si>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</si>
  <si>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</si>
  <si>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</si>
  <si>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</si>
  <si>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</si>
  <si>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</si>
  <si>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</si>
  <si>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</si>
  <si>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</si>
  <si>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</si>
  <si>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</si>
  <si>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</si>
  <si>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</si>
  <si>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</si>
  <si>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</si>
  <si>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</si>
  <si>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</si>
  <si>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</si>
  <si>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</si>
  <si>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</si>
  <si>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</si>
  <si>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</si>
  <si>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</si>
  <si>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</si>
  <si>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</si>
  <si>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</si>
  <si>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</si>
  <si>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</si>
  <si>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</si>
  <si>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</si>
  <si>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</si>
  <si>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</si>
  <si>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</si>
  <si>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</si>
  <si>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</si>
  <si>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</si>
  <si>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</si>
  <si>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</si>
  <si>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</si>
  <si>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</si>
  <si>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</si>
  <si>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</si>
  <si>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</si>
  <si>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</si>
  <si>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</si>
  <si>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</si>
  <si>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</si>
  <si>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</si>
  <si>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</si>
  <si>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</si>
  <si>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</si>
  <si>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</si>
  <si>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</si>
  <si>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</si>
  <si>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</si>
  <si>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</si>
  <si>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</si>
  <si>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</si>
  <si>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</si>
  <si>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</si>
  <si>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</si>
  <si>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</si>
  <si>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</si>
  <si>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</si>
  <si>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</si>
  <si>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</si>
  <si>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</si>
  <si>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</si>
  <si>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</si>
  <si>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</si>
  <si>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</si>
  <si>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</si>
  <si>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</si>
  <si>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</si>
  <si>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</si>
  <si>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</si>
  <si>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</si>
  <si>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</si>
  <si>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</si>
  <si>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</si>
  <si>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</si>
  <si>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</si>
  <si>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</si>
  <si>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</si>
  <si>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</si>
  <si>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</si>
  <si>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</si>
  <si>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</si>
  <si>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</si>
  <si>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</si>
  <si>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</si>
  <si>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</si>
  <si>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</si>
  <si>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</si>
  <si>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</si>
  <si>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</si>
  <si>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</si>
  <si>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</si>
  <si>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</si>
  <si>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</si>
  <si>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</si>
  <si>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</si>
  <si>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成本法</t>
  </si>
  <si>
    <t>现房</t>
  </si>
  <si>
    <t>项目局部</t>
  </si>
  <si>
    <t>成本比率</t>
  </si>
  <si>
    <t>建筑面积</t>
  </si>
  <si>
    <t>土地面积</t>
  </si>
  <si>
    <t>建筑物价值</t>
  </si>
  <si>
    <t>未包含在土地购买价格中</t>
  </si>
  <si>
    <t>已包含在土地取得成本中</t>
  </si>
  <si>
    <t>按租金收入计税</t>
  </si>
  <si>
    <t>钢混</t>
  </si>
  <si>
    <t>非生产用房</t>
  </si>
  <si>
    <t>郑燚</t>
  </si>
  <si>
    <t>王鹏</t>
  </si>
  <si>
    <t>国民信托有限公司</t>
    <phoneticPr fontId="7" type="noConversion"/>
  </si>
  <si>
    <t>抵押</t>
  </si>
  <si>
    <t>房地产市场价值</t>
  </si>
  <si>
    <t>其他：</t>
  </si>
  <si>
    <t>企业</t>
  </si>
  <si>
    <t>出让</t>
  </si>
  <si>
    <t>《不动产权证书》</t>
  </si>
  <si>
    <t>复印件</t>
  </si>
  <si>
    <t>综合项目（商业、办公）</t>
  </si>
  <si>
    <t>通路</t>
  </si>
  <si>
    <t>通电</t>
  </si>
  <si>
    <t>通讯</t>
  </si>
  <si>
    <t>通上水</t>
  </si>
  <si>
    <t>通下水</t>
  </si>
  <si>
    <t>贵州高新中关村贵阳科技园投资开发有限公司</t>
    <phoneticPr fontId="7" type="noConversion"/>
  </si>
  <si>
    <t>贵州省贵阳市</t>
    <phoneticPr fontId="7" type="noConversion"/>
  </si>
  <si>
    <t>钢筋用量：3612.893吨，单位建筑面积钢筋含量：0.060吨/平方米</t>
  </si>
  <si>
    <t>按照计容面积42389.05方计单方造价(万元/m2)</t>
  </si>
  <si>
    <t>按照建筑面积59952.48方计单方造价(万元/m2)</t>
  </si>
  <si>
    <t>工程总投资</t>
  </si>
  <si>
    <t>六</t>
  </si>
  <si>
    <t>50%自筹资金，50%贷款，利率10%，3年期</t>
  </si>
  <si>
    <t>建设期贷款利息</t>
  </si>
  <si>
    <t>五</t>
  </si>
  <si>
    <t>总计南园智谷土地费用51335.11万元和13地块2300万元补土费用。按照建筑面积分摊</t>
  </si>
  <si>
    <t>土地费用</t>
  </si>
  <si>
    <t>四</t>
  </si>
  <si>
    <t>纬路、经纬路分摊</t>
  </si>
  <si>
    <t>智谷公园、城北梅园分摊</t>
  </si>
  <si>
    <t>市政配套费按50元/m2计入</t>
  </si>
  <si>
    <t>市政配套费</t>
  </si>
  <si>
    <t>总计需分摊17100万元。按照建筑面积分摊。单方价格=17100/458911.97</t>
  </si>
  <si>
    <t>市政配套费用（景观公园、道路）</t>
  </si>
  <si>
    <t>三</t>
  </si>
  <si>
    <t>环评、水保、地矿、压灾等前期费用</t>
  </si>
  <si>
    <t>管理费</t>
  </si>
  <si>
    <t>迁改费用</t>
  </si>
  <si>
    <t>招标代理费及交易服务费</t>
  </si>
  <si>
    <t>施工图审查费</t>
  </si>
  <si>
    <t>施工咨询费</t>
  </si>
  <si>
    <t>设计费下浮35%</t>
  </si>
  <si>
    <t>工程设计</t>
  </si>
  <si>
    <t>测绘费用</t>
  </si>
  <si>
    <t>主体合同单价7.8元/m2</t>
  </si>
  <si>
    <t>监理费</t>
  </si>
  <si>
    <t>合同单价为78元/米</t>
  </si>
  <si>
    <t>110元/米</t>
  </si>
  <si>
    <t>78元/米</t>
  </si>
  <si>
    <t>勘察费用</t>
  </si>
  <si>
    <t>工程建设其他费用</t>
  </si>
  <si>
    <t>二</t>
  </si>
  <si>
    <t>强电</t>
  </si>
  <si>
    <t>电梯采购及安装</t>
  </si>
  <si>
    <t>20KV配电工程</t>
  </si>
  <si>
    <t>外墙泛光</t>
  </si>
  <si>
    <t>建筑智能化工程</t>
  </si>
  <si>
    <t>指标价格对比为实际室外环境面积的单价，面积为20219m2</t>
  </si>
  <si>
    <t>300-600</t>
  </si>
  <si>
    <t>室外配套工程（周边绿化及道路铺装）</t>
  </si>
  <si>
    <t>150-200</t>
  </si>
  <si>
    <t>公共区域装饰工程</t>
  </si>
  <si>
    <t>400-700</t>
  </si>
  <si>
    <t>幕墙工程</t>
  </si>
  <si>
    <t>1300-1800</t>
  </si>
  <si>
    <t>主体</t>
  </si>
  <si>
    <t>场平及土石方</t>
  </si>
  <si>
    <t>工程建筑安装费用</t>
  </si>
  <si>
    <t>一</t>
  </si>
  <si>
    <t>市场参考价（元/m2）</t>
  </si>
  <si>
    <t>实际单价（元/m2）</t>
  </si>
  <si>
    <t>单方造价</t>
  </si>
  <si>
    <t>总价</t>
  </si>
  <si>
    <t>备注</t>
  </si>
  <si>
    <t>指标价格对比</t>
  </si>
  <si>
    <t>累计产值（万元）</t>
  </si>
  <si>
    <t>中标价（万元）</t>
  </si>
  <si>
    <t>拦标价（万元）</t>
  </si>
  <si>
    <t>建筑面积㎡</t>
  </si>
  <si>
    <t>费用名称</t>
  </si>
  <si>
    <t>序号</t>
  </si>
  <si>
    <t>南园.智谷13号地块1~5号楼（二期一标）成本核算汇总表</t>
  </si>
  <si>
    <t>钢筋用量：2479.684吨，单位建筑面积钢筋含量：0.065吨/平方米</t>
  </si>
  <si>
    <t>按照计容面积30745.1方计单方造价(万元/m2)</t>
  </si>
  <si>
    <r>
      <rPr>
        <b/>
        <sz val="11"/>
        <color indexed="8"/>
        <rFont val="宋体"/>
        <family val="3"/>
        <charset val="134"/>
      </rPr>
      <t>按照建筑面积43367.6方计单方造价(万元/m2)</t>
    </r>
  </si>
  <si>
    <t>合同下浮率30%</t>
  </si>
  <si>
    <t>320元/米</t>
  </si>
  <si>
    <t>指标价格对比为实际室外环境面积的单价，面积为11806.6m2</t>
  </si>
  <si>
    <t>南园.智谷13号地块6~9号楼（二期二标）成本核算汇总表</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</si>
  <si>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黔（</t>
    </r>
    <r>
      <rPr>
        <sz val="12"/>
        <color theme="9" tint="-0.249977111117893"/>
        <rFont val="Arial"/>
        <family val="2"/>
      </rPr>
      <t>2018</t>
    </r>
    <r>
      <rPr>
        <sz val="12"/>
        <color theme="9" tint="-0.249977111117893"/>
        <rFont val="宋体"/>
        <family val="3"/>
        <charset val="134"/>
      </rPr>
      <t>）高新区（白）不动产权第</t>
    </r>
    <r>
      <rPr>
        <sz val="12"/>
        <color theme="9" tint="-0.249977111117893"/>
        <rFont val="Arial"/>
        <family val="2"/>
      </rPr>
      <t>0000796</t>
    </r>
    <r>
      <rPr>
        <sz val="12"/>
        <color theme="9" tint="-0.249977111117893"/>
        <rFont val="宋体"/>
        <family val="3"/>
        <charset val="134"/>
      </rPr>
      <t>号</t>
    </r>
    <r>
      <rPr>
        <sz val="12"/>
        <color theme="9" tint="-0.249977111117893"/>
        <rFont val="Arial"/>
        <family val="2"/>
      </rPr>
      <t>]</t>
    </r>
    <phoneticPr fontId="7" type="noConversion"/>
  </si>
  <si>
    <t>是</t>
  </si>
  <si>
    <t>地上</t>
  </si>
  <si>
    <t>拦标价（万元）</t>
    <phoneticPr fontId="144" type="noConversion"/>
  </si>
  <si>
    <t>中标价（万元）</t>
    <phoneticPr fontId="144"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</si>
  <si>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</si>
  <si>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</si>
  <si>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</si>
  <si>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</si>
  <si>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</si>
  <si>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</si>
  <si>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</si>
  <si>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</si>
  <si>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</si>
  <si>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</si>
  <si>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</si>
  <si>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</si>
  <si>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</si>
  <si>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</si>
  <si>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</si>
  <si>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</si>
  <si>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</si>
  <si>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</si>
  <si>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</si>
  <si>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</si>
  <si>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贵阳市观山湖区金邻社区阳关村小寨组凯里路与阳关大道交叉口西北侧</t>
  </si>
  <si>
    <t>贵阳市</t>
  </si>
  <si>
    <t>商业/办公用地</t>
  </si>
  <si>
    <t>挂牌</t>
  </si>
  <si>
    <t>G〔18〕076</t>
  </si>
  <si>
    <t>加油加气</t>
  </si>
  <si>
    <t>≤0.5</t>
  </si>
  <si>
    <t>2018-10-15</t>
  </si>
  <si>
    <t>筑公资告〔2018〕地字第064号挂牌出让公告</t>
  </si>
  <si>
    <t>贵州天鼎凯里路甲醇综合加注站有限公司</t>
  </si>
  <si>
    <t>40年</t>
  </si>
  <si>
    <t>4星</t>
  </si>
  <si>
    <t>贵阳市观山湖区宾阳大道南延伸段南侧金华镇蒿芝村</t>
  </si>
  <si>
    <t>G(18)075</t>
  </si>
  <si>
    <t>2018-10-12</t>
  </si>
  <si>
    <t>筑公资告〔2018〕地字第061号挂牌出让公告</t>
  </si>
  <si>
    <t>贵州迈达盛集团有限公司、贵阳观山湖投资(集团)产业发展有限公司</t>
  </si>
  <si>
    <t>2星</t>
  </si>
  <si>
    <t>观山湖区观山西路北侧、诚信南路西侧</t>
  </si>
  <si>
    <t>G(18)069</t>
  </si>
  <si>
    <t>其他商服用地</t>
  </si>
  <si>
    <t>≥1,≤1.5</t>
  </si>
  <si>
    <t>2018-08-31</t>
  </si>
  <si>
    <t>筑公资告〔2018〕地字第050号</t>
  </si>
  <si>
    <t>贵阳观山湖投资(集团)有限公司</t>
  </si>
  <si>
    <t>5星</t>
  </si>
  <si>
    <t>白云区龙井路南侧、金湖路北侧</t>
  </si>
  <si>
    <t>G(18)047</t>
  </si>
  <si>
    <t>≤1</t>
  </si>
  <si>
    <t>2018-07-04</t>
  </si>
  <si>
    <t>筑公资告[2018]029号-1</t>
  </si>
  <si>
    <t>白云区麦架镇小桥村</t>
  </si>
  <si>
    <t>G(18)044</t>
  </si>
  <si>
    <t>≤0.35</t>
  </si>
  <si>
    <t>2018-05-31</t>
  </si>
  <si>
    <t>筑公资告[2018]025号</t>
  </si>
  <si>
    <t>中国石化销售有限公司贵州贵阳石油分公司</t>
  </si>
  <si>
    <t>1星</t>
  </si>
  <si>
    <t>高新区金阳园区</t>
  </si>
  <si>
    <t>G(18)023</t>
  </si>
  <si>
    <t>2018-03-07</t>
  </si>
  <si>
    <t>筑公资告[2018]012号</t>
  </si>
  <si>
    <t>贵州创城房地产开发有限公司</t>
  </si>
  <si>
    <t>白云区艳山红镇观云大道东侧</t>
  </si>
  <si>
    <t>G(18)022</t>
  </si>
  <si>
    <t>≤50%</t>
  </si>
  <si>
    <t>2018-03-05</t>
  </si>
  <si>
    <t>筑公资告[2018]011号</t>
  </si>
  <si>
    <t>中国石油天然气股份有限公司贵州销售分公司</t>
  </si>
  <si>
    <t>观山湖区宾阳大道与体育路交叉口西南、西北两侧</t>
  </si>
  <si>
    <t>G(18)005</t>
  </si>
  <si>
    <t>≤2.5</t>
  </si>
  <si>
    <t>2018-02-07</t>
  </si>
  <si>
    <t>筑公资告[2018]002号-4</t>
  </si>
  <si>
    <t>贵阳宝和房地产开发有限公司</t>
  </si>
  <si>
    <t>3星</t>
  </si>
  <si>
    <t>G(18)003</t>
  </si>
  <si>
    <t>≤2</t>
  </si>
  <si>
    <t>筑公资告[2018]002号-3</t>
  </si>
  <si>
    <t>白云区艳山红镇观云大道西侧</t>
  </si>
  <si>
    <t>G(17)083</t>
  </si>
  <si>
    <t>2018-01-24</t>
  </si>
  <si>
    <t>筑公资告[2017]061号</t>
  </si>
  <si>
    <t>贵州迈达盛集团有限公司</t>
  </si>
  <si>
    <t>白云区艳山红镇原氧化铝厂片区</t>
  </si>
  <si>
    <t>G(17)068</t>
  </si>
  <si>
    <t>2017-12-11</t>
  </si>
  <si>
    <t>筑公资告[2017]053号-4</t>
  </si>
  <si>
    <t>恒大地产集团贵阳置业有限公司</t>
  </si>
  <si>
    <t>G(17)066</t>
  </si>
  <si>
    <t>≤3</t>
  </si>
  <si>
    <t>筑公资告[2017]053号-2</t>
  </si>
  <si>
    <t>绿地集团(贵阳)置业有限公司</t>
  </si>
  <si>
    <t>G(17)065</t>
  </si>
  <si>
    <t>≤3.5</t>
  </si>
  <si>
    <t>筑公资告[2017]053号-1</t>
  </si>
  <si>
    <t>G(17)067</t>
  </si>
  <si>
    <t>筑公资告[2017]053号-3</t>
  </si>
  <si>
    <t>白云区麦架镇麦架村白修线西侧</t>
  </si>
  <si>
    <t>G(17)058</t>
  </si>
  <si>
    <t>≤0.8</t>
  </si>
  <si>
    <t>2017-11-15</t>
  </si>
  <si>
    <t>筑公资告[2017]044号</t>
  </si>
  <si>
    <t>观山湖区金华镇何关村金清大道清镇往观山湖区方向右侧</t>
  </si>
  <si>
    <t>G(17)057</t>
  </si>
  <si>
    <t>筑公资告[2017]043号</t>
  </si>
  <si>
    <t>贵州天鼎金清大道甲醇综合加注站有限公司</t>
  </si>
  <si>
    <t>观山西路南侧,云潭南路西侧</t>
  </si>
  <si>
    <t>G(17)039</t>
  </si>
  <si>
    <t>≥1且≤5</t>
  </si>
  <si>
    <t>2017-07-28</t>
  </si>
  <si>
    <t>筑公资告[2017]025号-1</t>
  </si>
  <si>
    <t>贵阳万科远通置业有限公司</t>
  </si>
  <si>
    <t>白云区艳山红镇云环路西侧</t>
  </si>
  <si>
    <t>G(17)002</t>
  </si>
  <si>
    <t>商业用地</t>
  </si>
  <si>
    <t>2017-03-08</t>
  </si>
  <si>
    <t>筑公资告[2017]002号</t>
  </si>
  <si>
    <t>贵阳云中能源投资有限公司</t>
  </si>
  <si>
    <t>白云区龙井路南侧、金湖路北侧、诚信北路沿线西侧</t>
  </si>
  <si>
    <t>拍卖</t>
  </si>
  <si>
    <t>G(17)004</t>
  </si>
  <si>
    <t>2017-02-27</t>
  </si>
  <si>
    <t>筑公资告[2017]003号-2</t>
  </si>
  <si>
    <t>贵阳仟坤文创置业有限公司</t>
  </si>
  <si>
    <t>白云区龙井路南侧、金湖路北侧、云峰大道西侧</t>
  </si>
  <si>
    <t>G(17)005</t>
  </si>
  <si>
    <t>筑公资告[2017]003号-3</t>
  </si>
  <si>
    <t>贵阳市高新区沙文生态科技产业园区北部</t>
  </si>
  <si>
    <t>G(16)092</t>
  </si>
  <si>
    <t>加油加气站用地</t>
  </si>
  <si>
    <t>2017-01-23</t>
  </si>
  <si>
    <t>筑公资告[2016]058号</t>
  </si>
  <si>
    <t>贵阳高科控股集团有限公司</t>
  </si>
  <si>
    <t>白云区黑石头二号路</t>
  </si>
  <si>
    <t>G(16)089</t>
  </si>
  <si>
    <t>≤0.4</t>
  </si>
  <si>
    <t>2017-01-10</t>
  </si>
  <si>
    <t>筑公资告[2016]053号</t>
  </si>
  <si>
    <t>观山湖区林城东路与长岭北路西南角</t>
  </si>
  <si>
    <t>G(16)049</t>
  </si>
  <si>
    <t>地面为公园绿地,地下为商业</t>
  </si>
  <si>
    <t>≤1.5</t>
  </si>
  <si>
    <t>2016-06-23</t>
  </si>
  <si>
    <t>筑公资告(2016)地字第025号-1</t>
  </si>
  <si>
    <t>贵阳金融控股有限公司</t>
  </si>
  <si>
    <t>观山湖区林城东路与210国道西北角</t>
  </si>
  <si>
    <t>G(16)050</t>
  </si>
  <si>
    <t>筑公资告(2016)地字第025号-2</t>
  </si>
  <si>
    <t>观山湖区云潭南路与观山西路交叉口西南侧</t>
  </si>
  <si>
    <t>G(16)003</t>
  </si>
  <si>
    <t>≤2.76</t>
  </si>
  <si>
    <t>2016-03-01</t>
  </si>
  <si>
    <t>筑公资告[2016]003号</t>
  </si>
  <si>
    <t>大连万达商业地产股份有限公司</t>
  </si>
  <si>
    <t>北大资源集团投资有限公司、五矿国际信托有限公司</t>
    <phoneticPr fontId="144" type="noConversion"/>
  </si>
  <si>
    <t>正常</t>
  </si>
  <si>
    <t>较规则</t>
  </si>
  <si>
    <t>较规则</t>
    <phoneticPr fontId="32" type="noConversion"/>
  </si>
  <si>
    <t>五通一平</t>
  </si>
  <si>
    <t>五通一平</t>
    <phoneticPr fontId="32" type="noConversion"/>
  </si>
  <si>
    <t>四通一平</t>
    <phoneticPr fontId="32" type="noConversion"/>
  </si>
  <si>
    <t>三通一平</t>
    <phoneticPr fontId="32" type="noConversion"/>
  </si>
  <si>
    <t>较好</t>
  </si>
  <si>
    <t>较好</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</si>
  <si>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</si>
  <si>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</si>
  <si>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</si>
  <si>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</si>
  <si>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</si>
  <si>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贵阳监测指标情况一览表</t>
  </si>
  <si>
    <t>时间</t>
  </si>
  <si>
    <t>水平值</t>
  </si>
  <si>
    <t>环比增长率</t>
  </si>
  <si>
    <t>商服</t>
    <phoneticPr fontId="144" type="noConversion"/>
  </si>
  <si>
    <t>综合</t>
    <phoneticPr fontId="144" type="noConversion"/>
  </si>
  <si>
    <t>一般</t>
  </si>
  <si>
    <t>六通</t>
  </si>
  <si>
    <t>支路</t>
  </si>
  <si>
    <t>办公</t>
    <phoneticPr fontId="8" type="noConversion"/>
  </si>
  <si>
    <t>酒店</t>
  </si>
  <si>
    <t>酒店</t>
    <phoneticPr fontId="8" type="noConversion"/>
  </si>
  <si>
    <t>地下</t>
  </si>
  <si>
    <t>车库—商业</t>
  </si>
  <si>
    <t>车库</t>
  </si>
  <si>
    <t>车库</t>
    <phoneticPr fontId="8" type="noConversion"/>
  </si>
  <si>
    <r>
      <rPr>
        <sz val="12"/>
        <color theme="9" tint="-0.249977111117893"/>
        <rFont val="宋体"/>
        <family val="3"/>
        <charset val="134"/>
      </rPr>
      <t>办公及地下车库</t>
    </r>
    <r>
      <rPr>
        <sz val="12"/>
        <color theme="9" tint="-0.249977111117893"/>
        <rFont val="Arial"/>
        <family val="2"/>
      </rPr>
      <t>37.97</t>
    </r>
    <r>
      <rPr>
        <sz val="12"/>
        <color theme="9" tint="-0.249977111117893"/>
        <rFont val="宋体"/>
        <family val="3"/>
        <charset val="134"/>
      </rPr>
      <t>年</t>
    </r>
    <phoneticPr fontId="7" type="noConversion"/>
  </si>
  <si>
    <t>办公及地下车库</t>
  </si>
  <si>
    <t>办公及地下车库</t>
    <phoneticPr fontId="7" type="noConversion"/>
  </si>
  <si>
    <t>工程进度</t>
  </si>
  <si>
    <t>在建（套用方法）</t>
  </si>
  <si>
    <t>收益法（办公）</t>
  </si>
  <si>
    <t>收益法（酒店）</t>
  </si>
  <si>
    <t>收益法（地下车库）</t>
  </si>
  <si>
    <t>2层</t>
    <phoneticPr fontId="144" type="noConversion"/>
  </si>
  <si>
    <r>
      <t>半层5</t>
    </r>
    <r>
      <rPr>
        <sz val="11"/>
        <color theme="1"/>
        <rFont val="宋体"/>
        <family val="3"/>
        <charset val="134"/>
        <scheme val="minor"/>
      </rPr>
      <t>00平</t>
    </r>
    <phoneticPr fontId="144" type="noConversion"/>
  </si>
  <si>
    <t>土地面积</t>
    <phoneticPr fontId="262" type="noConversion"/>
  </si>
  <si>
    <t>规划建筑面积</t>
    <phoneticPr fontId="262" type="noConversion"/>
  </si>
  <si>
    <t>合计</t>
    <phoneticPr fontId="262" type="noConversion"/>
  </si>
  <si>
    <t>地上</t>
    <phoneticPr fontId="262" type="noConversion"/>
  </si>
  <si>
    <t>地下</t>
    <phoneticPr fontId="262" type="noConversion"/>
  </si>
  <si>
    <t>小计</t>
    <phoneticPr fontId="262" type="noConversion"/>
  </si>
  <si>
    <t>经营性</t>
    <phoneticPr fontId="262" type="noConversion"/>
  </si>
  <si>
    <t>非经营性</t>
    <phoneticPr fontId="262" type="noConversion"/>
  </si>
  <si>
    <t>小计</t>
    <phoneticPr fontId="262" type="noConversion"/>
  </si>
  <si>
    <t>经营性</t>
    <phoneticPr fontId="262" type="noConversion"/>
  </si>
  <si>
    <t>办公</t>
    <phoneticPr fontId="262" type="noConversion"/>
  </si>
  <si>
    <t>酒店</t>
    <phoneticPr fontId="262" type="noConversion"/>
  </si>
  <si>
    <t>设备及其他用房</t>
    <phoneticPr fontId="262" type="noConversion"/>
  </si>
  <si>
    <t>地下车库</t>
    <phoneticPr fontId="262" type="noConversion"/>
  </si>
  <si>
    <t>13#</t>
    <phoneticPr fontId="262" type="noConversion"/>
  </si>
  <si>
    <t>16#</t>
    <phoneticPr fontId="262" type="noConversion"/>
  </si>
  <si>
    <t>白云区（高新）沙文生态科技产业园“贵州科学城•智谷”项目01-02-13地块</t>
    <phoneticPr fontId="7" type="noConversion"/>
  </si>
  <si>
    <t>假设开发法</t>
  </si>
  <si>
    <t>已注销</t>
  </si>
  <si>
    <t>在建</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</si>
</sst>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Red]\(0.0000\)"/>
    <numFmt numFmtId="198" formatCode="#,##0.00_);[Red]\(#,##0.00\)"/>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
      <sz val="11"/>
      <name val="宋体"/>
      <family val="3"/>
      <charset val="134"/>
      <scheme val="minor"/>
    </font>
    <font>
      <sz val="20"/>
      <color theme="1"/>
      <name val="宋体"/>
      <family val="3"/>
      <charset val="134"/>
      <scheme val="minor"/>
    </font>
    <font>
      <b/>
      <sz val="11"/>
      <color indexed="8"/>
      <name val="宋体"/>
      <family val="3"/>
      <charset val="134"/>
      <scheme val="minor"/>
    </font>
    <font>
      <sz val="8"/>
      <color theme="1"/>
      <name val="微软雅黑"/>
      <family val="2"/>
      <charset val="134"/>
    </font>
    <font>
      <sz val="8"/>
      <color rgb="FF2E2E2E"/>
      <name val="微软雅黑"/>
      <family val="2"/>
      <charset val="134"/>
    </font>
    <font>
      <sz val="9"/>
      <color theme="1"/>
      <name val="微软雅黑"/>
      <family val="2"/>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 fillId="0" borderId="0">
      <alignment vertical="center"/>
    </xf>
    <xf numFmtId="0" fontId="138" fillId="0" borderId="0">
      <alignment vertical="center"/>
    </xf>
  </cellStyleXfs>
  <cellXfs count="33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14" fontId="65" fillId="8" borderId="13"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10" applyFont="1" applyFill="1">
      <alignment vertical="center"/>
    </xf>
    <xf numFmtId="187" fontId="100" fillId="0" borderId="0" xfId="10" applyNumberFormat="1" applyFont="1" applyFill="1" applyAlignment="1">
      <alignment horizontal="left" vertical="center" wrapText="1"/>
    </xf>
    <xf numFmtId="177" fontId="100" fillId="0" borderId="0" xfId="10" applyNumberFormat="1" applyFont="1" applyFill="1" applyAlignment="1">
      <alignment horizontal="center" vertical="center"/>
    </xf>
    <xf numFmtId="187" fontId="100" fillId="0" borderId="0" xfId="10" applyNumberFormat="1" applyFont="1" applyFill="1" applyAlignment="1">
      <alignment horizontal="center" vertical="center"/>
    </xf>
    <xf numFmtId="0" fontId="100" fillId="0" borderId="0" xfId="10" applyFont="1" applyFill="1" applyAlignment="1">
      <alignment horizontal="center" vertical="center"/>
    </xf>
    <xf numFmtId="197" fontId="100" fillId="0" borderId="0" xfId="10" applyNumberFormat="1" applyFont="1" applyFill="1" applyAlignment="1">
      <alignment horizontal="center" vertical="center"/>
    </xf>
    <xf numFmtId="176" fontId="100" fillId="0" borderId="0" xfId="10" applyNumberFormat="1" applyFont="1" applyFill="1" applyAlignment="1">
      <alignment horizontal="center" vertical="center"/>
    </xf>
    <xf numFmtId="187" fontId="101" fillId="0" borderId="1" xfId="1" applyNumberFormat="1" applyFont="1" applyFill="1" applyBorder="1" applyAlignment="1">
      <alignment horizontal="left" vertical="center" wrapText="1"/>
    </xf>
    <xf numFmtId="177" fontId="101" fillId="0" borderId="1" xfId="1" applyNumberFormat="1" applyFont="1" applyFill="1" applyBorder="1" applyAlignment="1">
      <alignment horizontal="center" vertical="center"/>
    </xf>
    <xf numFmtId="187" fontId="101" fillId="0" borderId="1" xfId="1" applyNumberFormat="1" applyFont="1" applyFill="1" applyBorder="1" applyAlignment="1">
      <alignment horizontal="center" vertical="center"/>
    </xf>
    <xf numFmtId="197" fontId="101" fillId="0" borderId="1" xfId="1" applyNumberFormat="1" applyFont="1" applyFill="1" applyBorder="1" applyAlignment="1">
      <alignment horizontal="center" vertical="center"/>
    </xf>
    <xf numFmtId="197" fontId="100" fillId="0" borderId="1" xfId="1" applyNumberFormat="1" applyFont="1" applyFill="1" applyBorder="1" applyAlignment="1">
      <alignment horizontal="center" vertical="center"/>
    </xf>
    <xf numFmtId="176" fontId="100" fillId="0" borderId="1" xfId="1" applyNumberFormat="1" applyFont="1" applyFill="1" applyBorder="1" applyAlignment="1">
      <alignment horizontal="center" vertical="center"/>
    </xf>
    <xf numFmtId="176" fontId="101" fillId="0" borderId="1" xfId="1" applyNumberFormat="1" applyFont="1" applyFill="1" applyBorder="1" applyAlignment="1">
      <alignment horizontal="left" vertical="center" wrapText="1"/>
    </xf>
    <xf numFmtId="176" fontId="101" fillId="0" borderId="1" xfId="1" applyNumberFormat="1" applyFont="1" applyFill="1" applyBorder="1" applyAlignment="1">
      <alignment horizontal="center" vertical="center"/>
    </xf>
    <xf numFmtId="0" fontId="101" fillId="0" borderId="1" xfId="1" applyFont="1" applyFill="1" applyBorder="1" applyAlignment="1">
      <alignment horizontal="center" vertical="center"/>
    </xf>
    <xf numFmtId="0" fontId="101" fillId="0" borderId="1" xfId="1" applyFont="1" applyFill="1" applyBorder="1" applyAlignment="1">
      <alignment horizontal="left" vertical="center"/>
    </xf>
    <xf numFmtId="187" fontId="100" fillId="0" borderId="1" xfId="1" applyNumberFormat="1" applyFont="1" applyFill="1" applyBorder="1" applyAlignment="1">
      <alignment horizontal="left" vertical="center" wrapText="1"/>
    </xf>
    <xf numFmtId="188" fontId="101" fillId="0" borderId="1" xfId="1" applyNumberFormat="1" applyFont="1" applyFill="1" applyBorder="1" applyAlignment="1">
      <alignment horizontal="center" vertical="center"/>
    </xf>
    <xf numFmtId="0" fontId="255" fillId="0" borderId="1" xfId="1" applyFont="1" applyFill="1" applyBorder="1" applyAlignment="1">
      <alignment horizontal="center" vertical="center" wrapText="1"/>
    </xf>
    <xf numFmtId="0" fontId="256" fillId="0" borderId="1" xfId="1" applyFont="1" applyFill="1" applyBorder="1" applyAlignment="1">
      <alignment horizontal="center" vertical="center" wrapText="1"/>
    </xf>
    <xf numFmtId="0" fontId="255" fillId="0" borderId="1" xfId="1" applyFont="1" applyFill="1" applyBorder="1" applyAlignment="1">
      <alignment horizontal="left" vertical="center" wrapText="1"/>
    </xf>
    <xf numFmtId="0" fontId="100" fillId="0" borderId="0" xfId="10" applyFont="1">
      <alignment vertical="center"/>
    </xf>
    <xf numFmtId="0" fontId="100" fillId="0" borderId="1" xfId="10" applyFont="1" applyBorder="1" applyAlignment="1">
      <alignment vertical="center" wrapText="1"/>
    </xf>
    <xf numFmtId="0" fontId="100" fillId="0" borderId="1" xfId="10" applyFont="1" applyBorder="1">
      <alignment vertical="center"/>
    </xf>
    <xf numFmtId="186" fontId="100" fillId="7" borderId="1" xfId="1" applyNumberFormat="1" applyFont="1" applyFill="1" applyBorder="1" applyAlignment="1">
      <alignment horizontal="center" vertical="center"/>
    </xf>
    <xf numFmtId="186" fontId="100" fillId="0" borderId="1" xfId="1" applyNumberFormat="1" applyFont="1" applyFill="1" applyBorder="1" applyAlignment="1">
      <alignment horizontal="center" vertical="center"/>
    </xf>
    <xf numFmtId="177" fontId="256" fillId="7" borderId="1" xfId="1" applyNumberFormat="1" applyFont="1" applyFill="1" applyBorder="1" applyAlignment="1">
      <alignment horizontal="center" vertical="center" wrapText="1"/>
    </xf>
    <xf numFmtId="0" fontId="256" fillId="7" borderId="1" xfId="1" applyFont="1" applyFill="1" applyBorder="1" applyAlignment="1">
      <alignment horizontal="left" vertical="center" wrapText="1"/>
    </xf>
    <xf numFmtId="0" fontId="100" fillId="7" borderId="1" xfId="1" applyFont="1" applyFill="1" applyBorder="1" applyAlignment="1">
      <alignment horizontal="center" vertical="center"/>
    </xf>
    <xf numFmtId="0" fontId="100" fillId="5" borderId="1" xfId="10" applyFont="1" applyFill="1" applyBorder="1" applyAlignment="1">
      <alignment vertical="center" wrapText="1"/>
    </xf>
    <xf numFmtId="0" fontId="256" fillId="0" borderId="1" xfId="1" applyFont="1" applyFill="1" applyBorder="1" applyAlignment="1">
      <alignment horizontal="left" vertical="center" wrapText="1"/>
    </xf>
    <xf numFmtId="0" fontId="100" fillId="0" borderId="1" xfId="1" applyFont="1" applyFill="1" applyBorder="1" applyAlignment="1">
      <alignment horizontal="center" vertical="center"/>
    </xf>
    <xf numFmtId="177" fontId="100" fillId="0" borderId="1" xfId="1" applyNumberFormat="1" applyFont="1" applyFill="1" applyBorder="1" applyAlignment="1">
      <alignment horizontal="center" vertical="center"/>
    </xf>
    <xf numFmtId="187" fontId="100" fillId="0" borderId="1" xfId="1" applyNumberFormat="1" applyFont="1" applyFill="1" applyBorder="1" applyAlignment="1">
      <alignment horizontal="center" vertical="center"/>
    </xf>
    <xf numFmtId="188" fontId="100" fillId="0" borderId="1" xfId="1" applyNumberFormat="1" applyFont="1" applyFill="1" applyBorder="1" applyAlignment="1">
      <alignment horizontal="left" vertical="center"/>
    </xf>
    <xf numFmtId="0" fontId="100" fillId="0" borderId="1" xfId="1" applyFont="1" applyFill="1" applyBorder="1" applyAlignment="1">
      <alignment horizontal="center" vertical="center" wrapText="1"/>
    </xf>
    <xf numFmtId="0" fontId="100" fillId="0" borderId="1" xfId="1" applyFont="1" applyFill="1" applyBorder="1" applyAlignment="1">
      <alignment vertical="center" wrapText="1"/>
    </xf>
    <xf numFmtId="176" fontId="100" fillId="0" borderId="1" xfId="1" applyNumberFormat="1" applyFont="1" applyFill="1" applyBorder="1" applyAlignment="1">
      <alignment horizontal="center" vertical="center" wrapText="1"/>
    </xf>
    <xf numFmtId="0" fontId="101" fillId="0" borderId="1" xfId="1" applyFont="1" applyFill="1" applyBorder="1" applyAlignment="1">
      <alignment horizontal="center" vertical="center" wrapText="1"/>
    </xf>
    <xf numFmtId="176" fontId="101" fillId="0" borderId="1" xfId="1" applyNumberFormat="1" applyFont="1" applyFill="1" applyBorder="1" applyAlignment="1">
      <alignment horizontal="center" vertical="center" wrapText="1"/>
    </xf>
    <xf numFmtId="0" fontId="101" fillId="0" borderId="1" xfId="1" applyFont="1" applyFill="1" applyBorder="1" applyAlignment="1">
      <alignment vertical="center" wrapText="1"/>
    </xf>
    <xf numFmtId="188" fontId="100" fillId="0" borderId="1" xfId="1" applyNumberFormat="1" applyFont="1" applyFill="1" applyBorder="1" applyAlignment="1">
      <alignment horizontal="center" vertical="center"/>
    </xf>
    <xf numFmtId="0" fontId="100" fillId="0" borderId="1" xfId="1" applyFont="1" applyFill="1" applyBorder="1">
      <alignment vertical="center"/>
    </xf>
    <xf numFmtId="180" fontId="100" fillId="0" borderId="1" xfId="1" applyNumberFormat="1" applyFont="1" applyFill="1" applyBorder="1" applyAlignment="1">
      <alignment horizontal="center" vertical="center"/>
    </xf>
    <xf numFmtId="0" fontId="100" fillId="0" borderId="1" xfId="1" applyFont="1" applyFill="1" applyBorder="1" applyAlignment="1">
      <alignment horizontal="left" vertical="center"/>
    </xf>
    <xf numFmtId="0" fontId="101" fillId="5" borderId="1" xfId="1" applyFont="1" applyFill="1" applyBorder="1" applyAlignment="1">
      <alignment horizontal="center" vertical="center"/>
    </xf>
    <xf numFmtId="177" fontId="101" fillId="0" borderId="1" xfId="1" applyNumberFormat="1" applyFont="1" applyFill="1" applyBorder="1" applyAlignment="1">
      <alignment horizontal="center" vertical="center" wrapText="1"/>
    </xf>
    <xf numFmtId="187" fontId="101" fillId="0" borderId="1" xfId="1" applyNumberFormat="1" applyFont="1" applyFill="1" applyBorder="1" applyAlignment="1">
      <alignment horizontal="center" vertical="center" wrapText="1"/>
    </xf>
    <xf numFmtId="179" fontId="101" fillId="0" borderId="1" xfId="1" applyNumberFormat="1" applyFont="1" applyFill="1" applyBorder="1" applyAlignment="1">
      <alignment horizontal="center" vertical="center" wrapText="1"/>
    </xf>
    <xf numFmtId="197" fontId="101" fillId="0" borderId="1" xfId="1" applyNumberFormat="1" applyFont="1" applyFill="1" applyBorder="1" applyAlignment="1">
      <alignment horizontal="center" vertical="center" wrapText="1"/>
    </xf>
    <xf numFmtId="176" fontId="100" fillId="0" borderId="0" xfId="10" applyNumberFormat="1" applyFont="1" applyFill="1">
      <alignment vertical="center"/>
    </xf>
    <xf numFmtId="198" fontId="100" fillId="0" borderId="0" xfId="10" applyNumberFormat="1" applyFont="1" applyFill="1">
      <alignment vertical="center"/>
    </xf>
    <xf numFmtId="176" fontId="101" fillId="0" borderId="1" xfId="1" applyNumberFormat="1" applyFont="1" applyFill="1" applyBorder="1">
      <alignment vertical="center"/>
    </xf>
    <xf numFmtId="0" fontId="101" fillId="0" borderId="1" xfId="1" applyFont="1" applyFill="1" applyBorder="1">
      <alignment vertical="center"/>
    </xf>
    <xf numFmtId="187" fontId="101" fillId="0" borderId="1" xfId="1" applyNumberFormat="1" applyFont="1" applyFill="1" applyBorder="1">
      <alignment vertical="center"/>
    </xf>
    <xf numFmtId="198" fontId="100" fillId="0" borderId="1" xfId="1" applyNumberFormat="1" applyFont="1" applyFill="1" applyBorder="1" applyAlignment="1">
      <alignment horizontal="center" vertical="center"/>
    </xf>
    <xf numFmtId="187" fontId="100" fillId="0" borderId="1" xfId="1" applyNumberFormat="1" applyFont="1" applyFill="1" applyBorder="1">
      <alignment vertical="center"/>
    </xf>
    <xf numFmtId="198" fontId="101" fillId="0" borderId="1" xfId="1" applyNumberFormat="1" applyFont="1" applyFill="1" applyBorder="1" applyAlignment="1">
      <alignment horizontal="center" vertical="center"/>
    </xf>
    <xf numFmtId="0" fontId="57" fillId="0" borderId="0" xfId="17"/>
    <xf numFmtId="0" fontId="57" fillId="5" borderId="0" xfId="17" applyFill="1"/>
    <xf numFmtId="0" fontId="20" fillId="0" borderId="0" xfId="17" applyFont="1"/>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260" fillId="0" borderId="0" xfId="0" applyFont="1" applyFill="1" applyAlignment="1">
      <alignment horizontal="left" vertical="center" wrapText="1"/>
    </xf>
    <xf numFmtId="0" fontId="259" fillId="0" borderId="0" xfId="0" applyFont="1" applyFill="1" applyAlignment="1">
      <alignment horizontal="left" vertical="center"/>
    </xf>
    <xf numFmtId="177" fontId="81" fillId="0" borderId="1" xfId="1" applyNumberFormat="1" applyFont="1" applyFill="1" applyBorder="1" applyAlignment="1" applyProtection="1">
      <alignment vertical="center"/>
      <protection locked="0" hidden="1"/>
    </xf>
    <xf numFmtId="10" fontId="48" fillId="0" borderId="53" xfId="0" applyNumberFormat="1" applyFont="1" applyFill="1" applyBorder="1" applyAlignment="1" applyProtection="1">
      <alignment horizontal="center" vertical="center"/>
      <protection locked="0"/>
    </xf>
    <xf numFmtId="0" fontId="57" fillId="0" borderId="0" xfId="17" applyFill="1"/>
    <xf numFmtId="0" fontId="105" fillId="6" borderId="3" xfId="0" applyFont="1" applyFill="1" applyBorder="1" applyAlignment="1">
      <alignment horizontal="center" vertical="center"/>
    </xf>
    <xf numFmtId="0" fontId="105" fillId="5" borderId="3" xfId="0" applyFont="1" applyFill="1" applyBorder="1" applyAlignment="1" applyProtection="1">
      <alignment horizontal="center" vertical="center"/>
      <protection locked="0"/>
    </xf>
    <xf numFmtId="0" fontId="222" fillId="6" borderId="24" xfId="0" applyFont="1" applyFill="1" applyBorder="1" applyAlignment="1" applyProtection="1">
      <alignment horizontal="center" vertical="center"/>
    </xf>
    <xf numFmtId="0" fontId="105" fillId="6" borderId="32" xfId="0" applyFont="1" applyFill="1" applyBorder="1" applyAlignment="1">
      <alignment horizontal="center" vertical="center"/>
    </xf>
    <xf numFmtId="0" fontId="105" fillId="6" borderId="49" xfId="0" applyFont="1" applyFill="1" applyBorder="1" applyProtection="1">
      <alignment vertical="center"/>
    </xf>
    <xf numFmtId="0" fontId="100" fillId="0" borderId="0" xfId="0" applyFont="1">
      <alignment vertical="center"/>
    </xf>
    <xf numFmtId="0" fontId="261" fillId="0" borderId="0" xfId="18" applyFont="1" applyAlignment="1">
      <alignment horizontal="left" vertical="center"/>
    </xf>
    <xf numFmtId="0" fontId="1" fillId="0" borderId="0" xfId="18">
      <alignment vertical="center"/>
    </xf>
    <xf numFmtId="0" fontId="1" fillId="0" borderId="0" xfId="18" applyAlignment="1">
      <alignment horizontal="left" vertical="center"/>
    </xf>
    <xf numFmtId="0" fontId="261" fillId="0" borderId="1" xfId="18" applyFont="1" applyBorder="1" applyAlignment="1">
      <alignment horizontal="center" vertical="center"/>
    </xf>
    <xf numFmtId="0" fontId="261" fillId="0" borderId="1" xfId="18" applyFont="1" applyBorder="1" applyAlignment="1">
      <alignment horizontal="left" vertical="center"/>
    </xf>
    <xf numFmtId="0" fontId="261" fillId="5" borderId="1" xfId="18" applyFont="1" applyFill="1" applyBorder="1" applyAlignment="1">
      <alignment horizontal="left" vertical="center"/>
    </xf>
    <xf numFmtId="0" fontId="261" fillId="5" borderId="1" xfId="18" applyFont="1" applyFill="1" applyBorder="1" applyAlignment="1">
      <alignment horizontal="center" vertical="center"/>
    </xf>
    <xf numFmtId="0" fontId="261" fillId="5" borderId="1" xfId="18" applyFont="1" applyFill="1" applyBorder="1" applyAlignment="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1" fillId="0" borderId="1" xfId="18" applyFont="1" applyBorder="1" applyAlignment="1">
      <alignment horizontal="left" vertical="center"/>
    </xf>
    <xf numFmtId="0" fontId="261" fillId="0" borderId="13" xfId="18" applyFont="1" applyBorder="1" applyAlignment="1">
      <alignment horizontal="left" vertical="center"/>
    </xf>
    <xf numFmtId="0" fontId="261" fillId="0" borderId="15" xfId="18" applyFont="1" applyBorder="1" applyAlignment="1">
      <alignment horizontal="left" vertical="center"/>
    </xf>
    <xf numFmtId="0" fontId="261" fillId="0" borderId="2" xfId="18" applyFont="1" applyBorder="1" applyAlignment="1">
      <alignment horizontal="left" vertical="center"/>
    </xf>
    <xf numFmtId="0" fontId="261" fillId="0" borderId="5" xfId="18" applyFont="1" applyBorder="1" applyAlignment="1">
      <alignment horizontal="left" vertical="center"/>
    </xf>
    <xf numFmtId="0" fontId="261" fillId="0" borderId="54" xfId="18" applyFont="1" applyBorder="1" applyAlignment="1">
      <alignment horizontal="left" vertical="center"/>
    </xf>
    <xf numFmtId="0" fontId="261" fillId="0" borderId="3" xfId="18" applyFont="1" applyBorder="1" applyAlignment="1">
      <alignment horizontal="left" vertical="center"/>
    </xf>
    <xf numFmtId="0" fontId="261" fillId="0" borderId="5" xfId="18" applyFont="1" applyBorder="1" applyAlignment="1">
      <alignment horizontal="center" vertical="center"/>
    </xf>
    <xf numFmtId="0" fontId="261" fillId="0" borderId="54" xfId="18" applyFont="1" applyBorder="1" applyAlignment="1">
      <alignment horizontal="center" vertical="center"/>
    </xf>
    <xf numFmtId="0" fontId="261" fillId="0" borderId="3" xfId="18"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01" fillId="0" borderId="5" xfId="1" applyFont="1" applyFill="1" applyBorder="1" applyAlignment="1">
      <alignment horizontal="center" vertical="center"/>
    </xf>
    <xf numFmtId="0" fontId="101" fillId="0" borderId="54" xfId="1" applyFont="1" applyFill="1" applyBorder="1" applyAlignment="1">
      <alignment horizontal="center" vertical="center"/>
    </xf>
    <xf numFmtId="0" fontId="101" fillId="0" borderId="3" xfId="1" applyFont="1" applyFill="1" applyBorder="1" applyAlignment="1">
      <alignment horizontal="center" vertical="center"/>
    </xf>
    <xf numFmtId="0" fontId="100" fillId="0" borderId="1" xfId="10" applyFont="1" applyFill="1" applyBorder="1" applyAlignment="1">
      <alignment horizontal="left" vertical="center"/>
    </xf>
    <xf numFmtId="0" fontId="101" fillId="0" borderId="13" xfId="1" applyFont="1" applyFill="1" applyBorder="1" applyAlignment="1">
      <alignment horizontal="center" vertical="center"/>
    </xf>
    <xf numFmtId="0" fontId="101" fillId="0" borderId="2" xfId="1" applyFont="1" applyFill="1" applyBorder="1" applyAlignment="1">
      <alignment horizontal="center" vertical="center"/>
    </xf>
    <xf numFmtId="0" fontId="257" fillId="0" borderId="60" xfId="1" applyFont="1" applyFill="1" applyBorder="1" applyAlignment="1">
      <alignment horizontal="center" vertical="center"/>
    </xf>
    <xf numFmtId="176" fontId="101" fillId="0" borderId="5" xfId="1" applyNumberFormat="1" applyFont="1" applyFill="1" applyBorder="1" applyAlignment="1">
      <alignment horizontal="center" vertical="center"/>
    </xf>
    <xf numFmtId="176" fontId="101" fillId="0" borderId="3" xfId="1" applyNumberFormat="1" applyFont="1" applyFill="1" applyBorder="1" applyAlignment="1">
      <alignment horizontal="center" vertical="center"/>
    </xf>
    <xf numFmtId="0" fontId="101" fillId="0" borderId="1" xfId="1" applyFont="1" applyFill="1" applyBorder="1" applyAlignment="1">
      <alignment horizontal="center" vertical="center"/>
    </xf>
    <xf numFmtId="187" fontId="101" fillId="0" borderId="5" xfId="1" applyNumberFormat="1" applyFont="1" applyFill="1" applyBorder="1" applyAlignment="1">
      <alignment horizontal="center" vertical="center"/>
    </xf>
    <xf numFmtId="187" fontId="101" fillId="0" borderId="3" xfId="1" applyNumberFormat="1" applyFont="1" applyFill="1" applyBorder="1" applyAlignment="1">
      <alignment horizontal="center" vertical="center"/>
    </xf>
    <xf numFmtId="187" fontId="101" fillId="0" borderId="13" xfId="1" applyNumberFormat="1" applyFont="1" applyFill="1" applyBorder="1" applyAlignment="1">
      <alignment horizontal="left" vertical="center" wrapText="1"/>
    </xf>
    <xf numFmtId="187" fontId="101" fillId="0" borderId="2" xfId="1" applyNumberFormat="1" applyFont="1" applyFill="1" applyBorder="1" applyAlignment="1">
      <alignment horizontal="left" vertical="center" wrapText="1"/>
    </xf>
    <xf numFmtId="0" fontId="258" fillId="0" borderId="1" xfId="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0" fillId="0" borderId="0" xfId="0" applyFont="1" applyFill="1" applyAlignment="1">
      <alignment horizontal="left" vertical="center" wrapText="1"/>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3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8</xdr:col>
      <xdr:colOff>219369</xdr:colOff>
      <xdr:row>62</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572125"/>
          <a:ext cx="5705769" cy="5124450"/>
        </a:xfrm>
        <a:prstGeom prst="rect">
          <a:avLst/>
        </a:prstGeom>
      </xdr:spPr>
    </xdr:pic>
    <xdr:clientData/>
  </xdr:twoCellAnchor>
  <xdr:twoCellAnchor editAs="oneCell">
    <xdr:from>
      <xdr:col>0</xdr:col>
      <xdr:colOff>0</xdr:colOff>
      <xdr:row>94</xdr:row>
      <xdr:rowOff>11436</xdr:rowOff>
    </xdr:from>
    <xdr:to>
      <xdr:col>8</xdr:col>
      <xdr:colOff>585853</xdr:colOff>
      <xdr:row>123</xdr:row>
      <xdr:rowOff>138562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6127736"/>
          <a:ext cx="6072253" cy="5099176"/>
        </a:xfrm>
        <a:prstGeom prst="rect">
          <a:avLst/>
        </a:prstGeom>
      </xdr:spPr>
    </xdr:pic>
    <xdr:clientData/>
  </xdr:twoCellAnchor>
  <xdr:twoCellAnchor editAs="oneCell">
    <xdr:from>
      <xdr:col>0</xdr:col>
      <xdr:colOff>0</xdr:colOff>
      <xdr:row>63</xdr:row>
      <xdr:rowOff>1718</xdr:rowOff>
    </xdr:from>
    <xdr:to>
      <xdr:col>8</xdr:col>
      <xdr:colOff>173902</xdr:colOff>
      <xdr:row>93</xdr:row>
      <xdr:rowOff>14262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803068"/>
          <a:ext cx="5660302" cy="5156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419100</xdr:colOff>
      <xdr:row>33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5762625"/>
        </a:xfrm>
        <a:prstGeom prst="rect">
          <a:avLst/>
        </a:prstGeom>
      </xdr:spPr>
    </xdr:pic>
    <xdr:clientData/>
  </xdr:twoCellAnchor>
  <xdr:twoCellAnchor editAs="oneCell">
    <xdr:from>
      <xdr:col>0</xdr:col>
      <xdr:colOff>0</xdr:colOff>
      <xdr:row>35</xdr:row>
      <xdr:rowOff>0</xdr:rowOff>
    </xdr:from>
    <xdr:to>
      <xdr:col>8</xdr:col>
      <xdr:colOff>285750</xdr:colOff>
      <xdr:row>55</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5772150" cy="3514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10</xdr:col>
      <xdr:colOff>400050</xdr:colOff>
      <xdr:row>28</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14475"/>
          <a:ext cx="7258050" cy="3409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39640;&#31185;16%2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16地块投资"/>
      <sheetName val="系统读取表"/>
      <sheetName val="结果表"/>
      <sheetName val="成本法"/>
      <sheetName val="成本法 (元)"/>
      <sheetName val="土地比较法-住宅、综合"/>
      <sheetName val="土地案例"/>
      <sheetName val="选取案例"/>
      <sheetName val="假设开发法"/>
      <sheetName val="收益法（汇总）"/>
      <sheetName val="收益法（办公）"/>
      <sheetName val="收益法 (元)"/>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租金"/>
      <sheetName val="收益法（酒店）"/>
      <sheetName val="酒店收入计算"/>
      <sheetName val="年总收益"/>
      <sheetName val="收益法（地下车库）"/>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104570.31</v>
          </cell>
          <cell r="C14">
            <v>32974.589999999997</v>
          </cell>
          <cell r="D14">
            <v>64144</v>
          </cell>
          <cell r="G14" t="str">
            <v>——</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贵州省贵阳市白云区（高新）沙文生态科技产业园“贵州科学城•智谷”项目01-02-13地块出让国有建设用地使用权及在建建筑物房地产市场价值预评估</v>
      </c>
    </row>
    <row r="3" spans="1:2" s="1589" customFormat="1">
      <c r="A3" s="1587" t="s">
        <v>1217</v>
      </c>
      <c r="B3" s="1588" t="str">
        <f>'预评函-封皮'!B40</f>
        <v>国民信托有限公司</v>
      </c>
    </row>
    <row r="4" spans="1:2" s="1589" customFormat="1">
      <c r="A4" s="1587" t="s">
        <v>1218</v>
      </c>
      <c r="B4" s="1588" t="str">
        <f ca="1">'预评函-封皮'!B46</f>
        <v>郑燚（注册号：1120070131)、王鹏（注册号：1120050019)</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受贵公司委托，我公司对贵州省贵阳市白云区（高新）沙文生态科技产业园“贵州科学城•智谷”项目01-02-13地块出让国有建设用地使用权及在建建筑物房地产抵押价值进行了预评估。</v>
      </c>
    </row>
    <row r="7" spans="1:2" s="1589" customFormat="1">
      <c r="A7" s="1587" t="s">
        <v>1260</v>
      </c>
      <c r="B7" s="1588" t="str">
        <f>'预评函-1'!A7</f>
        <v>估价对象为贵州省贵阳市白云区（高新）沙文生态科技产业园“贵州科学城•智谷”项目01-02-13地块出让国有建设用地使用权及在建建筑物房地产，为贵州高新中关村贵阳科技园投资开发有限公司所有。根据《不动产权证书》[黔（2018）高新区（白）不动产权第0000796号]，估价对象（分摊）出让国有建设用地使用权面积为40729.97平方米。根据《房屋所有权证》[]、《测绘报告》[]，估价对象建筑面积为75745.56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贵州省贵阳市白云区（高新）沙文生态科技产业园“贵州科学城•智谷”项目01-02-13地块出让国有建设用地使用权及在建建筑物房地产,属贵州高新中关村贵阳科技园投资开发有限公司开发建设的综合项目（商业、办公），该项目尚在开发建设中。根据《不动产权证书》[黔（2018）高新区（白）不动产权第0000796号]，估价对象（分摊）出让国有建设用地使用权面积为40729.97平方米。根据《房屋所有权证》[]、《测绘报告》[]，估价对象规划建筑面积为75745.56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2019年3月1日</v>
      </c>
    </row>
    <row r="13" spans="1:2" s="1589" customFormat="1">
      <c r="A13" s="1587" t="s">
        <v>1223</v>
      </c>
      <c r="B13" s="1588" t="str">
        <f>'预评函-1'!A18</f>
        <v>本次估价的“房地产价值”是指在正常市场情况下，在价值时点2019年3月1日，估价对象规划用途为办公及地下车库，土地取得方式为出让，出让国有建设用地使用权剩余土地使用年限为办公及地下车库37.97年，假定未设立法定优先受偿款下的房地产市场价值。</v>
      </c>
    </row>
    <row r="14" spans="1:2" s="1589" customFormat="1">
      <c r="A14" s="1587" t="s">
        <v>1224</v>
      </c>
      <c r="B14" s="1588" t="str">
        <f>'预评函-1'!A19</f>
        <v>其中，“出让国有建设用地使用权价值”是指估价对象用途为办公及地下车库，实际开发程度为宗地红线外“七通”（即通路、通电、通讯、通上水、通下水、、）、红线内场地平整条件下，剩余土地使用年限为办公及地下车库37.97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v>
      </c>
    </row>
    <row r="16" spans="1:2" s="1589" customFormat="1">
      <c r="A16" s="1587" t="s">
        <v>1226</v>
      </c>
      <c r="B16" s="1588" t="str">
        <f>'预评函-1'!A21</f>
        <v>——</v>
      </c>
    </row>
    <row r="17" spans="1:2" s="1589" customFormat="1">
      <c r="A17" s="1587" t="s">
        <v>1227</v>
      </c>
      <c r="B17" s="1588" t="str">
        <f>'预评函-1'!A22</f>
        <v>——</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1230</v>
      </c>
      <c r="B20" s="1588">
        <f ca="1">'预评函-2'!D5</f>
        <v>41768</v>
      </c>
    </row>
    <row r="21" spans="1:2" s="1589" customFormat="1">
      <c r="A21" s="1587" t="s">
        <v>1231</v>
      </c>
      <c r="B21" s="1588">
        <f ca="1">'预评函-2'!D7</f>
        <v>5514</v>
      </c>
    </row>
    <row r="22" spans="1:2" s="1589" customFormat="1">
      <c r="A22" s="1587" t="s">
        <v>1232</v>
      </c>
      <c r="B22" s="1588" t="str">
        <f ca="1">'预评函-2'!D6</f>
        <v>肆亿壹仟柒佰陆拾捌万元整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41768</v>
      </c>
    </row>
    <row r="35" spans="1:2" s="1589" customFormat="1">
      <c r="A35" s="1587" t="s">
        <v>1271</v>
      </c>
      <c r="B35" s="1588">
        <f ca="1">'预评函-2'!D18</f>
        <v>5514</v>
      </c>
    </row>
    <row r="36" spans="1:2" s="1589" customFormat="1">
      <c r="A36" s="1587" t="s">
        <v>1238</v>
      </c>
      <c r="B36" s="1588" t="str">
        <f ca="1">'预评函-2'!D17</f>
        <v>肆亿壹仟柒佰陆拾捌万元整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贵州省贵阳市白云区（高新）沙文生态科技产业园“贵州科学城•智谷”项目01-02-13地块出让国有建设用地使用权及在建建筑物房地产</v>
      </c>
    </row>
    <row r="42" spans="1:2" s="1589" customFormat="1">
      <c r="A42" s="1587" t="s">
        <v>1284</v>
      </c>
      <c r="B42" s="1588" t="str">
        <f>'预评函-3'!B2</f>
        <v>建筑面积</v>
      </c>
    </row>
    <row r="43" spans="1:2" s="1589" customFormat="1">
      <c r="A43" s="1587" t="s">
        <v>1285</v>
      </c>
      <c r="B43" s="1588">
        <f>'预评函-3'!B4</f>
        <v>75745.560000000012</v>
      </c>
    </row>
    <row r="44" spans="1:2" s="1589" customFormat="1">
      <c r="A44" s="1587" t="s">
        <v>1269</v>
      </c>
      <c r="B44" s="1588" t="str">
        <f>'预评函-3'!C2</f>
        <v>(分摊)土地面积</v>
      </c>
    </row>
    <row r="45" spans="1:2" s="1589" customFormat="1">
      <c r="A45" s="1587" t="s">
        <v>1241</v>
      </c>
      <c r="B45" s="1588">
        <f>'预评函-3'!C4</f>
        <v>40729.97</v>
      </c>
    </row>
    <row r="46" spans="1:2" s="1589" customFormat="1">
      <c r="A46" s="1587" t="s">
        <v>1267</v>
      </c>
      <c r="B46" s="1588" t="str">
        <f>'预评函-3'!D2</f>
        <v>出让国有建设用地使用权价值</v>
      </c>
    </row>
    <row r="47" spans="1:2" s="1589" customFormat="1">
      <c r="A47" s="1587" t="s">
        <v>1242</v>
      </c>
      <c r="B47" s="1588">
        <f ca="1">'预评函-3'!D4</f>
        <v>13575</v>
      </c>
    </row>
    <row r="48" spans="1:2" s="1589" customFormat="1">
      <c r="A48" s="1587" t="s">
        <v>1243</v>
      </c>
      <c r="B48" s="1588">
        <f ca="1">'预评函-3'!E4</f>
        <v>1792</v>
      </c>
    </row>
    <row r="49" spans="1:2" s="1589" customFormat="1">
      <c r="A49" s="1587" t="s">
        <v>1244</v>
      </c>
      <c r="B49" s="1588" t="str">
        <f ca="1">'预评函-3'!D5</f>
        <v>壹亿叁仟伍佰柒拾伍万元整</v>
      </c>
    </row>
    <row r="50" spans="1:2" s="1589" customFormat="1">
      <c r="A50" s="1587" t="s">
        <v>1268</v>
      </c>
      <c r="B50" s="1588" t="str">
        <f>'预评函-3'!F2</f>
        <v>建筑物价值</v>
      </c>
    </row>
    <row r="51" spans="1:2" s="1589" customFormat="1">
      <c r="A51" s="1587" t="s">
        <v>1245</v>
      </c>
      <c r="B51" s="1588">
        <f ca="1">'预评函-3'!F4</f>
        <v>28193</v>
      </c>
    </row>
    <row r="52" spans="1:2" s="1589" customFormat="1">
      <c r="A52" s="1587" t="s">
        <v>1246</v>
      </c>
      <c r="B52" s="1588">
        <f ca="1">'预评函-3'!G4</f>
        <v>3722</v>
      </c>
    </row>
    <row r="53" spans="1:2" s="1589" customFormat="1">
      <c r="A53" s="1587" t="s">
        <v>1274</v>
      </c>
      <c r="B53" s="1588" t="str">
        <f ca="1">'预评函-3'!F5</f>
        <v>贰亿捌仟壹佰玖拾叁万元整</v>
      </c>
    </row>
    <row r="54" spans="1:2" s="1589" customFormat="1">
      <c r="A54" s="1587" t="s">
        <v>1292</v>
      </c>
      <c r="B54" s="1588" t="str">
        <f>'预评函-3'!A8</f>
        <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王鹏</v>
      </c>
    </row>
    <row r="73" spans="1:2" s="1583" customFormat="1" ht="15" thickBot="1">
      <c r="A73" s="1590" t="s">
        <v>1259</v>
      </c>
      <c r="B73" s="1591">
        <f ca="1">'预评函-4'!B5</f>
        <v>1120050019</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5" sqref="B3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3339</v>
      </c>
      <c r="C18" s="2011"/>
    </row>
    <row r="19" spans="1:3">
      <c r="A19" s="2010" t="s">
        <v>1764</v>
      </c>
      <c r="B19" s="2010" t="s">
        <v>3340</v>
      </c>
      <c r="C19" s="2011"/>
    </row>
    <row r="20" spans="1:3">
      <c r="A20" s="2010" t="s">
        <v>1765</v>
      </c>
      <c r="B20" s="2010" t="s">
        <v>3341</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日，估价对象规划用途为办公及地下车库土地取得方式为出让，出让国有建设用地使用权剩余土地使用年限为XX年(多用途剩余年限尾数不同时，可只体现小数点后一位)，假定未设立法定优先受偿款下的房地产市场价值。</v>
      </c>
    </row>
    <row r="54" spans="1:4">
      <c r="A54" s="3074"/>
      <c r="B54" s="2018" t="s">
        <v>861</v>
      </c>
      <c r="C54" s="2015" t="s">
        <v>1277</v>
      </c>
    </row>
    <row r="55" spans="1:4">
      <c r="A55" s="3074"/>
      <c r="B55" s="2018" t="s">
        <v>862</v>
      </c>
      <c r="C55" s="2015" t="s">
        <v>1278</v>
      </c>
    </row>
    <row r="56" spans="1:4">
      <c r="A56" s="3074"/>
      <c r="B56" s="2018" t="s">
        <v>863</v>
      </c>
      <c r="C56" s="2015" t="s">
        <v>1282</v>
      </c>
    </row>
    <row r="57" spans="1:4">
      <c r="A57" s="307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83" t="str">
        <f>IF(B10="北京市","北京市",C10)&amp;F10&amp;IF(结果表!G1="在建","出让国有建设用地使用权及在建建筑物",IF(结果表!G1="土地","出让国有建设用地使用权",))&amp;B9&amp;"预评估"</f>
        <v>贵州省贵阳市白云区（高新）沙文生态科技产业园“贵州科学城•智谷”项目01-02-13地块出让国有建设用地使用权及在建建筑物房地产市场价值预评估</v>
      </c>
      <c r="C1" s="3084"/>
      <c r="D1" s="3084"/>
      <c r="E1" s="3084"/>
      <c r="F1" s="3084"/>
      <c r="G1" s="3084"/>
      <c r="H1" s="3084"/>
      <c r="I1" s="308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贵州省贵阳市白云区（高新）沙文生态科技产业园“贵州科学城•智谷”项目01-02-13地块出让国有建设用地使用权及在建建筑物房地产抵押价值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贵州省贵阳市白云区（高新）沙文生态科技产业园“贵州科学城•智谷”项目01-02-13地块出让国有建设用地使用权及在建建筑物房地产</v>
      </c>
    </row>
    <row r="3" spans="1:19" ht="18" customHeight="1">
      <c r="A3" s="2031" t="s">
        <v>1774</v>
      </c>
      <c r="B3" s="2032"/>
      <c r="C3" s="2033" t="s">
        <v>1775</v>
      </c>
      <c r="D3" s="2935">
        <v>43525</v>
      </c>
      <c r="E3" s="2022"/>
      <c r="F3" s="2022"/>
      <c r="G3" s="2022"/>
      <c r="H3" s="2022"/>
      <c r="I3" s="2022"/>
      <c r="J3" s="2022"/>
      <c r="K3" s="2023"/>
      <c r="L3" s="2024"/>
      <c r="M3" s="2024"/>
      <c r="N3" s="2025"/>
      <c r="O3" s="2026"/>
      <c r="P3" s="2025"/>
      <c r="Q3" s="2025"/>
      <c r="R3" s="2025"/>
      <c r="S3" s="2027"/>
    </row>
    <row r="4" spans="1:19" ht="18" customHeight="1" thickBot="1">
      <c r="A4" s="2034" t="s">
        <v>1776</v>
      </c>
      <c r="B4" s="2035" t="s">
        <v>3053</v>
      </c>
      <c r="C4" s="1034">
        <f ca="1">SUMIF(注册房地产估价师,B4,估价师及机构信息!B3:B24)</f>
        <v>1120070131</v>
      </c>
      <c r="D4" s="2035" t="s">
        <v>3054</v>
      </c>
      <c r="E4" s="1035">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1777</v>
      </c>
      <c r="B5" s="2041" t="str">
        <f>B6</f>
        <v>国民信托有限公司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934" t="s">
        <v>3055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1779</v>
      </c>
      <c r="B7" s="2048" t="str">
        <f>C11</f>
        <v>贵州高新中关村贵阳科技园投资开发有限公司</v>
      </c>
      <c r="C7" s="2045"/>
      <c r="D7" s="2046"/>
      <c r="E7" s="2030"/>
      <c r="F7" s="2038"/>
      <c r="G7" s="2038"/>
      <c r="H7" s="2038"/>
      <c r="I7" s="2038"/>
      <c r="J7" s="2038"/>
      <c r="K7" s="2049"/>
      <c r="L7" s="2024"/>
      <c r="M7" s="2024"/>
      <c r="N7" s="2025"/>
      <c r="O7" s="2026"/>
      <c r="P7" s="2025"/>
      <c r="Q7" s="2025"/>
      <c r="R7" s="2025"/>
    </row>
    <row r="8" spans="1:19" ht="18" customHeight="1">
      <c r="A8" s="2044" t="s">
        <v>1780</v>
      </c>
      <c r="B8" s="2050" t="s">
        <v>3056</v>
      </c>
      <c r="C8" s="2051"/>
      <c r="D8" s="3086" t="s">
        <v>1781</v>
      </c>
      <c r="E8" s="2052" t="s">
        <v>3362</v>
      </c>
      <c r="F8" s="2053"/>
      <c r="G8" s="2022"/>
      <c r="H8" s="2022"/>
      <c r="I8" s="2022"/>
      <c r="J8" s="2038"/>
      <c r="K8" s="2039"/>
      <c r="L8" s="2024"/>
      <c r="M8" s="2024"/>
      <c r="N8" s="2025"/>
      <c r="O8" s="2026"/>
      <c r="P8" s="2025"/>
      <c r="Q8" s="2025"/>
      <c r="R8" s="2025"/>
    </row>
    <row r="9" spans="1:19" ht="18" customHeight="1" thickBot="1">
      <c r="A9" s="2036" t="s">
        <v>1782</v>
      </c>
      <c r="B9" s="2054" t="s">
        <v>3057</v>
      </c>
      <c r="C9" s="2055"/>
      <c r="D9" s="3087"/>
      <c r="E9" s="2054" t="s">
        <v>70</v>
      </c>
      <c r="F9" s="2056"/>
      <c r="G9" s="2057"/>
      <c r="H9" s="2057"/>
      <c r="I9" s="2057"/>
      <c r="J9" s="2038"/>
      <c r="K9" s="2049"/>
      <c r="L9" s="2024"/>
      <c r="M9" s="2024"/>
      <c r="N9" s="2025"/>
      <c r="O9" s="2026"/>
      <c r="P9" s="2025"/>
      <c r="Q9" s="2025"/>
      <c r="R9" s="2025"/>
    </row>
    <row r="10" spans="1:19" ht="18" customHeight="1" thickTop="1">
      <c r="A10" s="2058" t="s">
        <v>1783</v>
      </c>
      <c r="B10" s="2059" t="s">
        <v>3058</v>
      </c>
      <c r="C10" s="2937" t="s">
        <v>3070</v>
      </c>
      <c r="D10" s="2043"/>
      <c r="E10" s="2060" t="s">
        <v>1784</v>
      </c>
      <c r="F10" s="2938" t="s">
        <v>3360</v>
      </c>
      <c r="G10" s="2061"/>
      <c r="H10" s="2062"/>
      <c r="I10" s="2043"/>
      <c r="J10" s="2038"/>
      <c r="K10" s="2049"/>
      <c r="L10" s="2024"/>
      <c r="M10" s="2024"/>
      <c r="N10" s="2025"/>
      <c r="O10" s="2026"/>
      <c r="P10" s="2025"/>
      <c r="Q10" s="2025"/>
      <c r="R10" s="2025"/>
    </row>
    <row r="11" spans="1:19" ht="18" customHeight="1">
      <c r="A11" s="2063" t="s">
        <v>1785</v>
      </c>
      <c r="B11" s="2064" t="s">
        <v>3059</v>
      </c>
      <c r="C11" s="2936" t="s">
        <v>3069</v>
      </c>
      <c r="D11" s="2065"/>
      <c r="E11" s="2038"/>
      <c r="F11" s="2038"/>
      <c r="G11" s="2038"/>
      <c r="H11" s="2038"/>
      <c r="I11" s="2038"/>
      <c r="J11" s="2038"/>
      <c r="K11" s="2049"/>
      <c r="L11" s="2024"/>
      <c r="M11" s="2024"/>
      <c r="N11" s="2025"/>
      <c r="O11" s="2026"/>
      <c r="P11" s="2025"/>
      <c r="Q11" s="2025"/>
      <c r="R11" s="2025"/>
    </row>
    <row r="12" spans="1:19" ht="18" customHeight="1">
      <c r="A12" s="2066" t="s">
        <v>1786</v>
      </c>
      <c r="B12" s="2064" t="s">
        <v>3060</v>
      </c>
      <c r="C12" s="2067" t="s">
        <v>1787</v>
      </c>
      <c r="D12" s="2068" t="s">
        <v>1788</v>
      </c>
      <c r="E12" s="2068" t="s">
        <v>1789</v>
      </c>
      <c r="F12" s="2068" t="s">
        <v>1790</v>
      </c>
      <c r="G12" s="2068" t="s">
        <v>1791</v>
      </c>
      <c r="H12" s="2068" t="s">
        <v>1792</v>
      </c>
      <c r="I12" s="2068" t="s">
        <v>1793</v>
      </c>
      <c r="J12" s="2038"/>
      <c r="K12" s="2049"/>
      <c r="L12" s="2024"/>
      <c r="M12" s="2024"/>
      <c r="N12" s="2025"/>
      <c r="O12" s="2026"/>
      <c r="P12" s="2025"/>
      <c r="Q12" s="2025"/>
      <c r="R12" s="2025"/>
    </row>
    <row r="13" spans="1:19" ht="18" customHeight="1">
      <c r="A13" s="2069"/>
      <c r="B13" s="2070"/>
      <c r="C13" s="2071" t="s">
        <v>1794</v>
      </c>
      <c r="D13" s="2072"/>
      <c r="E13" s="2072">
        <v>57385</v>
      </c>
      <c r="F13" s="2072">
        <f>E13</f>
        <v>57385</v>
      </c>
      <c r="G13" s="2072">
        <f>F13</f>
        <v>57385</v>
      </c>
      <c r="H13" s="2072"/>
      <c r="I13" s="1044"/>
      <c r="J13" s="2038"/>
      <c r="K13" s="2049"/>
      <c r="L13" s="2024"/>
      <c r="M13" s="2024"/>
      <c r="N13" s="2025"/>
      <c r="O13" s="2026"/>
      <c r="P13" s="2025"/>
      <c r="Q13" s="2025"/>
      <c r="R13" s="2025"/>
    </row>
    <row r="14" spans="1:19" ht="18" customHeight="1">
      <c r="A14" s="2069"/>
      <c r="B14" s="2070"/>
      <c r="C14" s="2071" t="s">
        <v>1795</v>
      </c>
      <c r="D14" s="1047">
        <v>70</v>
      </c>
      <c r="E14" s="1047">
        <v>40</v>
      </c>
      <c r="F14" s="1047">
        <v>40</v>
      </c>
      <c r="G14" s="1047">
        <v>40</v>
      </c>
      <c r="H14" s="1047"/>
      <c r="I14" s="1047"/>
      <c r="J14" s="2038"/>
      <c r="K14" s="2073"/>
      <c r="L14" s="2024"/>
      <c r="M14" s="2024"/>
      <c r="N14" s="2025"/>
      <c r="O14" s="2026"/>
      <c r="P14" s="2025"/>
      <c r="Q14" s="2025"/>
      <c r="R14" s="2025"/>
    </row>
    <row r="15" spans="1:19" ht="18" customHeight="1">
      <c r="A15" s="2058"/>
      <c r="B15" s="2074"/>
      <c r="C15" s="2071" t="s">
        <v>1796</v>
      </c>
      <c r="D15" s="1046" t="str">
        <f>IF(B12="出让",IF(D13="","",ROUNDDOWN(MIN((D13-$D$3)/365,D14),2)),D14)</f>
        <v/>
      </c>
      <c r="E15" s="1046">
        <f>IF(B12="出让",IF(E13="","",ROUNDDOWN(MIN((E13-$D$3)/365,E14),2)),E14)</f>
        <v>37.97</v>
      </c>
      <c r="F15" s="1046">
        <f>IF(B12="出让",IF(F13="","",ROUNDDOWN(MIN((F13-$D$3)/365,F14),2)),F14)</f>
        <v>37.97</v>
      </c>
      <c r="G15" s="1046">
        <f>IF(B12="出让",IF(G13="","",ROUNDDOWN(MIN((G13-$D$3)/365,G14),2)),G14)</f>
        <v>37.97</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60" t="s">
        <v>1797</v>
      </c>
      <c r="B16" s="3093" t="s">
        <v>3336</v>
      </c>
      <c r="C16" s="3094"/>
      <c r="D16" s="3095"/>
      <c r="E16" s="2078" t="s">
        <v>1798</v>
      </c>
      <c r="F16" s="3096" t="s">
        <v>3334</v>
      </c>
      <c r="G16" s="3097"/>
      <c r="H16" s="3097"/>
      <c r="I16" s="3098"/>
      <c r="J16" s="2025"/>
      <c r="K16" s="2075"/>
      <c r="L16" s="2076"/>
      <c r="M16" s="2076"/>
      <c r="N16" s="2077"/>
      <c r="O16" s="2076"/>
      <c r="P16" s="2077"/>
      <c r="Q16" s="2025"/>
      <c r="R16" s="2025"/>
    </row>
    <row r="17" spans="1:22" ht="18" customHeight="1">
      <c r="A17" s="2079" t="s">
        <v>1799</v>
      </c>
      <c r="B17" s="2031" t="s">
        <v>1800</v>
      </c>
      <c r="C17" s="1051">
        <f>'数据-汇总表'!E3</f>
        <v>75745.560000000012</v>
      </c>
      <c r="D17" s="2080" t="s">
        <v>1801</v>
      </c>
      <c r="E17" s="3099" t="s">
        <v>1802</v>
      </c>
      <c r="F17" s="3100"/>
      <c r="G17" s="3100"/>
      <c r="H17" s="3100"/>
      <c r="I17" s="3101"/>
      <c r="J17" s="2025"/>
      <c r="K17" s="2081"/>
      <c r="L17" s="2076"/>
      <c r="M17" s="2076"/>
      <c r="N17" s="2077"/>
      <c r="O17" s="2076"/>
      <c r="P17" s="2077"/>
      <c r="Q17" s="2025"/>
      <c r="R17" s="2025"/>
      <c r="S17" s="2025"/>
      <c r="T17" s="2025"/>
      <c r="U17" s="2025"/>
      <c r="V17" s="2025"/>
    </row>
    <row r="18" spans="1:22" ht="36" customHeight="1" thickBot="1">
      <c r="A18" s="2082" t="s">
        <v>70</v>
      </c>
      <c r="B18" s="2034" t="s">
        <v>1803</v>
      </c>
      <c r="C18" s="1441">
        <f>'数据-汇总表'!D3</f>
        <v>40729.97</v>
      </c>
      <c r="D18" s="2083" t="s">
        <v>1801</v>
      </c>
      <c r="E18" s="3102" t="s">
        <v>3143</v>
      </c>
      <c r="F18" s="3103"/>
      <c r="G18" s="3103"/>
      <c r="H18" s="3103"/>
      <c r="I18" s="3104"/>
      <c r="J18" s="2025"/>
      <c r="K18" s="2081"/>
      <c r="L18" s="2076"/>
      <c r="M18" s="2076"/>
      <c r="N18" s="2077"/>
      <c r="O18" s="2076"/>
      <c r="P18" s="2077"/>
      <c r="Q18" s="2025"/>
      <c r="R18" s="2025"/>
      <c r="S18" s="2025"/>
      <c r="T18" s="2025"/>
      <c r="U18" s="2025"/>
      <c r="V18" s="2025"/>
    </row>
    <row r="19" spans="1:22" ht="37.5" customHeight="1" thickTop="1" thickBot="1">
      <c r="A19" s="372" t="s">
        <v>1804</v>
      </c>
      <c r="B19" s="351" t="s">
        <v>1805</v>
      </c>
      <c r="C19" s="2084"/>
      <c r="D19" s="2085" t="s">
        <v>1806</v>
      </c>
      <c r="E19" s="2086"/>
      <c r="F19" s="2087" t="str">
        <f>IF(AND(C19="是",E19="否"),"是否提供他项权证或相关说明","")</f>
        <v/>
      </c>
      <c r="G19" s="2088"/>
      <c r="H19" s="2038"/>
      <c r="I19" s="2038"/>
      <c r="J19" s="2038"/>
      <c r="K19" s="2049"/>
      <c r="L19" s="2024"/>
      <c r="M19" s="2024"/>
      <c r="N19" s="2077"/>
      <c r="O19" s="2076"/>
      <c r="P19" s="2077"/>
      <c r="Q19" s="2025"/>
      <c r="R19" s="2025"/>
      <c r="S19" s="2025"/>
      <c r="T19" s="2025"/>
      <c r="U19" s="2025"/>
      <c r="V19" s="2025"/>
    </row>
    <row r="20" spans="1:22" ht="18" customHeight="1">
      <c r="A20" s="2089" t="s">
        <v>1807</v>
      </c>
      <c r="B20" s="3089" t="s">
        <v>1808</v>
      </c>
      <c r="C20" s="3090"/>
      <c r="D20" s="3091" t="s">
        <v>1809</v>
      </c>
      <c r="E20" s="3092"/>
      <c r="F20" s="2090" t="s">
        <v>1810</v>
      </c>
      <c r="G20" s="2038"/>
      <c r="H20" s="2038"/>
      <c r="I20" s="2038"/>
      <c r="J20" s="2038"/>
      <c r="K20" s="3088" t="s">
        <v>1811</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7"/>
      <c r="O20" s="2076"/>
      <c r="P20" s="2077"/>
      <c r="Q20" s="2025"/>
      <c r="R20" s="2025"/>
      <c r="S20" s="2025"/>
      <c r="T20" s="2025"/>
      <c r="U20" s="2025"/>
      <c r="V20" s="2025"/>
    </row>
    <row r="21" spans="1:22" ht="24.75" customHeight="1">
      <c r="A21" s="2089"/>
      <c r="B21" s="2091" t="s">
        <v>3061</v>
      </c>
      <c r="C21" s="2092" t="s">
        <v>3062</v>
      </c>
      <c r="D21" s="2093"/>
      <c r="E21" s="2094"/>
      <c r="F21" s="2095"/>
      <c r="G21" s="2038"/>
      <c r="H21" s="2038"/>
      <c r="I21" s="2038"/>
      <c r="J21" s="2038"/>
      <c r="K21" s="308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70</v>
      </c>
      <c r="C22" s="2092" t="s">
        <v>70</v>
      </c>
      <c r="D22" s="2022"/>
      <c r="E22" s="2022"/>
      <c r="F22" s="2097"/>
      <c r="G22" s="2038"/>
      <c r="H22" s="2038"/>
      <c r="I22" s="2038"/>
      <c r="J22" s="2038"/>
      <c r="K22" s="308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1812</v>
      </c>
      <c r="B23" s="182" t="s">
        <v>1813</v>
      </c>
      <c r="C23" s="2099"/>
      <c r="D23" s="2100" t="s">
        <v>1813</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1814</v>
      </c>
      <c r="C24" s="2104"/>
      <c r="D24" s="2098" t="s">
        <v>1814</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1815</v>
      </c>
      <c r="C25" s="2104"/>
      <c r="D25" s="2098" t="s">
        <v>1815</v>
      </c>
      <c r="E25" s="2105"/>
      <c r="F25" s="2097"/>
      <c r="G25" s="2038"/>
      <c r="H25" s="2038"/>
      <c r="I25" s="2038"/>
      <c r="J25" s="2038"/>
      <c r="K25" s="2049"/>
      <c r="L25" s="2024"/>
      <c r="M25" s="2024"/>
      <c r="N25" s="2077"/>
      <c r="O25" s="2076"/>
      <c r="P25" s="2077"/>
      <c r="Q25" s="2025"/>
      <c r="R25" s="2025"/>
      <c r="S25" s="2025"/>
      <c r="T25" s="2025"/>
      <c r="U25" s="2025"/>
      <c r="V25" s="2025"/>
    </row>
    <row r="26" spans="1:22" ht="18" customHeight="1" thickBot="1">
      <c r="A26" s="2106"/>
      <c r="B26" s="2107" t="s">
        <v>1816</v>
      </c>
      <c r="C26" s="2108"/>
      <c r="D26" s="2109" t="s">
        <v>1817</v>
      </c>
      <c r="E26" s="2110"/>
      <c r="F26" s="2111"/>
      <c r="G26" s="2057"/>
      <c r="H26" s="2057"/>
      <c r="I26" s="2057"/>
      <c r="J26" s="2038"/>
      <c r="K26" s="2049"/>
      <c r="L26" s="2024"/>
      <c r="M26" s="2024"/>
      <c r="N26" s="2077"/>
      <c r="O26" s="2076"/>
      <c r="P26" s="2077"/>
      <c r="Q26" s="2025"/>
      <c r="R26" s="2025"/>
      <c r="S26" s="2025"/>
      <c r="T26" s="2025"/>
      <c r="U26" s="2025"/>
      <c r="V26" s="2025"/>
    </row>
    <row r="27" spans="1:22" ht="18" customHeight="1" thickTop="1">
      <c r="A27" s="3076" t="s">
        <v>1818</v>
      </c>
      <c r="B27" s="2058" t="s">
        <v>1819</v>
      </c>
      <c r="C27" s="2112" t="s">
        <v>3063</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76"/>
      <c r="B28" s="2031" t="s">
        <v>1820</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76"/>
      <c r="B29" s="2031" t="s">
        <v>1821</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77"/>
      <c r="B30" s="2031" t="s">
        <v>1822</v>
      </c>
      <c r="C30" s="3078"/>
      <c r="D30" s="3079"/>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0" t="s">
        <v>1823</v>
      </c>
      <c r="B31" s="2119" t="s">
        <v>3042</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81"/>
      <c r="B32" s="2119"/>
      <c r="C32" s="2120" t="str">
        <f>IF(B32="现房","成新及维护状况是否正常",IF(B32="在建","工程状态是否正常",IF(B32="土地","是否闲置","-")))</f>
        <v>-</v>
      </c>
      <c r="D32" s="2121"/>
      <c r="E32" s="2122"/>
      <c r="F32" s="2038"/>
      <c r="G32" s="2038"/>
      <c r="H32" s="2038"/>
      <c r="I32" s="2038"/>
      <c r="J32" s="2038"/>
      <c r="K32" s="2049"/>
      <c r="L32" s="2024"/>
      <c r="M32" s="2024"/>
      <c r="N32" s="2025"/>
      <c r="O32" s="2026"/>
      <c r="P32" s="2025"/>
      <c r="Q32" s="2025"/>
      <c r="R32" s="2025"/>
      <c r="S32" s="2025"/>
      <c r="T32" s="2025"/>
      <c r="U32" s="2025"/>
      <c r="V32" s="2025"/>
    </row>
    <row r="33" spans="1:22" ht="18" customHeight="1">
      <c r="A33" s="3081"/>
      <c r="B33" s="2123"/>
      <c r="C33" s="2063" t="str">
        <f>IF(B33="现房","成新及维护状况是否正常",IF(B33="在建","工程状态是否正常",IF(B33="土地","是否闲置","-")))</f>
        <v>-</v>
      </c>
      <c r="D33" s="2124"/>
      <c r="E33" s="2125"/>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1824</v>
      </c>
      <c r="B34" s="2126" t="s">
        <v>3064</v>
      </c>
      <c r="C34" s="2126" t="s">
        <v>3065</v>
      </c>
      <c r="D34" s="2126" t="s">
        <v>3066</v>
      </c>
      <c r="E34" s="2126" t="s">
        <v>3067</v>
      </c>
      <c r="F34" s="2126" t="s">
        <v>3068</v>
      </c>
      <c r="G34" s="2126"/>
      <c r="H34" s="2126"/>
      <c r="I34" s="2038"/>
      <c r="J34" s="2038"/>
      <c r="K34" s="1791">
        <f>COUNTIF(B34:H34,"——")</f>
        <v>0</v>
      </c>
      <c r="L34" s="2067" t="s">
        <v>1825</v>
      </c>
      <c r="M34" s="2067" t="s">
        <v>1826</v>
      </c>
      <c r="N34" s="2067" t="s">
        <v>1827</v>
      </c>
      <c r="O34" s="2067" t="s">
        <v>1828</v>
      </c>
      <c r="P34" s="2067" t="s">
        <v>1829</v>
      </c>
      <c r="Q34" s="2067" t="s">
        <v>1830</v>
      </c>
      <c r="R34" s="2067" t="s">
        <v>1831</v>
      </c>
      <c r="S34" s="3075" t="s">
        <v>1832</v>
      </c>
      <c r="T34" s="2127" t="str">
        <f>NUMBERSTRING(7-K34,1)&amp;"通"</f>
        <v>七通</v>
      </c>
      <c r="U34" s="2025"/>
      <c r="V34" s="2025"/>
    </row>
    <row r="35" spans="1:22" ht="18" customHeight="1">
      <c r="A35" s="2128"/>
      <c r="B35" s="3082" t="s">
        <v>1833</v>
      </c>
      <c r="C35" s="3082"/>
      <c r="D35" s="3082"/>
      <c r="E35" s="3082"/>
      <c r="F35" s="2129" t="str">
        <f>C10</f>
        <v>贵州省贵阳市</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5"/>
      <c r="T35" s="48" t="str">
        <f>IF(T34="一通",L35,IF(T34="二通",M35,IF(T34="三通",N35,IF(T34="四通",O35,IF(T34="五通",P35,IF(T34="六通",Q35,R35))))))</f>
        <v>通路、通电、通讯、通上水、通下水、、</v>
      </c>
      <c r="U35" s="2025"/>
      <c r="V35" s="2025"/>
    </row>
    <row r="36" spans="1:22" ht="18" customHeight="1">
      <c r="A36" s="2130"/>
      <c r="B36" s="2129" t="s">
        <v>1834</v>
      </c>
      <c r="C36" s="2129" t="s">
        <v>1835</v>
      </c>
      <c r="D36" s="2129" t="s">
        <v>1836</v>
      </c>
      <c r="E36" s="2129" t="s">
        <v>1837</v>
      </c>
      <c r="F36" s="2131"/>
      <c r="G36" s="2038"/>
      <c r="H36" s="2038"/>
      <c r="I36" s="2038"/>
      <c r="J36" s="2038"/>
      <c r="K36" s="2049"/>
      <c r="L36" s="2024"/>
      <c r="M36" s="2024"/>
      <c r="N36" s="2025"/>
      <c r="O36" s="2026"/>
      <c r="P36" s="2025"/>
      <c r="Q36" s="2025"/>
      <c r="R36" s="2025"/>
      <c r="S36" s="2025"/>
      <c r="T36" s="2025"/>
      <c r="U36" s="2025"/>
      <c r="V36" s="2025"/>
    </row>
    <row r="37" spans="1:22" ht="18" customHeight="1">
      <c r="A37" s="2132" t="s">
        <v>1838</v>
      </c>
      <c r="B37" s="2133"/>
      <c r="C37" s="2133"/>
      <c r="D37" s="2133"/>
      <c r="E37" s="2133"/>
      <c r="F37" s="2131"/>
      <c r="G37" s="2038"/>
      <c r="H37" s="2038"/>
      <c r="I37" s="2038"/>
      <c r="J37" s="2038"/>
      <c r="K37" s="2049"/>
      <c r="L37" s="2024"/>
      <c r="M37" s="2024"/>
      <c r="N37" s="2025"/>
      <c r="O37" s="2026"/>
      <c r="P37" s="2025"/>
      <c r="Q37" s="2025"/>
      <c r="R37" s="2025"/>
      <c r="S37" s="2025"/>
      <c r="T37" s="2025"/>
      <c r="U37" s="2025"/>
      <c r="V37" s="2025"/>
    </row>
    <row r="38" spans="1:22" ht="18" customHeight="1" thickBot="1">
      <c r="A38" s="2134" t="s">
        <v>1839</v>
      </c>
      <c r="B38" s="2135"/>
      <c r="C38" s="2135"/>
      <c r="D38" s="2135"/>
      <c r="E38" s="2135"/>
      <c r="F38" s="2136"/>
      <c r="G38" s="2057"/>
      <c r="H38" s="2057"/>
      <c r="I38" s="2057"/>
      <c r="J38" s="2038"/>
      <c r="K38" s="2049"/>
      <c r="L38" s="2024"/>
      <c r="M38" s="2024"/>
      <c r="N38" s="2025"/>
      <c r="O38" s="2026"/>
      <c r="P38" s="2025"/>
      <c r="Q38" s="2025"/>
      <c r="R38" s="2025"/>
      <c r="S38" s="2025"/>
      <c r="T38" s="2025"/>
      <c r="U38" s="2025"/>
      <c r="V38" s="2025"/>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1841</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1842</v>
      </c>
      <c r="B42" s="1791" t="s">
        <v>1843</v>
      </c>
      <c r="C42" s="1791" t="s">
        <v>1844</v>
      </c>
      <c r="D42" s="1791" t="s">
        <v>1845</v>
      </c>
      <c r="E42" s="1791" t="s">
        <v>1846</v>
      </c>
      <c r="F42" s="1791" t="s">
        <v>1847</v>
      </c>
      <c r="G42" s="1791" t="s">
        <v>1848</v>
      </c>
      <c r="H42" s="1791" t="s">
        <v>1849</v>
      </c>
      <c r="I42" s="1791" t="s">
        <v>1850</v>
      </c>
      <c r="J42" s="2145" t="s">
        <v>1851</v>
      </c>
      <c r="K42" s="2068" t="s">
        <v>1852</v>
      </c>
      <c r="L42" s="2068" t="s">
        <v>1853</v>
      </c>
      <c r="M42" s="2068" t="s">
        <v>1854</v>
      </c>
      <c r="N42" s="1791" t="s">
        <v>1855</v>
      </c>
      <c r="O42" s="1791" t="s">
        <v>1856</v>
      </c>
      <c r="P42" s="1791" t="s">
        <v>1857</v>
      </c>
      <c r="Q42" s="2067" t="s">
        <v>1858</v>
      </c>
      <c r="R42" s="2067" t="s">
        <v>1859</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1865</v>
      </c>
      <c r="AZ2" s="1267"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40729.97</v>
      </c>
      <c r="B3" s="14">
        <f>IF(C3="否",G5-AT5,G5)</f>
        <v>75745.560000000012</v>
      </c>
      <c r="C3" s="2161" t="s">
        <v>1868</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1869</v>
      </c>
      <c r="B5" s="1799"/>
      <c r="C5" s="1799"/>
      <c r="D5" s="1802"/>
      <c r="E5" s="16" t="s">
        <v>1</v>
      </c>
      <c r="F5" s="16">
        <f>SUM(F13:F587)</f>
        <v>0</v>
      </c>
      <c r="G5" s="16">
        <f>SUM(G13:G587)</f>
        <v>75745.560000000012</v>
      </c>
      <c r="H5" s="16">
        <f t="shared" ref="H5:AT5" si="0">SUM(H13:H656)</f>
        <v>75142.98000000001</v>
      </c>
      <c r="I5" s="16">
        <f t="shared" si="0"/>
        <v>42389.05</v>
      </c>
      <c r="J5" s="16">
        <f t="shared" si="0"/>
        <v>0</v>
      </c>
      <c r="K5" s="16">
        <f t="shared" si="0"/>
        <v>0</v>
      </c>
      <c r="L5" s="16">
        <f t="shared" si="0"/>
        <v>0</v>
      </c>
      <c r="M5" s="16">
        <f t="shared" si="0"/>
        <v>32753.93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602.58000000000004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602.58000000000004</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1869</v>
      </c>
      <c r="AW5" s="1799"/>
      <c r="AX5" s="1799"/>
      <c r="AY5" s="17" t="s">
        <v>3</v>
      </c>
      <c r="AZ5" s="18">
        <f t="shared" ref="AZ5:BT5" si="1">SUM(AZ13:AZ656)</f>
        <v>75745.560000000012</v>
      </c>
      <c r="BA5" s="18">
        <f t="shared" si="1"/>
        <v>75142.98000000001</v>
      </c>
      <c r="BB5" s="18">
        <f t="shared" si="1"/>
        <v>42389.05</v>
      </c>
      <c r="BC5" s="18">
        <f t="shared" si="1"/>
        <v>0</v>
      </c>
      <c r="BD5" s="18">
        <f t="shared" si="1"/>
        <v>32753.93</v>
      </c>
      <c r="BE5" s="18">
        <f t="shared" si="1"/>
        <v>0</v>
      </c>
      <c r="BF5" s="18">
        <f t="shared" si="1"/>
        <v>0</v>
      </c>
      <c r="BG5" s="18">
        <f t="shared" si="1"/>
        <v>0</v>
      </c>
      <c r="BH5" s="18">
        <f t="shared" si="1"/>
        <v>0</v>
      </c>
      <c r="BI5" s="18">
        <f t="shared" si="1"/>
        <v>0</v>
      </c>
      <c r="BJ5" s="18">
        <f t="shared" si="1"/>
        <v>0</v>
      </c>
      <c r="BK5" s="18">
        <f t="shared" si="1"/>
        <v>0</v>
      </c>
      <c r="BL5" s="18">
        <f t="shared" si="1"/>
        <v>602.58000000000004</v>
      </c>
      <c r="BM5" s="18">
        <f t="shared" si="1"/>
        <v>0</v>
      </c>
      <c r="BN5" s="18">
        <f t="shared" si="1"/>
        <v>0</v>
      </c>
      <c r="BO5" s="18">
        <f t="shared" si="1"/>
        <v>0</v>
      </c>
      <c r="BP5" s="18">
        <f t="shared" si="1"/>
        <v>0</v>
      </c>
      <c r="BQ5" s="18">
        <f t="shared" si="1"/>
        <v>602.58000000000004</v>
      </c>
      <c r="BR5" s="18">
        <f t="shared" si="1"/>
        <v>0</v>
      </c>
      <c r="BS5" s="18">
        <f t="shared" si="1"/>
        <v>0</v>
      </c>
      <c r="BT5" s="19">
        <f t="shared" si="1"/>
        <v>0</v>
      </c>
    </row>
    <row r="6" spans="1:72" s="2170" customFormat="1" ht="12.75">
      <c r="A6" s="15" t="s">
        <v>1870</v>
      </c>
      <c r="B6" s="2167"/>
      <c r="C6" s="2167"/>
      <c r="D6" s="2168"/>
      <c r="E6" s="16">
        <f>H6+AC6+AT6</f>
        <v>40729.969999999994</v>
      </c>
      <c r="F6" s="16" t="s">
        <v>1</v>
      </c>
      <c r="G6" s="16" t="s">
        <v>2</v>
      </c>
      <c r="H6" s="20">
        <f>SUMIF(I$12:AB$12,"总值",I6:AB6)</f>
        <v>40405.949999999997</v>
      </c>
      <c r="I6" s="16">
        <f t="shared" ref="I6:AB6" si="2">ROUND($A$3*I5/$B$3,2)</f>
        <v>22793.48</v>
      </c>
      <c r="J6" s="16">
        <f t="shared" si="2"/>
        <v>0</v>
      </c>
      <c r="K6" s="16">
        <f t="shared" si="2"/>
        <v>0</v>
      </c>
      <c r="L6" s="16">
        <f t="shared" si="2"/>
        <v>0</v>
      </c>
      <c r="M6" s="16">
        <f t="shared" si="2"/>
        <v>17612.47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324.02</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1870</v>
      </c>
      <c r="AW6" s="2167"/>
      <c r="AX6" s="2167"/>
      <c r="AY6" s="21">
        <f>IF(AY3&gt;0,AY3,ROUND($A$3*AZ5/$B$3,2))</f>
        <v>40729.97</v>
      </c>
      <c r="AZ6" s="16" t="s">
        <v>3</v>
      </c>
      <c r="BA6" s="16">
        <f>ROUND($AY$6*BA5/$AZ$5,2)</f>
        <v>40405.949999999997</v>
      </c>
      <c r="BB6" s="16">
        <f>ROUND($AY$6*BB5/$AZ$5,2)</f>
        <v>22793.48</v>
      </c>
      <c r="BC6" s="16">
        <f t="shared" ref="BC6:BH6" si="4">ROUND($AY$6*BC5/$AZ$5,2)</f>
        <v>0</v>
      </c>
      <c r="BD6" s="16">
        <f t="shared" si="4"/>
        <v>17612.47</v>
      </c>
      <c r="BE6" s="16">
        <f t="shared" si="4"/>
        <v>0</v>
      </c>
      <c r="BF6" s="16">
        <f t="shared" si="4"/>
        <v>0</v>
      </c>
      <c r="BG6" s="16">
        <f t="shared" si="4"/>
        <v>0</v>
      </c>
      <c r="BH6" s="16">
        <f t="shared" si="4"/>
        <v>0</v>
      </c>
      <c r="BI6" s="16">
        <f t="shared" ref="BI6:BT6" si="5">ROUND($AY$6*BI5/$AZ$5,2)</f>
        <v>0</v>
      </c>
      <c r="BJ6" s="16">
        <f t="shared" si="5"/>
        <v>0</v>
      </c>
      <c r="BK6" s="16">
        <f t="shared" si="5"/>
        <v>0</v>
      </c>
      <c r="BL6" s="16">
        <f t="shared" si="5"/>
        <v>324.02</v>
      </c>
      <c r="BM6" s="16">
        <f t="shared" si="5"/>
        <v>0</v>
      </c>
      <c r="BN6" s="16">
        <f t="shared" si="5"/>
        <v>0</v>
      </c>
      <c r="BO6" s="16">
        <f t="shared" si="5"/>
        <v>0</v>
      </c>
      <c r="BP6" s="16">
        <f t="shared" si="5"/>
        <v>0</v>
      </c>
      <c r="BQ6" s="16">
        <f t="shared" si="5"/>
        <v>324.02</v>
      </c>
      <c r="BR6" s="16">
        <f t="shared" si="5"/>
        <v>0</v>
      </c>
      <c r="BS6" s="16">
        <f t="shared" si="5"/>
        <v>0</v>
      </c>
      <c r="BT6" s="22">
        <f t="shared" si="5"/>
        <v>0</v>
      </c>
    </row>
    <row r="7" spans="1:72" s="2160" customFormat="1" ht="24.75">
      <c r="A7" s="2102" t="s">
        <v>1871</v>
      </c>
      <c r="B7" s="2102" t="s">
        <v>1872</v>
      </c>
      <c r="C7" s="2102" t="s">
        <v>1873</v>
      </c>
      <c r="D7" s="2102" t="s">
        <v>1874</v>
      </c>
      <c r="E7" s="2102" t="s">
        <v>1875</v>
      </c>
      <c r="F7" s="2102" t="s">
        <v>1876</v>
      </c>
      <c r="G7" s="2171" t="s">
        <v>1877</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1878</v>
      </c>
      <c r="AV7" s="23" t="s">
        <v>1879</v>
      </c>
      <c r="AW7" s="2159" t="s">
        <v>1880</v>
      </c>
      <c r="AX7" s="23" t="s">
        <v>1873</v>
      </c>
      <c r="AY7" s="1799" t="s">
        <v>1881</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1882</v>
      </c>
      <c r="H8" s="2177" t="s">
        <v>1883</v>
      </c>
      <c r="I8" s="2178"/>
      <c r="J8" s="1814"/>
      <c r="K8" s="1814"/>
      <c r="L8" s="1814"/>
      <c r="M8" s="1814"/>
      <c r="N8" s="1814"/>
      <c r="O8" s="1814"/>
      <c r="P8" s="1814"/>
      <c r="Q8" s="1814"/>
      <c r="R8" s="1814"/>
      <c r="S8" s="1814"/>
      <c r="T8" s="1814"/>
      <c r="U8" s="1814"/>
      <c r="V8" s="2179"/>
      <c r="W8" s="1814"/>
      <c r="X8" s="1814"/>
      <c r="Y8" s="1814"/>
      <c r="Z8" s="1814"/>
      <c r="AA8" s="2179"/>
      <c r="AB8" s="2180"/>
      <c r="AC8" s="978" t="s">
        <v>1884</v>
      </c>
      <c r="AD8" s="2181"/>
      <c r="AE8" s="2173"/>
      <c r="AF8" s="1814"/>
      <c r="AG8" s="1814"/>
      <c r="AH8" s="1814"/>
      <c r="AI8" s="1814"/>
      <c r="AJ8" s="1814"/>
      <c r="AK8" s="1814"/>
      <c r="AL8" s="1814"/>
      <c r="AM8" s="1814"/>
      <c r="AN8" s="1814"/>
      <c r="AO8" s="1814"/>
      <c r="AP8" s="1814"/>
      <c r="AQ8" s="1814"/>
      <c r="AR8" s="1814"/>
      <c r="AS8" s="1814"/>
      <c r="AT8" s="1289" t="s">
        <v>1885</v>
      </c>
      <c r="AU8" s="2175" t="s">
        <v>1886</v>
      </c>
      <c r="AV8" s="1289"/>
      <c r="AW8" s="2158"/>
      <c r="AX8" s="1289"/>
      <c r="AY8" s="2159" t="s">
        <v>1887</v>
      </c>
      <c r="AZ8" s="1813" t="s">
        <v>1888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1889</v>
      </c>
      <c r="I9" s="2184" t="s">
        <v>3145</v>
      </c>
      <c r="J9" s="978"/>
      <c r="K9" s="2184" t="s">
        <v>3145</v>
      </c>
      <c r="L9" s="978"/>
      <c r="M9" s="2184" t="s">
        <v>3330</v>
      </c>
      <c r="N9" s="978"/>
      <c r="O9" s="2184"/>
      <c r="P9" s="978"/>
      <c r="Q9" s="2184"/>
      <c r="R9" s="978"/>
      <c r="S9" s="2184"/>
      <c r="T9" s="978"/>
      <c r="U9" s="2184"/>
      <c r="V9" s="978"/>
      <c r="W9" s="2184"/>
      <c r="X9" s="2185"/>
      <c r="Y9" s="2184"/>
      <c r="Z9" s="978"/>
      <c r="AA9" s="2184"/>
      <c r="AB9" s="978"/>
      <c r="AC9" s="2176"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6"/>
      <c r="AT9" s="2175"/>
      <c r="AU9" s="2175" t="s">
        <v>1892</v>
      </c>
      <c r="AV9" s="1289"/>
      <c r="AW9" s="2158"/>
      <c r="AX9" s="1289"/>
      <c r="AY9" s="28"/>
      <c r="AZ9" s="28" t="s">
        <v>1882</v>
      </c>
      <c r="BA9" s="2187" t="s">
        <v>1893</v>
      </c>
      <c r="BB9" s="2188"/>
      <c r="BC9" s="1335"/>
      <c r="BD9" s="1335"/>
      <c r="BE9" s="1335"/>
      <c r="BF9" s="1335"/>
      <c r="BG9" s="1335"/>
      <c r="BH9" s="1335"/>
      <c r="BI9" s="1335"/>
      <c r="BJ9" s="1335"/>
      <c r="BK9" s="2189"/>
      <c r="BL9" s="15" t="s">
        <v>1894</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90" t="s">
        <v>1373</v>
      </c>
      <c r="L10" s="978"/>
      <c r="M10" s="2190" t="s">
        <v>3331</v>
      </c>
      <c r="N10" s="978"/>
      <c r="O10" s="2190"/>
      <c r="P10" s="978"/>
      <c r="Q10" s="2190"/>
      <c r="R10" s="978"/>
      <c r="S10" s="2190"/>
      <c r="T10" s="978"/>
      <c r="U10" s="2190"/>
      <c r="V10" s="978"/>
      <c r="W10" s="2190"/>
      <c r="X10" s="978"/>
      <c r="Y10" s="2190"/>
      <c r="Z10" s="978"/>
      <c r="AA10" s="2190"/>
      <c r="AB10" s="978"/>
      <c r="AC10" s="1289"/>
      <c r="AD10" s="15" t="s">
        <v>1895</v>
      </c>
      <c r="AE10" s="2191"/>
      <c r="AF10" s="15" t="s">
        <v>1895</v>
      </c>
      <c r="AG10" s="2191"/>
      <c r="AH10" s="15" t="s">
        <v>1896</v>
      </c>
      <c r="AI10" s="2191"/>
      <c r="AJ10" s="15" t="s">
        <v>1896</v>
      </c>
      <c r="AK10" s="2191"/>
      <c r="AL10" s="15" t="s">
        <v>1897</v>
      </c>
      <c r="AM10" s="1295"/>
      <c r="AN10" s="15" t="s">
        <v>1897</v>
      </c>
      <c r="AO10" s="1295"/>
      <c r="AP10" s="15" t="s">
        <v>1898</v>
      </c>
      <c r="AQ10" s="1295"/>
      <c r="AR10" s="15" t="s">
        <v>1898</v>
      </c>
      <c r="AS10" s="1295"/>
      <c r="AT10" s="2175"/>
      <c r="AU10" s="2175"/>
      <c r="AV10" s="1289"/>
      <c r="AW10" s="2158"/>
      <c r="AX10" s="1289"/>
      <c r="AY10" s="28"/>
      <c r="AZ10" s="28"/>
      <c r="BA10" s="2192" t="s">
        <v>1889</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1899</v>
      </c>
      <c r="AE11" s="1815"/>
      <c r="AF11" s="2197" t="s">
        <v>1899</v>
      </c>
      <c r="AG11" s="1815"/>
      <c r="AH11" s="2197" t="s">
        <v>1900</v>
      </c>
      <c r="AI11" s="2198"/>
      <c r="AJ11" s="2197" t="s">
        <v>1900</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车库—商业</v>
      </c>
      <c r="BE11" s="2180">
        <f>O10</f>
        <v>0</v>
      </c>
      <c r="BF11" s="2180">
        <f>Q10</f>
        <v>0</v>
      </c>
      <c r="BG11" s="2180">
        <f>S10</f>
        <v>0</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8" t="s">
        <v>1902</v>
      </c>
      <c r="W12" s="11" t="s">
        <v>1901</v>
      </c>
      <c r="X12" s="11" t="s">
        <v>1902</v>
      </c>
      <c r="Y12" s="11" t="s">
        <v>1901</v>
      </c>
      <c r="Z12" s="11" t="s">
        <v>1902</v>
      </c>
      <c r="AA12" s="11" t="s">
        <v>1901</v>
      </c>
      <c r="AB12" s="11" t="s">
        <v>1902</v>
      </c>
      <c r="AC12" s="2202"/>
      <c r="AD12" s="1802"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0" t="s">
        <v>1902</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3144</v>
      </c>
      <c r="E13" s="16">
        <f>IF($C$3="是",ROUND($A$3*G13/$B$3,2),ROUND($A$3*(G13-AT13)/$B$3,2))</f>
        <v>40729.97</v>
      </c>
      <c r="F13" s="32"/>
      <c r="G13" s="33">
        <f>H13+AC13+AT13</f>
        <v>75745.560000000012</v>
      </c>
      <c r="H13" s="20">
        <f>SUMIF(I$12:AB$12,"总值",I13:AB13)</f>
        <v>75142.98000000001</v>
      </c>
      <c r="I13" s="2207">
        <f>面积表!G6</f>
        <v>42389.05</v>
      </c>
      <c r="J13" s="2207"/>
      <c r="K13" s="2207"/>
      <c r="L13" s="2207"/>
      <c r="M13" s="2207">
        <f>面积表!K6</f>
        <v>32753.93</v>
      </c>
      <c r="N13" s="2207"/>
      <c r="O13" s="2207"/>
      <c r="P13" s="2207"/>
      <c r="Q13" s="2207"/>
      <c r="R13" s="2207"/>
      <c r="S13" s="2207"/>
      <c r="T13" s="2207"/>
      <c r="U13" s="2207"/>
      <c r="V13" s="2207"/>
      <c r="W13" s="2207"/>
      <c r="X13" s="2207"/>
      <c r="Y13" s="2207"/>
      <c r="Z13" s="2207"/>
      <c r="AA13" s="2207"/>
      <c r="AB13" s="2207"/>
      <c r="AC13" s="16">
        <f>SUMIF(AD$12:AS$12,"总值",AD13:AS13)</f>
        <v>602.58000000000004</v>
      </c>
      <c r="AD13" s="2208"/>
      <c r="AE13" s="2208"/>
      <c r="AF13" s="2208"/>
      <c r="AG13" s="2208"/>
      <c r="AH13" s="2208"/>
      <c r="AI13" s="2208"/>
      <c r="AJ13" s="2208"/>
      <c r="AK13" s="2208"/>
      <c r="AL13" s="2208">
        <f>面积表!I6</f>
        <v>602.58000000000004</v>
      </c>
      <c r="AM13" s="2208"/>
      <c r="AN13" s="2208"/>
      <c r="AO13" s="2208"/>
      <c r="AP13" s="2208"/>
      <c r="AQ13" s="2208"/>
      <c r="AR13" s="2208"/>
      <c r="AS13" s="2208"/>
      <c r="AT13" s="2209"/>
      <c r="AU13" s="2210"/>
      <c r="AV13" s="11">
        <f t="shared" ref="AV13:AX17" si="6">A13</f>
        <v>0</v>
      </c>
      <c r="AW13" s="11">
        <f t="shared" si="6"/>
        <v>0</v>
      </c>
      <c r="AX13" s="11">
        <f t="shared" si="6"/>
        <v>0</v>
      </c>
      <c r="AY13" s="1802">
        <f>ROUND($AY$6*AZ13/$AZ$5,2)</f>
        <v>40729.97</v>
      </c>
      <c r="AZ13" s="16">
        <f>BA13+BL13</f>
        <v>75745.560000000012</v>
      </c>
      <c r="BA13" s="16">
        <f>SUM(BB13:BK13)</f>
        <v>75142.98000000001</v>
      </c>
      <c r="BB13" s="16">
        <f>IF($D13="是",I13-J13,0)</f>
        <v>42389.05</v>
      </c>
      <c r="BC13" s="16">
        <f>IF($D13="是",K13-L13,0)</f>
        <v>0</v>
      </c>
      <c r="BD13" s="16">
        <f>IF($D13="是",M13-N13,0)</f>
        <v>32753.93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602.58000000000004</v>
      </c>
      <c r="BM13" s="16">
        <f>IF($D13="是",AD13-AE13,0)</f>
        <v>0</v>
      </c>
      <c r="BN13" s="16">
        <f>IF($D13="是",AF13-AG13,0)</f>
        <v>0</v>
      </c>
      <c r="BO13" s="16">
        <f>IF($D13="是",AH13-AI13,0)</f>
        <v>0</v>
      </c>
      <c r="BP13" s="16">
        <f>IF($D13="是",AJ13-AK13,0)</f>
        <v>0</v>
      </c>
      <c r="BQ13" s="16">
        <f>IF($D13="是",AL13-AM13,0)</f>
        <v>602.58000000000004</v>
      </c>
      <c r="BR13" s="16">
        <f>IF($D13="是",AN13-AO13,0)</f>
        <v>0</v>
      </c>
      <c r="BS13" s="16">
        <f>IF($D13="是",AP13-AQ13,0)</f>
        <v>0</v>
      </c>
      <c r="BT13" s="22">
        <f>IF($D13="是",AR13-AS13,0)</f>
        <v>0</v>
      </c>
    </row>
    <row r="14" spans="1:72" s="2160" customFormat="1" ht="12.75">
      <c r="A14" s="1269"/>
      <c r="B14" s="1269"/>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M21"/>
  <sheetViews>
    <sheetView workbookViewId="0">
      <selection activeCell="F17" sqref="F17"/>
    </sheetView>
  </sheetViews>
  <sheetFormatPr defaultRowHeight="14.25"/>
  <cols>
    <col min="1" max="1" width="1.25" style="3024" customWidth="1"/>
    <col min="2" max="3" width="13.75" style="3023" customWidth="1"/>
    <col min="4" max="4" width="8.375" style="3023" customWidth="1"/>
    <col min="5" max="5" width="7.875" style="3023" customWidth="1"/>
    <col min="6" max="8" width="8.125" style="3023" customWidth="1"/>
    <col min="9" max="9" width="15.25" style="3023" customWidth="1"/>
    <col min="10" max="10" width="8.75" style="3023" customWidth="1"/>
    <col min="11" max="11" width="9.875" style="3023" customWidth="1"/>
    <col min="12" max="12" width="15.375" style="3023" customWidth="1"/>
    <col min="13" max="13" width="15.875" style="3024" customWidth="1"/>
    <col min="14" max="14" width="9.875" style="3024" customWidth="1"/>
    <col min="15" max="15" width="16.5" style="3024" customWidth="1"/>
    <col min="16" max="16" width="3.25" style="3024" customWidth="1"/>
    <col min="17" max="19" width="9" style="3024"/>
    <col min="20" max="20" width="15.5" style="3024" customWidth="1"/>
    <col min="21" max="21" width="9" style="3024"/>
    <col min="22" max="22" width="16.375" style="3024" customWidth="1"/>
    <col min="23" max="16384" width="9" style="3024"/>
  </cols>
  <sheetData>
    <row r="1" spans="2:13" ht="8.25" customHeight="1"/>
    <row r="2" spans="2:13" ht="22.5" customHeight="1">
      <c r="B2" s="3107"/>
      <c r="C2" s="3108" t="s">
        <v>3344</v>
      </c>
      <c r="D2" s="3107" t="s">
        <v>3345</v>
      </c>
      <c r="E2" s="3107"/>
      <c r="F2" s="3107"/>
      <c r="G2" s="3107"/>
      <c r="H2" s="3107"/>
      <c r="I2" s="3107"/>
      <c r="J2" s="3107"/>
      <c r="K2" s="3107"/>
      <c r="L2" s="3107"/>
      <c r="M2" s="3025"/>
    </row>
    <row r="3" spans="2:13" ht="22.5" customHeight="1">
      <c r="B3" s="3107"/>
      <c r="C3" s="3109"/>
      <c r="D3" s="3107" t="s">
        <v>3346</v>
      </c>
      <c r="E3" s="3111" t="s">
        <v>3347</v>
      </c>
      <c r="F3" s="3112"/>
      <c r="G3" s="3112"/>
      <c r="H3" s="3112"/>
      <c r="I3" s="3113"/>
      <c r="J3" s="3111" t="s">
        <v>3348</v>
      </c>
      <c r="K3" s="3112"/>
      <c r="L3" s="3113"/>
      <c r="M3" s="3025"/>
    </row>
    <row r="4" spans="2:13" ht="22.5" customHeight="1">
      <c r="B4" s="3107"/>
      <c r="C4" s="3109"/>
      <c r="D4" s="3107"/>
      <c r="E4" s="3108" t="s">
        <v>3349</v>
      </c>
      <c r="F4" s="3114" t="s">
        <v>3350</v>
      </c>
      <c r="G4" s="3115"/>
      <c r="H4" s="3116"/>
      <c r="I4" s="3026" t="s">
        <v>3351</v>
      </c>
      <c r="J4" s="3108" t="s">
        <v>3352</v>
      </c>
      <c r="K4" s="3026" t="s">
        <v>3353</v>
      </c>
      <c r="L4" s="3026" t="s">
        <v>3351</v>
      </c>
      <c r="M4" s="3025"/>
    </row>
    <row r="5" spans="2:13" ht="22.5" customHeight="1">
      <c r="B5" s="3107"/>
      <c r="C5" s="3110"/>
      <c r="D5" s="3107"/>
      <c r="E5" s="3110"/>
      <c r="F5" s="3026" t="s">
        <v>3352</v>
      </c>
      <c r="G5" s="3026" t="s">
        <v>3354</v>
      </c>
      <c r="H5" s="3026" t="s">
        <v>3355</v>
      </c>
      <c r="I5" s="3026" t="s">
        <v>3356</v>
      </c>
      <c r="J5" s="3110"/>
      <c r="K5" s="3027" t="s">
        <v>3357</v>
      </c>
      <c r="L5" s="3027" t="s">
        <v>3356</v>
      </c>
      <c r="M5" s="3025"/>
    </row>
    <row r="6" spans="2:13" ht="22.5" customHeight="1">
      <c r="B6" s="3027" t="s">
        <v>3358</v>
      </c>
      <c r="C6" s="3027">
        <v>40729.97</v>
      </c>
      <c r="D6" s="3027">
        <f>E6+J6</f>
        <v>75745.56</v>
      </c>
      <c r="E6" s="3027">
        <f>F6+I6</f>
        <v>42991.630000000005</v>
      </c>
      <c r="F6" s="3027">
        <f>SUM(G6:H6)</f>
        <v>42389.05</v>
      </c>
      <c r="G6" s="3028">
        <v>42389.05</v>
      </c>
      <c r="H6" s="3029"/>
      <c r="I6" s="3029">
        <v>602.58000000000004</v>
      </c>
      <c r="J6" s="3026">
        <f>K6+L6</f>
        <v>32753.93</v>
      </c>
      <c r="K6" s="3029">
        <f>15190.5+17563.43</f>
        <v>32753.93</v>
      </c>
      <c r="L6" s="3029"/>
    </row>
    <row r="7" spans="2:13" ht="22.5" customHeight="1">
      <c r="B7" s="3027" t="s">
        <v>3359</v>
      </c>
      <c r="C7" s="3027">
        <v>32974.589999999997</v>
      </c>
      <c r="D7" s="3027">
        <f>E7+J7</f>
        <v>104570.31</v>
      </c>
      <c r="E7" s="3027">
        <f>F7+I7</f>
        <v>90364.79</v>
      </c>
      <c r="F7" s="3027">
        <f>SUM(G7:H7)</f>
        <v>86628.81</v>
      </c>
      <c r="G7" s="3030">
        <v>64385.29</v>
      </c>
      <c r="H7" s="3029">
        <v>22243.52</v>
      </c>
      <c r="I7" s="3029">
        <v>3735.98</v>
      </c>
      <c r="J7" s="3026">
        <f>K7+L7</f>
        <v>14205.52</v>
      </c>
      <c r="K7" s="3029">
        <v>14205.52</v>
      </c>
      <c r="L7" s="3028"/>
    </row>
    <row r="8" spans="2:13" ht="22.5" customHeight="1">
      <c r="B8" s="3027" t="s">
        <v>3346</v>
      </c>
      <c r="C8" s="3027">
        <f>SUM(C6:C7)</f>
        <v>73704.56</v>
      </c>
      <c r="D8" s="3027">
        <f>SUM(D6:D7)</f>
        <v>180315.87</v>
      </c>
      <c r="E8" s="3027">
        <f t="shared" ref="E8:K8" si="0">SUM(E6:E7)</f>
        <v>133356.41999999998</v>
      </c>
      <c r="F8" s="3027">
        <f t="shared" si="0"/>
        <v>129017.86</v>
      </c>
      <c r="G8" s="3027">
        <f t="shared" si="0"/>
        <v>106774.34</v>
      </c>
      <c r="H8" s="3026">
        <f t="shared" si="0"/>
        <v>22243.52</v>
      </c>
      <c r="I8" s="3026">
        <f t="shared" si="0"/>
        <v>4338.5600000000004</v>
      </c>
      <c r="J8" s="3026">
        <f t="shared" si="0"/>
        <v>46959.45</v>
      </c>
      <c r="K8" s="3026">
        <f t="shared" si="0"/>
        <v>46959.45</v>
      </c>
      <c r="L8" s="3027"/>
    </row>
    <row r="13" spans="2:13" ht="24" customHeight="1"/>
    <row r="14" spans="2:13" ht="24" customHeight="1"/>
    <row r="15" spans="2:13" ht="24" customHeight="1"/>
    <row r="16" spans="2:13" ht="24" customHeight="1"/>
    <row r="17" ht="24" customHeight="1"/>
    <row r="18" ht="24" customHeight="1"/>
    <row r="19" ht="24" customHeight="1"/>
    <row r="20" ht="24" customHeight="1"/>
    <row r="21" ht="24" customHeight="1"/>
  </sheetData>
  <mergeCells count="9">
    <mergeCell ref="B2:B5"/>
    <mergeCell ref="C2:C5"/>
    <mergeCell ref="D2:L2"/>
    <mergeCell ref="D3:D5"/>
    <mergeCell ref="E3:I3"/>
    <mergeCell ref="J3:L3"/>
    <mergeCell ref="E4:E5"/>
    <mergeCell ref="F4:H4"/>
    <mergeCell ref="J4:J5"/>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1928</v>
      </c>
      <c r="B1" s="1389"/>
      <c r="C1" s="1389"/>
      <c r="D1" s="1389"/>
      <c r="E1" s="1389"/>
      <c r="F1" s="1389"/>
      <c r="G1" s="1389"/>
      <c r="H1" s="1389"/>
      <c r="I1" s="1389"/>
      <c r="J1" s="1389"/>
      <c r="K1" s="1389"/>
      <c r="L1" s="1389"/>
      <c r="M1" s="1389"/>
      <c r="N1" s="1389"/>
      <c r="O1" s="1389"/>
      <c r="P1" s="1389"/>
    </row>
    <row r="2" spans="1:16" ht="15">
      <c r="A2" s="3126" t="s">
        <v>1929</v>
      </c>
      <c r="B2" s="3126"/>
      <c r="C2" s="3126"/>
      <c r="D2" s="964" t="s">
        <v>1905</v>
      </c>
      <c r="E2" s="2220" t="s">
        <v>1906</v>
      </c>
      <c r="F2" s="1389"/>
      <c r="G2" s="2221"/>
      <c r="H2" s="2222"/>
      <c r="I2" s="2223" t="s">
        <v>1930</v>
      </c>
      <c r="J2" s="1389"/>
      <c r="K2" s="1389"/>
      <c r="L2" s="1389"/>
      <c r="M2" s="1389"/>
      <c r="N2" s="1424"/>
      <c r="O2" s="1389"/>
      <c r="P2" s="1389"/>
    </row>
    <row r="3" spans="1:16" ht="15.75" thickBot="1">
      <c r="A3" s="3127" t="s">
        <v>1903</v>
      </c>
      <c r="B3" s="3127"/>
      <c r="C3" s="3127"/>
      <c r="D3" s="46">
        <f>'数据-基础表'!AY6</f>
        <v>40729.97</v>
      </c>
      <c r="E3" s="46">
        <f>'数据-基础表'!AZ5</f>
        <v>75745.560000000012</v>
      </c>
      <c r="F3" s="1389"/>
      <c r="G3" s="1396"/>
      <c r="H3" s="1244" t="s">
        <v>1904</v>
      </c>
      <c r="I3" s="55">
        <f>ROUND('数据-基础表'!B3/'数据-基础表'!A3,2)</f>
        <v>1.86</v>
      </c>
      <c r="J3" s="1389"/>
      <c r="K3" s="1389"/>
      <c r="L3" s="1389"/>
      <c r="M3" s="1389"/>
      <c r="N3" s="1424"/>
      <c r="O3" s="1389"/>
      <c r="P3" s="1389"/>
    </row>
    <row r="4" spans="1:16" ht="15">
      <c r="A4" s="3128"/>
      <c r="B4" s="3129"/>
      <c r="C4" s="3130"/>
      <c r="D4" s="2224" t="s">
        <v>1905</v>
      </c>
      <c r="E4" s="2225" t="s">
        <v>1906</v>
      </c>
      <c r="F4" s="1389"/>
      <c r="G4" s="2226" t="s">
        <v>1931</v>
      </c>
      <c r="H4" s="1244" t="s">
        <v>1911</v>
      </c>
      <c r="I4" s="55">
        <f>ROUND(SUMIF('数据-基础表'!I9:AS9,"地上",'数据-基础表'!I5:AS5)/'数据-基础表'!A3,2)</f>
        <v>1.06</v>
      </c>
      <c r="J4" s="1389"/>
      <c r="K4" s="1389"/>
      <c r="L4" s="1389"/>
      <c r="M4" s="1389"/>
      <c r="N4" s="1424"/>
      <c r="O4" s="1389"/>
      <c r="P4" s="1389"/>
    </row>
    <row r="5" spans="1:16">
      <c r="A5" s="47" t="s">
        <v>1907</v>
      </c>
      <c r="B5" s="3131" t="s">
        <v>1908</v>
      </c>
      <c r="C5" s="3131"/>
      <c r="D5" s="48">
        <f>ROUND($D$3*E5/$E$3,2)</f>
        <v>0</v>
      </c>
      <c r="E5" s="49">
        <f>SUMIF('数据-基础表'!$11:$11,"住宅",'数据-基础表'!$5:$5)</f>
        <v>0</v>
      </c>
      <c r="F5" s="1389"/>
      <c r="G5" s="1396"/>
      <c r="H5" s="1244" t="s">
        <v>1904</v>
      </c>
      <c r="I5" s="55">
        <f>ROUND(E31/D31,2)</f>
        <v>1.86</v>
      </c>
      <c r="J5" s="1389"/>
      <c r="K5" s="1389"/>
      <c r="L5" s="1389"/>
      <c r="M5" s="1389"/>
      <c r="N5" s="1389"/>
      <c r="O5" s="1389"/>
      <c r="P5" s="1389"/>
    </row>
    <row r="6" spans="1:16" ht="15" thickBot="1">
      <c r="A6" s="2227"/>
      <c r="B6" s="3131" t="s">
        <v>1909</v>
      </c>
      <c r="C6" s="3131"/>
      <c r="D6" s="48">
        <f>ROUND($D$3*E6/$E$3,2)</f>
        <v>40729.97</v>
      </c>
      <c r="E6" s="49">
        <f>E3-E5</f>
        <v>75745.560000000012</v>
      </c>
      <c r="F6" s="1389"/>
      <c r="G6" s="2228" t="s">
        <v>1910</v>
      </c>
      <c r="H6" s="1396" t="s">
        <v>1911</v>
      </c>
      <c r="I6" s="936">
        <f>ROUND(F31/D31,2)</f>
        <v>1.06</v>
      </c>
      <c r="J6" s="1389"/>
      <c r="K6" s="1389"/>
      <c r="L6" s="1389"/>
      <c r="M6" s="1389"/>
      <c r="N6" s="1389"/>
      <c r="O6" s="1389"/>
      <c r="P6" s="1389"/>
    </row>
    <row r="7" spans="1:16" ht="15">
      <c r="A7" s="3123"/>
      <c r="B7" s="3124"/>
      <c r="C7" s="3125"/>
      <c r="D7" s="2224" t="s">
        <v>1905</v>
      </c>
      <c r="E7" s="2229" t="s">
        <v>1912</v>
      </c>
      <c r="F7" s="1389"/>
      <c r="G7" s="2221" t="s">
        <v>1913</v>
      </c>
      <c r="H7" s="64"/>
      <c r="I7" s="419"/>
      <c r="J7" s="1389"/>
      <c r="K7" s="1389"/>
      <c r="L7" s="1389"/>
      <c r="M7" s="1389"/>
      <c r="N7" s="1389"/>
      <c r="O7" s="1389"/>
      <c r="P7" s="1389"/>
    </row>
    <row r="8" spans="1:16">
      <c r="A8" s="47" t="s">
        <v>1914</v>
      </c>
      <c r="B8" s="50" t="s">
        <v>1915</v>
      </c>
      <c r="C8" s="48" t="s">
        <v>1916</v>
      </c>
      <c r="D8" s="48">
        <f t="shared" ref="D8:D15" si="0">ROUND($D$3*E8/$E$3,2)</f>
        <v>22793.48</v>
      </c>
      <c r="E8" s="51">
        <f>SUMIF('数据-基础表'!BB10:BK10,"地上",'数据-基础表'!BB5:BK5)</f>
        <v>42389.05</v>
      </c>
      <c r="F8" s="1389"/>
      <c r="G8" s="2230"/>
      <c r="H8" s="2230"/>
      <c r="I8" s="1389"/>
      <c r="J8" s="1389"/>
      <c r="K8" s="1389"/>
      <c r="L8" s="1389"/>
      <c r="M8" s="1389"/>
      <c r="N8" s="1389"/>
      <c r="O8" s="1389"/>
      <c r="P8" s="1389"/>
    </row>
    <row r="9" spans="1:16">
      <c r="A9" s="2231"/>
      <c r="B9" s="2232"/>
      <c r="C9" s="48" t="s">
        <v>1917</v>
      </c>
      <c r="D9" s="48">
        <f t="shared" si="0"/>
        <v>0</v>
      </c>
      <c r="E9" s="52">
        <v>0</v>
      </c>
      <c r="F9" s="1389"/>
      <c r="G9" s="2230"/>
      <c r="H9" s="2230"/>
      <c r="I9" s="1389"/>
      <c r="J9" s="1389"/>
      <c r="K9" s="1389"/>
      <c r="L9" s="1389"/>
      <c r="M9" s="1389"/>
      <c r="N9" s="1389"/>
      <c r="O9" s="1389"/>
      <c r="P9" s="1389"/>
    </row>
    <row r="10" spans="1:16">
      <c r="A10" s="2231"/>
      <c r="B10" s="2232"/>
      <c r="C10" s="48" t="s">
        <v>1926</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1918</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1919</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1920</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1932</v>
      </c>
      <c r="D14" s="48">
        <f t="shared" si="0"/>
        <v>17612.47</v>
      </c>
      <c r="E14" s="51">
        <f>SUMPRODUCT(('数据-基础表'!BB10:BK10="地下")*('数据-基础表'!BB11:BK11="车库—商业")*('数据-基础表'!BB5:BK5))</f>
        <v>32753.93</v>
      </c>
      <c r="F14" s="1389"/>
      <c r="G14" s="2230"/>
      <c r="H14" s="2230"/>
      <c r="I14" s="1389"/>
      <c r="J14" s="1389"/>
      <c r="K14" s="1389"/>
      <c r="L14" s="1389"/>
      <c r="M14" s="1389"/>
      <c r="N14" s="1389"/>
      <c r="O14" s="1389"/>
      <c r="P14" s="1389"/>
    </row>
    <row r="15" spans="1:16" ht="15" thickBot="1">
      <c r="A15" s="2231"/>
      <c r="B15" s="2232"/>
      <c r="C15" s="48" t="s">
        <v>1927</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1921</v>
      </c>
      <c r="D16" s="50">
        <f>SUM(D8:D15)</f>
        <v>40405.949999999997</v>
      </c>
      <c r="E16" s="53">
        <f>SUM(E8:E15)</f>
        <v>75142.98000000001</v>
      </c>
      <c r="F16" s="1389"/>
      <c r="G16" s="2230"/>
      <c r="H16" s="2233" t="s">
        <v>1933</v>
      </c>
      <c r="I16" s="2234"/>
      <c r="J16" s="1389"/>
      <c r="K16" s="3120" t="s">
        <v>1933</v>
      </c>
      <c r="L16" s="3121"/>
      <c r="M16" s="3121"/>
      <c r="N16" s="3121"/>
      <c r="O16" s="3121"/>
      <c r="P16" s="3122"/>
    </row>
    <row r="17" spans="1:19" ht="15">
      <c r="A17" s="2235" t="s">
        <v>1934</v>
      </c>
      <c r="B17" s="2236" t="s">
        <v>1935</v>
      </c>
      <c r="C17" s="2237" t="s">
        <v>1936</v>
      </c>
      <c r="D17" s="2238" t="s">
        <v>1924</v>
      </c>
      <c r="E17" s="2239" t="s">
        <v>1925</v>
      </c>
      <c r="F17" s="2240"/>
      <c r="G17" s="2241"/>
      <c r="H17" s="2242" t="s">
        <v>1937</v>
      </c>
      <c r="I17" s="2243" t="s">
        <v>1922</v>
      </c>
      <c r="J17" s="1389"/>
      <c r="K17" s="3117" t="s">
        <v>1938</v>
      </c>
      <c r="L17" s="3118"/>
      <c r="M17" s="3119"/>
      <c r="N17" s="3117" t="s">
        <v>1939</v>
      </c>
      <c r="O17" s="3118"/>
      <c r="P17" s="3119"/>
      <c r="R17" s="2221" t="s">
        <v>1940</v>
      </c>
      <c r="S17" s="64"/>
    </row>
    <row r="18" spans="1:19" ht="15">
      <c r="A18" s="2231"/>
      <c r="B18" s="2244"/>
      <c r="C18" s="2245"/>
      <c r="D18" s="2246"/>
      <c r="E18" s="2247" t="s">
        <v>1941</v>
      </c>
      <c r="F18" s="2248" t="s">
        <v>1942</v>
      </c>
      <c r="G18" s="2249" t="s">
        <v>1943</v>
      </c>
      <c r="H18" s="1259" t="s">
        <v>1944</v>
      </c>
      <c r="I18" s="2250" t="s">
        <v>1945</v>
      </c>
      <c r="J18" s="1389"/>
      <c r="K18" s="1259" t="s">
        <v>1946</v>
      </c>
      <c r="L18" s="2251" t="s">
        <v>1947</v>
      </c>
      <c r="M18" s="1043" t="s">
        <v>1948</v>
      </c>
      <c r="N18" s="1259" t="s">
        <v>1946</v>
      </c>
      <c r="O18" s="2251" t="s">
        <v>1947</v>
      </c>
      <c r="P18" s="1043" t="s">
        <v>1948</v>
      </c>
      <c r="R18" s="1244" t="s">
        <v>1949</v>
      </c>
      <c r="S18" s="1244" t="s">
        <v>1950</v>
      </c>
    </row>
    <row r="19" spans="1:19">
      <c r="A19" s="2252"/>
      <c r="B19" s="50" t="s">
        <v>1923</v>
      </c>
      <c r="C19" s="3014" t="s">
        <v>3327</v>
      </c>
      <c r="D19" s="48">
        <f>ROUND($D$3*E19/$E$3,2)</f>
        <v>22793.48</v>
      </c>
      <c r="E19" s="56">
        <f t="shared" ref="E19:E26" si="1">SUM(F19:G19)</f>
        <v>42389.05</v>
      </c>
      <c r="F19" s="57">
        <f>'数据-基础表'!I13</f>
        <v>42389.05</v>
      </c>
      <c r="G19" s="58"/>
      <c r="H19" s="722">
        <f>ROUND($D$3*I19/$E$3,2)</f>
        <v>182.78</v>
      </c>
      <c r="I19" s="51">
        <f t="shared" ref="I19:I26" si="2">IF($I$17="自定义",P19,M19)</f>
        <v>339.92</v>
      </c>
      <c r="J19" s="1389"/>
      <c r="K19" s="1388">
        <f t="shared" ref="K19:K26" si="3">ROUND(E$28*E19/E$27,2)</f>
        <v>339.92</v>
      </c>
      <c r="L19" s="1244">
        <f t="shared" ref="L19:L26" si="4">ROUND(IF(COUNTIF(C19,"*住宅*")&gt;0,E$29*E19/E$32,0),2)</f>
        <v>0</v>
      </c>
      <c r="M19" s="1400">
        <f>K19+L19</f>
        <v>339.92</v>
      </c>
      <c r="N19" s="2253"/>
      <c r="O19" s="2254"/>
      <c r="P19" s="1400">
        <f>N19+O19</f>
        <v>0</v>
      </c>
      <c r="R19" s="1244">
        <f t="shared" ref="R19:S26" si="5">D19+H19</f>
        <v>22976.26</v>
      </c>
      <c r="S19" s="1245">
        <f t="shared" si="5"/>
        <v>42728.97</v>
      </c>
    </row>
    <row r="20" spans="1:19">
      <c r="A20" s="2255"/>
      <c r="B20" s="50" t="s">
        <v>1951</v>
      </c>
      <c r="C20" s="3014" t="s">
        <v>3329</v>
      </c>
      <c r="D20" s="48">
        <f t="shared" ref="D20:D26" si="6">ROUND($D$3*E20/$E$3,2)</f>
        <v>0</v>
      </c>
      <c r="E20" s="56">
        <f t="shared" si="1"/>
        <v>0</v>
      </c>
      <c r="F20" s="57">
        <f>'数据-基础表'!K13</f>
        <v>0</v>
      </c>
      <c r="G20" s="58"/>
      <c r="H20" s="722">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0</v>
      </c>
      <c r="S20" s="1245">
        <f t="shared" si="5"/>
        <v>0</v>
      </c>
    </row>
    <row r="21" spans="1:19">
      <c r="A21" s="2255"/>
      <c r="B21" s="50" t="s">
        <v>1951</v>
      </c>
      <c r="C21" s="3014" t="s">
        <v>3333</v>
      </c>
      <c r="D21" s="48">
        <f t="shared" si="6"/>
        <v>17612.47</v>
      </c>
      <c r="E21" s="56">
        <f t="shared" si="1"/>
        <v>32753.93</v>
      </c>
      <c r="F21" s="57"/>
      <c r="G21" s="58">
        <f>'数据-基础表'!M13</f>
        <v>32753.93</v>
      </c>
      <c r="H21" s="722">
        <f t="shared" si="7"/>
        <v>141.24</v>
      </c>
      <c r="I21" s="51">
        <f t="shared" si="2"/>
        <v>262.66000000000003</v>
      </c>
      <c r="J21" s="1389"/>
      <c r="K21" s="1388">
        <f t="shared" si="3"/>
        <v>262.66000000000003</v>
      </c>
      <c r="L21" s="1244">
        <f t="shared" si="4"/>
        <v>0</v>
      </c>
      <c r="M21" s="1400">
        <f t="shared" si="8"/>
        <v>262.66000000000003</v>
      </c>
      <c r="N21" s="2253"/>
      <c r="O21" s="2254"/>
      <c r="P21" s="1400">
        <f t="shared" si="9"/>
        <v>0</v>
      </c>
      <c r="R21" s="1244">
        <f t="shared" si="5"/>
        <v>17753.710000000003</v>
      </c>
      <c r="S21" s="1245">
        <f t="shared" si="5"/>
        <v>33016.590000000004</v>
      </c>
    </row>
    <row r="22" spans="1:19">
      <c r="A22" s="2255"/>
      <c r="B22" s="50" t="s">
        <v>1951</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1951</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1951</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15.75" thickBot="1">
      <c r="A27" s="2255"/>
      <c r="B27" s="48"/>
      <c r="C27" s="2258" t="s">
        <v>1952</v>
      </c>
      <c r="D27" s="1390">
        <f>SUM(D19:D26)</f>
        <v>40405.949999999997</v>
      </c>
      <c r="E27" s="1391">
        <f>IF(SUM(E19:E26)='数据-基础表'!BA5,SUM(E19:E26),IF(F27="地上面积有误","面积有误","地下面积有误"))</f>
        <v>75142.98000000001</v>
      </c>
      <c r="F27" s="1390">
        <f>IF(SUM(F19:F26)=E8,SUM(F19:F26),"地上面积有误")</f>
        <v>42389.05</v>
      </c>
      <c r="G27" s="1392">
        <f>SUM(G19:G26)</f>
        <v>32753.93</v>
      </c>
      <c r="H27" s="1393">
        <f>SUM(H19:H26)</f>
        <v>324.02</v>
      </c>
      <c r="I27" s="1394">
        <f>SUM(I19:I26)</f>
        <v>602.58000000000004</v>
      </c>
      <c r="J27" s="1389"/>
      <c r="K27" s="1397">
        <f>SUM(K19:K26)</f>
        <v>602.58000000000004</v>
      </c>
      <c r="L27" s="1398">
        <f>SUM(L19:L26)</f>
        <v>0</v>
      </c>
      <c r="M27" s="1401">
        <f>SUM(M19:M26)</f>
        <v>602.58000000000004</v>
      </c>
      <c r="N27" s="1397">
        <f t="shared" ref="N27:O27" si="10">SUM(N19:N26)</f>
        <v>0</v>
      </c>
      <c r="O27" s="1398">
        <f t="shared" si="10"/>
        <v>0</v>
      </c>
      <c r="P27" s="1399">
        <f>SUM(P19:P26)</f>
        <v>0</v>
      </c>
      <c r="R27" s="1246">
        <f>IF(SUM(R19:R26)=$D$3,SUM(R19:R26),SUM(R19:R26)&amp;"误差"&amp;ROUND(SUM(R19:R26)-$D$3,2))</f>
        <v>40729.97</v>
      </c>
      <c r="S27" s="1244">
        <f>IF(SUM(S19:S26)=$E$3,SUM(S19:S26),SUM(S19:S26)&amp;"误差"&amp;ROUND(SUM(S19:S26)-E3,2))</f>
        <v>75745.56</v>
      </c>
    </row>
    <row r="28" spans="1:19">
      <c r="A28" s="2255"/>
      <c r="B28" s="50" t="s">
        <v>1953</v>
      </c>
      <c r="C28" s="1256" t="s">
        <v>1954</v>
      </c>
      <c r="D28" s="48">
        <f>ROUND($D$3*E28/$E$3,2)</f>
        <v>324.02</v>
      </c>
      <c r="E28" s="56">
        <f>SUM(F28:G28)</f>
        <v>602.58000000000004</v>
      </c>
      <c r="F28" s="64">
        <f>'数据-基础表'!BQ5+'数据-基础表'!BS5</f>
        <v>602.58000000000004</v>
      </c>
      <c r="G28" s="65">
        <f>'数据-基础表'!BR5+'数据-基础表'!BT5</f>
        <v>0</v>
      </c>
      <c r="H28" s="1389"/>
      <c r="I28" s="1389"/>
      <c r="J28" s="1389"/>
      <c r="K28" s="1389"/>
      <c r="L28" s="1389"/>
      <c r="M28" s="1389"/>
      <c r="N28" s="1389"/>
      <c r="O28" s="1389"/>
      <c r="P28" s="1389"/>
    </row>
    <row r="29" spans="1:19">
      <c r="A29" s="2255"/>
      <c r="B29" s="50" t="s">
        <v>1953</v>
      </c>
      <c r="C29" s="2259"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1952</v>
      </c>
      <c r="D30" s="1390">
        <f>SUM(D28:D29)</f>
        <v>324.02</v>
      </c>
      <c r="E30" s="1390">
        <f>SUM(E28:E29)</f>
        <v>602.58000000000004</v>
      </c>
      <c r="F30" s="1390">
        <f>SUM(F28:F29)</f>
        <v>602.58000000000004</v>
      </c>
      <c r="G30" s="1392">
        <f>SUM(G28:G29)</f>
        <v>0</v>
      </c>
      <c r="H30" s="1389"/>
      <c r="I30" s="1389"/>
      <c r="J30" s="1389"/>
      <c r="K30" s="1389"/>
      <c r="L30" s="1389"/>
      <c r="M30" s="1389"/>
      <c r="N30" s="1389"/>
      <c r="O30" s="1389"/>
      <c r="P30" s="1389"/>
    </row>
    <row r="31" spans="1:19" ht="15.75" thickBot="1">
      <c r="A31" s="2261"/>
      <c r="B31" s="2262"/>
      <c r="C31" s="1004" t="s">
        <v>1956</v>
      </c>
      <c r="D31" s="728">
        <f>D27+D30</f>
        <v>40729.969999999994</v>
      </c>
      <c r="E31" s="728">
        <f>E27+E30</f>
        <v>75745.560000000012</v>
      </c>
      <c r="F31" s="729">
        <f>F27+F30</f>
        <v>42991.630000000005</v>
      </c>
      <c r="G31" s="730">
        <f>G27+G30</f>
        <v>32753.93</v>
      </c>
      <c r="H31" s="1389"/>
      <c r="I31" s="1389"/>
      <c r="J31" s="1389"/>
      <c r="K31" s="1389"/>
      <c r="L31" s="1389"/>
      <c r="M31" s="1389"/>
      <c r="N31" s="1389"/>
      <c r="O31" s="1389"/>
      <c r="P31" s="1389"/>
    </row>
    <row r="32" spans="1:19">
      <c r="A32" s="2226"/>
      <c r="B32" s="2226" t="s">
        <v>1957</v>
      </c>
      <c r="C32" s="2226"/>
      <c r="D32" s="2226"/>
      <c r="E32" s="1271">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1958</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1959</v>
      </c>
      <c r="B2" s="1263">
        <f>项目基本情况!D3</f>
        <v>43525</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1960</v>
      </c>
      <c r="B4" s="2273"/>
      <c r="C4" s="2274"/>
      <c r="D4" s="2275"/>
      <c r="E4" s="2274" t="s">
        <v>1961</v>
      </c>
      <c r="F4" s="2274"/>
      <c r="G4" s="2274"/>
      <c r="H4" s="2274"/>
      <c r="I4" s="2274"/>
      <c r="J4" s="2276"/>
      <c r="K4" s="2277"/>
      <c r="L4" s="2278"/>
      <c r="M4" s="2274"/>
      <c r="N4" s="2274" t="s">
        <v>1962</v>
      </c>
      <c r="O4" s="2274"/>
      <c r="P4" s="2274"/>
      <c r="Q4" s="2274"/>
      <c r="R4" s="2274"/>
      <c r="S4" s="2276"/>
      <c r="T4" s="2279" t="str">
        <f>'数据-汇总表'!I17</f>
        <v>按面积比例</v>
      </c>
      <c r="U4" s="2273" t="s">
        <v>1963</v>
      </c>
      <c r="V4" s="2274"/>
      <c r="W4" s="2274"/>
      <c r="X4" s="2274"/>
      <c r="Y4" s="2276"/>
      <c r="Z4" s="2237" t="s">
        <v>1964</v>
      </c>
      <c r="AA4" s="2237"/>
      <c r="AB4" s="2237"/>
      <c r="AC4" s="2237"/>
      <c r="AD4" s="2237"/>
      <c r="AE4" s="2235" t="s">
        <v>1965</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1966</v>
      </c>
      <c r="B5" s="2282" t="s">
        <v>1967</v>
      </c>
      <c r="C5" s="2283" t="s">
        <v>1968</v>
      </c>
      <c r="D5" s="2284" t="s">
        <v>1969</v>
      </c>
      <c r="E5" s="1265" t="s">
        <v>1970</v>
      </c>
      <c r="F5" s="2285" t="s">
        <v>1971</v>
      </c>
      <c r="G5" s="1265" t="s">
        <v>1972</v>
      </c>
      <c r="H5" s="1265" t="s">
        <v>1973</v>
      </c>
      <c r="I5" s="1265" t="s">
        <v>1974</v>
      </c>
      <c r="J5" s="2286" t="s">
        <v>1975</v>
      </c>
      <c r="K5" s="2287" t="s">
        <v>1976</v>
      </c>
      <c r="L5" s="2288" t="s">
        <v>1977</v>
      </c>
      <c r="M5" s="2289" t="s">
        <v>1978</v>
      </c>
      <c r="N5" s="2290" t="s">
        <v>3337</v>
      </c>
      <c r="O5" s="2288" t="s">
        <v>1979</v>
      </c>
      <c r="P5" s="2291" t="s">
        <v>1980</v>
      </c>
      <c r="Q5" s="69" t="s">
        <v>1981</v>
      </c>
      <c r="R5" s="2292" t="s">
        <v>1982</v>
      </c>
      <c r="S5" s="2293" t="s">
        <v>1983</v>
      </c>
      <c r="T5" s="2294" t="s">
        <v>1984</v>
      </c>
      <c r="U5" s="1264" t="s">
        <v>1985</v>
      </c>
      <c r="V5" s="1265" t="s">
        <v>1986</v>
      </c>
      <c r="W5" s="1265" t="s">
        <v>1987</v>
      </c>
      <c r="X5" s="71"/>
      <c r="Y5" s="70" t="s">
        <v>1988</v>
      </c>
      <c r="Z5" s="2295" t="s">
        <v>1985</v>
      </c>
      <c r="AA5" s="1265" t="s">
        <v>1986</v>
      </c>
      <c r="AB5" s="1265" t="s">
        <v>1987</v>
      </c>
      <c r="AC5" s="71"/>
      <c r="AD5" s="71" t="s">
        <v>1988</v>
      </c>
      <c r="AE5" s="1264" t="s">
        <v>1989</v>
      </c>
      <c r="AF5" s="1265" t="s">
        <v>1990</v>
      </c>
      <c r="AG5" s="70" t="s">
        <v>1991</v>
      </c>
      <c r="AH5" s="1264" t="s">
        <v>1992</v>
      </c>
      <c r="AI5" s="2295" t="s">
        <v>1993</v>
      </c>
      <c r="AJ5" s="2295" t="s">
        <v>1994</v>
      </c>
      <c r="AK5" s="1265" t="s">
        <v>1995</v>
      </c>
      <c r="AL5" s="1265" t="s">
        <v>1996</v>
      </c>
      <c r="AM5" s="70" t="s">
        <v>1997</v>
      </c>
      <c r="AN5" s="2296" t="s">
        <v>1998</v>
      </c>
      <c r="AO5" s="2067" t="s">
        <v>1999</v>
      </c>
      <c r="AP5" s="1246"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办公</v>
      </c>
      <c r="B6" s="2299" t="str">
        <f>IF(A6=0,"","经营性")</f>
        <v>经营性</v>
      </c>
      <c r="C6" s="2300" t="s">
        <v>1373</v>
      </c>
      <c r="D6" s="1048">
        <f>SUMIF(项目基本情况!D$12:I$12,C6,项目基本情况!D$14:I$14)</f>
        <v>40</v>
      </c>
      <c r="E6" s="1045">
        <f>IF(B6="","",SUMIF(项目基本情况!D$12:I$12,C6,项目基本情况!D$13:I$13))</f>
        <v>57385</v>
      </c>
      <c r="F6" s="72">
        <f>SUMIF(项目基本情况!D$12:I$12,C6,项目基本情况!D$15:I$15)</f>
        <v>37.97</v>
      </c>
      <c r="G6" s="73">
        <f>IF(ISERROR(ROUND(POWER(1+H6,D6-F6)*(POWER(1+H6,F6)-1)/(POWER(1+H6,D6)-1),3)),0,ROUND(POWER(1+H6,D6-F6)*(POWER(1+H6,F6)-1)/(POWER(1+H6,D6)-1),3))</f>
        <v>0.98299999999999998</v>
      </c>
      <c r="H6" s="801">
        <v>0.05</v>
      </c>
      <c r="I6" s="801">
        <v>5.5E-2</v>
      </c>
      <c r="J6" s="74">
        <v>8.5000000000000006E-2</v>
      </c>
      <c r="K6" s="1248">
        <f>SUMIF('数据-汇总表'!C$19:C$33,A6,'数据-汇总表'!E$19:E$33)</f>
        <v>42389.05</v>
      </c>
      <c r="L6" s="802">
        <v>3500</v>
      </c>
      <c r="M6" s="75">
        <f t="shared" ref="M6:M14" si="0">ROUND(K6*L6/10000,0)</f>
        <v>14836</v>
      </c>
      <c r="N6" s="800">
        <v>0.99</v>
      </c>
      <c r="O6" s="75">
        <f>IF($N$5="成新度","——",ROUND(M6*N6,0))</f>
        <v>14688</v>
      </c>
      <c r="P6" s="76">
        <f>IF($N$5="成新度","——",M6-O6)</f>
        <v>148</v>
      </c>
      <c r="Q6" s="803">
        <v>0.15</v>
      </c>
      <c r="R6" s="77">
        <f ca="1">SUMIF('数据-汇总表'!C$19:C$33,A6,'数据-汇总表'!R$19:R$27)</f>
        <v>22976.26</v>
      </c>
      <c r="S6" s="54">
        <f>IF('数据-汇总表'!$I$17="按面积比例",SUMIF('数据-汇总表'!C$19:C$33,A6,'数据-汇总表'!K$19:K$33),SUMIF('数据-汇总表'!C$19:C$33,A6,'数据-汇总表'!N$19:N$33))</f>
        <v>339.92</v>
      </c>
      <c r="T6" s="1440">
        <f>ROUND($L$14*S6/10000,0)</f>
        <v>85</v>
      </c>
      <c r="U6" s="78">
        <v>1.4</v>
      </c>
      <c r="V6" s="79">
        <v>0.03</v>
      </c>
      <c r="W6" s="79">
        <v>0.1</v>
      </c>
      <c r="X6" s="1258"/>
      <c r="Y6" s="80">
        <v>1</v>
      </c>
      <c r="Z6" s="81"/>
      <c r="AA6" s="74"/>
      <c r="AB6" s="74"/>
      <c r="AC6" s="1258"/>
      <c r="AD6" s="82"/>
      <c r="AE6" s="1259">
        <f ca="1">IF(AN6="",0,SUMIF(INDIRECT("'"&amp;AN6&amp;"'"&amp;"!E:E"),$AE$5,INDIRECT("'"&amp;AN6&amp;"'"&amp;"!F:F")))</f>
        <v>37.869999999999997</v>
      </c>
      <c r="AF6" s="1800"/>
      <c r="AG6" s="146">
        <f>IF(AF6="",0,AE6-AF6)</f>
        <v>0</v>
      </c>
      <c r="AH6" s="83"/>
      <c r="AI6" s="85">
        <v>365</v>
      </c>
      <c r="AJ6" s="86"/>
      <c r="AK6" s="87">
        <v>1.4999999999999999E-2</v>
      </c>
      <c r="AL6" s="88">
        <v>1.5E-3</v>
      </c>
      <c r="AM6" s="89">
        <v>0.01</v>
      </c>
      <c r="AN6" s="2301" t="s">
        <v>3339</v>
      </c>
      <c r="AO6" s="55">
        <f ca="1">SUMIF(INDIRECT("'"&amp;AN6&amp;"'"&amp;"!A:A"),"总价",INDIRECT("'"&amp;AN6&amp;"'"&amp;"!B:B"))</f>
        <v>28763</v>
      </c>
      <c r="AP6" s="2302">
        <f>IF(C6="住宅",K6*L6,0)</f>
        <v>0</v>
      </c>
      <c r="AQ6" s="55">
        <f>ROUND($L$14*$N$14*S6/10000,0)</f>
        <v>84</v>
      </c>
      <c r="AR6" s="55">
        <f>ROUND($L$14*(1-$N$14)*S6/10000,0)</f>
        <v>1</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酒店</v>
      </c>
      <c r="B7" s="2299" t="str">
        <f t="shared" ref="B7:B13" si="1">IF(A7=0,"","经营性")</f>
        <v>经营性</v>
      </c>
      <c r="C7" s="2300" t="s">
        <v>1373</v>
      </c>
      <c r="D7" s="1048">
        <f>SUMIF(项目基本情况!D$12:I$12,C7,项目基本情况!D$14:I$14)</f>
        <v>40</v>
      </c>
      <c r="E7" s="1045">
        <f>IF(B7="","",SUMIF(项目基本情况!D$12:I$12,C7,项目基本情况!D$13:I$13))</f>
        <v>57385</v>
      </c>
      <c r="F7" s="72">
        <f>SUMIF(项目基本情况!D$12:I$12,C7,项目基本情况!D$15:I$15)</f>
        <v>37.97</v>
      </c>
      <c r="G7" s="73">
        <f t="shared" ref="G7:G11" si="2">IF(ISERROR(ROUND(POWER(1+H7,D7-F7)*(POWER(1+H7,F7)-1)/(POWER(1+H7,D7)-1),3)),0,ROUND(POWER(1+H7,D7-F7)*(POWER(1+H7,F7)-1)/(POWER(1+H7,D7)-1),3))</f>
        <v>0</v>
      </c>
      <c r="H7" s="801"/>
      <c r="I7" s="801"/>
      <c r="J7" s="74"/>
      <c r="K7" s="1248">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车库</v>
      </c>
      <c r="B8" s="2299" t="str">
        <f t="shared" si="1"/>
        <v>经营性</v>
      </c>
      <c r="C8" s="2300" t="s">
        <v>1373</v>
      </c>
      <c r="D8" s="1048">
        <f>SUMIF(项目基本情况!D$12:I$12,C8,项目基本情况!D$14:I$14)</f>
        <v>40</v>
      </c>
      <c r="E8" s="1045">
        <f>IF(B8="","",SUMIF(项目基本情况!D$12:I$12,C8,项目基本情况!D$13:I$13))</f>
        <v>57385</v>
      </c>
      <c r="F8" s="72">
        <f>SUMIF(项目基本情况!D$12:I$12,C8,项目基本情况!D$15:I$15)</f>
        <v>37.97</v>
      </c>
      <c r="G8" s="73">
        <f t="shared" si="2"/>
        <v>0.98299999999999998</v>
      </c>
      <c r="H8" s="801">
        <v>0.05</v>
      </c>
      <c r="I8" s="801">
        <v>5.5E-2</v>
      </c>
      <c r="J8" s="74">
        <v>8.5000000000000006E-2</v>
      </c>
      <c r="K8" s="1248">
        <f>SUMIF('数据-汇总表'!C$19:C$33,A8,'数据-汇总表'!E$19:E$33)</f>
        <v>32753.93</v>
      </c>
      <c r="L8" s="802">
        <v>2500</v>
      </c>
      <c r="M8" s="75">
        <f>ROUND(K8*L8/10000,0)</f>
        <v>8188</v>
      </c>
      <c r="N8" s="800">
        <v>0.99</v>
      </c>
      <c r="O8" s="75">
        <f t="shared" si="3"/>
        <v>8106</v>
      </c>
      <c r="P8" s="76">
        <f t="shared" si="4"/>
        <v>82</v>
      </c>
      <c r="Q8" s="803">
        <v>0.03</v>
      </c>
      <c r="R8" s="77">
        <f ca="1">SUMIF('数据-汇总表'!C$19:C$33,A8,'数据-汇总表'!R$19:R$27)</f>
        <v>17753.710000000003</v>
      </c>
      <c r="S8" s="54">
        <f>IF('数据-汇总表'!$I$17="按面积比例",SUMIF('数据-汇总表'!C$19:C$33,A8,'数据-汇总表'!K$19:K$33),SUMIF('数据-汇总表'!C$19:C$33,A8,'数据-汇总表'!N$19:N$33))</f>
        <v>262.66000000000003</v>
      </c>
      <c r="T8" s="1440">
        <f t="shared" si="5"/>
        <v>66</v>
      </c>
      <c r="U8" s="78">
        <v>0.6</v>
      </c>
      <c r="V8" s="79">
        <v>0.03</v>
      </c>
      <c r="W8" s="79">
        <v>0.1</v>
      </c>
      <c r="X8" s="1258"/>
      <c r="Y8" s="804">
        <v>1</v>
      </c>
      <c r="Z8" s="81"/>
      <c r="AA8" s="74"/>
      <c r="AB8" s="74"/>
      <c r="AC8" s="1258"/>
      <c r="AD8" s="82"/>
      <c r="AE8" s="1259">
        <f t="shared" ca="1" si="6"/>
        <v>37.869999999999997</v>
      </c>
      <c r="AF8" s="1800"/>
      <c r="AG8" s="146">
        <f t="shared" si="7"/>
        <v>0</v>
      </c>
      <c r="AH8" s="805"/>
      <c r="AI8" s="85">
        <v>365</v>
      </c>
      <c r="AJ8" s="86"/>
      <c r="AK8" s="87">
        <v>1.4999999999999999E-2</v>
      </c>
      <c r="AL8" s="88">
        <v>1.5E-3</v>
      </c>
      <c r="AM8" s="89">
        <v>0.01</v>
      </c>
      <c r="AN8" s="2301" t="s">
        <v>3341</v>
      </c>
      <c r="AO8" s="55">
        <f t="shared" ca="1" si="8"/>
        <v>7782</v>
      </c>
      <c r="AP8" s="2302">
        <f t="shared" si="9"/>
        <v>0</v>
      </c>
      <c r="AQ8" s="55">
        <f t="shared" si="10"/>
        <v>65</v>
      </c>
      <c r="AR8" s="55">
        <f t="shared" si="11"/>
        <v>1</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2003</v>
      </c>
      <c r="B14" s="2299" t="s">
        <v>2004</v>
      </c>
      <c r="C14" s="2304" t="s">
        <v>2003</v>
      </c>
      <c r="D14" s="1048"/>
      <c r="E14" s="1045"/>
      <c r="F14" s="72"/>
      <c r="G14" s="73"/>
      <c r="H14" s="1247"/>
      <c r="I14" s="1247"/>
      <c r="J14" s="1247"/>
      <c r="K14" s="1248">
        <f>SUMIF('数据-汇总表'!C$19:C$33,A14,'数据-汇总表'!E$19:E$33)</f>
        <v>602.58000000000004</v>
      </c>
      <c r="L14" s="91">
        <v>2500</v>
      </c>
      <c r="M14" s="75">
        <f t="shared" si="0"/>
        <v>151</v>
      </c>
      <c r="N14" s="92">
        <v>0.99</v>
      </c>
      <c r="O14" s="75">
        <f t="shared" si="3"/>
        <v>149</v>
      </c>
      <c r="P14" s="76">
        <f t="shared" si="4"/>
        <v>2</v>
      </c>
      <c r="Q14" s="1251"/>
      <c r="R14" s="77"/>
      <c r="S14" s="54"/>
      <c r="T14" s="1440"/>
      <c r="U14" s="722"/>
      <c r="V14" s="1253"/>
      <c r="W14" s="1253"/>
      <c r="X14" s="1254"/>
      <c r="Y14" s="1255"/>
      <c r="Z14" s="1256"/>
      <c r="AA14" s="1257"/>
      <c r="AB14" s="1257"/>
      <c r="AC14" s="1258"/>
      <c r="AD14" s="1254"/>
      <c r="AE14" s="1259"/>
      <c r="AF14" s="55"/>
      <c r="AG14" s="146"/>
      <c r="AH14" s="1259"/>
      <c r="AI14" s="1811"/>
      <c r="AJ14" s="772"/>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2005</v>
      </c>
      <c r="B15" s="2299" t="s">
        <v>2004</v>
      </c>
      <c r="C15" s="2304"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1"/>
      <c r="AJ15" s="772"/>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2007</v>
      </c>
      <c r="B16" s="97"/>
      <c r="C16" s="1002"/>
      <c r="D16" s="2306"/>
      <c r="E16" s="97"/>
      <c r="F16" s="97"/>
      <c r="G16" s="98">
        <f>ROUND(SUMPRODUCT(G6:G13,K6:K13)/SUMPRODUCT((G6:G13&gt;0)*(K6:K13)),3)</f>
        <v>0.98299999999999998</v>
      </c>
      <c r="H16" s="99">
        <f>ROUND(SUMPRODUCT(H6:H13,K6:K13)/SUMPRODUCT((H6:H13&gt;0)*(K6:K13)),3)</f>
        <v>0.05</v>
      </c>
      <c r="I16" s="100"/>
      <c r="J16" s="100"/>
      <c r="K16" s="101">
        <f>SUM(K6:K15)</f>
        <v>75745.560000000012</v>
      </c>
      <c r="L16" s="102">
        <f>ROUND(M16*10000/SUM(K6:K14),0)</f>
        <v>3060</v>
      </c>
      <c r="M16" s="102">
        <f>SUM(M6:M14)</f>
        <v>23175</v>
      </c>
      <c r="N16" s="103">
        <f>ROUND(SUMPRODUCT(M6:M14,N6:N14)/M16,3)</f>
        <v>0.99</v>
      </c>
      <c r="O16" s="102">
        <f>SUM(O6:O14)</f>
        <v>22943</v>
      </c>
      <c r="P16" s="102">
        <f>SUM(P6:P14)</f>
        <v>232</v>
      </c>
      <c r="Q16" s="104">
        <f>ROUND(SUMPRODUCT(Q6:Q13,K6:K13)/SUMPRODUCT((Q6:Q13&gt;0)*(K6:K13)),2)</f>
        <v>0.1</v>
      </c>
      <c r="R16" s="1252">
        <f ca="1">SUM(R6:R13)</f>
        <v>40729.97</v>
      </c>
      <c r="S16" s="105">
        <f>SUM(S6:S13)</f>
        <v>602.58000000000004</v>
      </c>
      <c r="T16" s="106">
        <f>IF(SUMIF(T6:T13,"&lt;9E307")=M14,SUMIF(T6:T13,"&lt;9E307"),"有误，请检查")</f>
        <v>151</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2008</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2009</v>
      </c>
      <c r="B19" s="112">
        <v>0</v>
      </c>
      <c r="C19" s="2269" t="s">
        <v>2010</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2011</v>
      </c>
      <c r="B20" s="113">
        <v>2</v>
      </c>
      <c r="C20" s="2269" t="s">
        <v>2012</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2013</v>
      </c>
      <c r="B21" s="113">
        <v>1.9</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2014</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2015</v>
      </c>
      <c r="B23" s="114">
        <f>B19+B21</f>
        <v>1.9</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2016</v>
      </c>
      <c r="B24" s="115">
        <f>B20-B21</f>
        <v>0.10000000000000009</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2017</v>
      </c>
      <c r="B26" s="2312" t="s">
        <v>2018</v>
      </c>
      <c r="C26" s="2313" t="s">
        <v>2019</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2020</v>
      </c>
      <c r="B27" s="116">
        <v>90</v>
      </c>
      <c r="C27" s="1760" t="s">
        <v>2021</v>
      </c>
      <c r="D27" s="2315"/>
      <c r="E27" s="1424"/>
      <c r="F27" s="1424"/>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2022</v>
      </c>
      <c r="B28" s="119">
        <v>90</v>
      </c>
      <c r="C28" s="2318"/>
      <c r="D28" s="2315"/>
      <c r="E28" s="1424"/>
      <c r="F28" s="1424"/>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2023</v>
      </c>
      <c r="B29" s="121"/>
      <c r="C29" s="1760" t="s">
        <v>2024</v>
      </c>
      <c r="D29" s="2315"/>
      <c r="E29" s="1424"/>
      <c r="F29" s="1424"/>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2025</v>
      </c>
      <c r="B30" s="723">
        <v>200</v>
      </c>
      <c r="C30" s="2318"/>
      <c r="D30" s="2315"/>
      <c r="E30" s="1424"/>
      <c r="F30" s="1424"/>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2026</v>
      </c>
      <c r="B31" s="120">
        <f>B30-B32</f>
        <v>200</v>
      </c>
      <c r="C31" s="1760"/>
      <c r="D31" s="2315"/>
      <c r="E31" s="1424"/>
      <c r="F31" s="1424"/>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2027</v>
      </c>
      <c r="B32" s="724"/>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2028</v>
      </c>
      <c r="B33" s="725">
        <v>0.03</v>
      </c>
      <c r="C33" s="1759" t="s">
        <v>2029</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2030</v>
      </c>
      <c r="B34" s="122">
        <v>0</v>
      </c>
      <c r="C34" s="1759" t="s">
        <v>2031</v>
      </c>
      <c r="D34" s="2270" t="s">
        <v>2032</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2033</v>
      </c>
      <c r="B35" s="119">
        <v>200</v>
      </c>
      <c r="C35" s="1759" t="s">
        <v>2034</v>
      </c>
      <c r="D35" s="2315"/>
      <c r="E35" s="1424"/>
      <c r="F35" s="1424"/>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2035</v>
      </c>
      <c r="B36" s="123">
        <v>1.4999999999999999E-2</v>
      </c>
      <c r="C36" s="1759" t="s">
        <v>2036</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2037</v>
      </c>
      <c r="B37" s="124">
        <v>0.02</v>
      </c>
      <c r="C37" s="1759" t="s">
        <v>2038</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2039</v>
      </c>
      <c r="B38" s="122">
        <v>0.03</v>
      </c>
      <c r="C38" s="1759" t="s">
        <v>2038</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2040</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2041</v>
      </c>
      <c r="B40" s="1297">
        <f ca="1">存贷款利率!G1</f>
        <v>4.7500000000000001E-2</v>
      </c>
      <c r="C40" s="1759" t="s">
        <v>2042</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2043</v>
      </c>
      <c r="B41" s="125">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2044</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2045</v>
      </c>
      <c r="B43" s="127">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2046</v>
      </c>
      <c r="B44" s="128">
        <v>7.0000000000000007E-2</v>
      </c>
      <c r="C44" s="1759" t="s">
        <v>2047</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2048</v>
      </c>
      <c r="B45" s="126">
        <v>0.03</v>
      </c>
      <c r="C45" s="1760" t="s">
        <v>2049</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2050</v>
      </c>
      <c r="B46" s="126">
        <v>0.02</v>
      </c>
      <c r="C46" s="1760" t="s">
        <v>2051</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2052</v>
      </c>
      <c r="B47" s="129">
        <v>0</v>
      </c>
      <c r="C47" s="1760" t="s">
        <v>2053</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2054</v>
      </c>
      <c r="B48" s="3015">
        <v>0.04</v>
      </c>
      <c r="C48" s="1767" t="s">
        <v>2055</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2056</v>
      </c>
      <c r="B49" s="126">
        <v>5.0000000000000001E-4</v>
      </c>
      <c r="C49" s="1767" t="s">
        <v>2057</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2058</v>
      </c>
      <c r="B50" s="130">
        <v>1.2E-2</v>
      </c>
      <c r="C50" s="1424"/>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2059</v>
      </c>
      <c r="B51" s="131">
        <v>0.12</v>
      </c>
      <c r="C51" s="1424"/>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2060</v>
      </c>
      <c r="B52" s="132">
        <f>SUMIF(A54:A63,B53,B54:B63)</f>
        <v>10</v>
      </c>
      <c r="C52" s="1424"/>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2061</v>
      </c>
      <c r="B53" s="2328" t="s">
        <v>137</v>
      </c>
      <c r="C53" s="1424" t="s">
        <v>2062</v>
      </c>
      <c r="D53" s="2329" t="s">
        <v>2063</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2064</v>
      </c>
      <c r="B54" s="84"/>
      <c r="C54" s="1424">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2065</v>
      </c>
      <c r="B55" s="84"/>
      <c r="C55" s="1424">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2066</v>
      </c>
      <c r="B56" s="84"/>
      <c r="C56" s="1424">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2067</v>
      </c>
      <c r="B57" s="84">
        <v>10</v>
      </c>
      <c r="C57" s="1424">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2068</v>
      </c>
      <c r="B58" s="84"/>
      <c r="C58" s="1424">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2069</v>
      </c>
      <c r="B59" s="84"/>
      <c r="C59" s="1424">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2070</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2071</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2072</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2073</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3"/>
      <c r="D64" s="2334"/>
      <c r="K64" s="797"/>
      <c r="L64" s="797"/>
    </row>
    <row r="65" spans="1:12" s="961" customFormat="1">
      <c r="A65" s="2333"/>
      <c r="D65" s="2334"/>
      <c r="K65" s="797"/>
      <c r="L65" s="797"/>
    </row>
    <row r="66" spans="1:12" s="961" customFormat="1">
      <c r="A66" s="2333"/>
      <c r="D66" s="2334"/>
      <c r="K66" s="797"/>
      <c r="L66" s="797"/>
    </row>
    <row r="67" spans="1:12" s="961" customFormat="1">
      <c r="A67" s="2333"/>
      <c r="D67" s="2334"/>
      <c r="K67" s="797"/>
      <c r="L67" s="797"/>
    </row>
    <row r="68" spans="1:12" s="961" customFormat="1">
      <c r="A68" s="2333"/>
      <c r="D68" s="2334"/>
      <c r="K68" s="797"/>
      <c r="L68" s="797"/>
    </row>
    <row r="69" spans="1:12" s="961" customFormat="1">
      <c r="A69" s="2333"/>
      <c r="D69" s="2334"/>
      <c r="K69" s="797"/>
      <c r="L69" s="797"/>
    </row>
    <row r="70" spans="1:12" s="961" customFormat="1">
      <c r="A70" s="2333"/>
      <c r="D70" s="2334"/>
      <c r="K70" s="797"/>
      <c r="L70" s="797"/>
    </row>
    <row r="71" spans="1:12" s="961" customFormat="1">
      <c r="A71" s="2333"/>
      <c r="D71" s="2334"/>
      <c r="K71" s="797"/>
      <c r="L71" s="797"/>
    </row>
    <row r="72" spans="1:12" s="961" customFormat="1">
      <c r="A72" s="2333"/>
      <c r="D72" s="2334"/>
      <c r="K72" s="797"/>
      <c r="L72" s="797"/>
    </row>
    <row r="73" spans="1:12" s="961" customFormat="1">
      <c r="A73" s="2333"/>
      <c r="D73" s="2334"/>
      <c r="K73" s="797"/>
      <c r="L73" s="797"/>
    </row>
    <row r="74" spans="1:12" s="961" customFormat="1">
      <c r="A74" s="2333"/>
      <c r="D74" s="2334"/>
      <c r="K74" s="797"/>
      <c r="L74" s="797"/>
    </row>
    <row r="75" spans="1:12" s="961" customFormat="1">
      <c r="A75" s="2333"/>
      <c r="D75" s="2334"/>
      <c r="K75" s="797"/>
      <c r="L75" s="797"/>
    </row>
    <row r="76" spans="1:12" s="961" customFormat="1">
      <c r="A76" s="2333"/>
      <c r="D76" s="2334"/>
      <c r="K76" s="797"/>
      <c r="L76" s="797"/>
    </row>
    <row r="77" spans="1:12" s="961" customFormat="1">
      <c r="A77" s="2333"/>
      <c r="D77" s="2334"/>
      <c r="K77" s="797"/>
      <c r="L77" s="797"/>
    </row>
    <row r="78" spans="1:12" s="961" customFormat="1">
      <c r="A78" s="2333"/>
      <c r="D78" s="2334"/>
      <c r="K78" s="797"/>
      <c r="L78" s="797"/>
    </row>
    <row r="79" spans="1:12" s="961" customFormat="1">
      <c r="A79" s="2333"/>
      <c r="D79" s="2334"/>
      <c r="K79" s="797"/>
      <c r="L79" s="797"/>
    </row>
    <row r="80" spans="1:12" s="961" customFormat="1">
      <c r="A80" s="2333"/>
      <c r="D80" s="2334"/>
      <c r="K80" s="797"/>
      <c r="L80" s="797"/>
    </row>
    <row r="81" spans="1:12" s="961" customFormat="1">
      <c r="A81" s="2333"/>
      <c r="D81" s="2334"/>
      <c r="K81" s="797"/>
      <c r="L81" s="797"/>
    </row>
    <row r="82" spans="1:12" s="961" customFormat="1">
      <c r="A82" s="2333"/>
      <c r="D82" s="2334"/>
      <c r="K82" s="797"/>
      <c r="L82" s="797"/>
    </row>
    <row r="83" spans="1:12" s="961" customFormat="1">
      <c r="A83" s="2333"/>
      <c r="D83" s="2334"/>
      <c r="K83" s="797"/>
      <c r="L83" s="797"/>
    </row>
    <row r="84" spans="1:12" s="961" customFormat="1">
      <c r="A84" s="2333"/>
      <c r="D84" s="2334"/>
      <c r="K84" s="797"/>
      <c r="L84" s="797"/>
    </row>
    <row r="85" spans="1:12" s="961" customFormat="1">
      <c r="A85" s="2333"/>
      <c r="D85" s="2334"/>
      <c r="K85" s="797"/>
      <c r="L85" s="797"/>
    </row>
    <row r="86" spans="1:12" s="961" customFormat="1">
      <c r="A86" s="2333"/>
      <c r="D86" s="2334"/>
      <c r="K86" s="797"/>
      <c r="L86" s="797"/>
    </row>
    <row r="87" spans="1:12" s="961" customFormat="1">
      <c r="A87" s="2333"/>
      <c r="D87" s="2334"/>
      <c r="K87" s="797"/>
      <c r="L87" s="797"/>
    </row>
    <row r="88" spans="1:12" s="961" customFormat="1">
      <c r="A88" s="2333"/>
      <c r="D88" s="2334"/>
      <c r="K88" s="797"/>
      <c r="L88" s="797"/>
    </row>
    <row r="89" spans="1:12" s="961" customFormat="1">
      <c r="A89" s="2333"/>
      <c r="D89" s="2334"/>
      <c r="K89" s="797"/>
      <c r="L89" s="797"/>
    </row>
    <row r="90" spans="1:12" s="961" customFormat="1">
      <c r="A90" s="2333"/>
      <c r="D90" s="2334"/>
      <c r="K90" s="797"/>
      <c r="L90" s="797"/>
    </row>
    <row r="91" spans="1:12" s="961" customFormat="1">
      <c r="A91" s="2333"/>
      <c r="D91" s="2334"/>
      <c r="K91" s="797"/>
      <c r="L91" s="797"/>
    </row>
    <row r="92" spans="1:12" s="961" customFormat="1">
      <c r="A92" s="2333"/>
      <c r="D92" s="2334"/>
      <c r="K92" s="797"/>
      <c r="L92" s="797"/>
    </row>
    <row r="93" spans="1:12" s="961" customFormat="1">
      <c r="A93" s="2333"/>
      <c r="D93" s="2334"/>
      <c r="K93" s="797"/>
      <c r="L93" s="797"/>
    </row>
    <row r="94" spans="1:12" s="961" customFormat="1">
      <c r="A94" s="2333"/>
      <c r="D94" s="2334"/>
      <c r="K94" s="797"/>
      <c r="L94" s="797"/>
    </row>
    <row r="95" spans="1:12" s="961" customFormat="1">
      <c r="A95" s="2333"/>
      <c r="D95" s="2334"/>
      <c r="K95" s="797"/>
      <c r="L95" s="797"/>
    </row>
    <row r="96" spans="1:12" s="961" customFormat="1">
      <c r="A96" s="2333"/>
      <c r="D96" s="2334"/>
      <c r="K96" s="797"/>
      <c r="L96" s="797"/>
    </row>
    <row r="97" spans="1:12" s="961" customFormat="1">
      <c r="A97" s="2333"/>
      <c r="D97" s="2334"/>
      <c r="K97" s="797"/>
      <c r="L97" s="797"/>
    </row>
    <row r="98" spans="1:12" s="961" customFormat="1">
      <c r="A98" s="2333"/>
      <c r="D98" s="2334"/>
      <c r="K98" s="797"/>
      <c r="L98" s="797"/>
    </row>
    <row r="99" spans="1:12" s="961" customFormat="1">
      <c r="A99" s="2333"/>
      <c r="D99" s="2334"/>
      <c r="K99" s="797"/>
      <c r="L99" s="797"/>
    </row>
    <row r="100" spans="1:12" s="961" customFormat="1">
      <c r="A100" s="2333"/>
      <c r="D100" s="2334"/>
      <c r="K100" s="797"/>
      <c r="L100" s="797"/>
    </row>
    <row r="101" spans="1:12" s="961" customFormat="1">
      <c r="A101" s="2333"/>
      <c r="D101" s="2334"/>
      <c r="K101" s="797"/>
      <c r="L101" s="797"/>
    </row>
    <row r="102" spans="1:12" s="961" customFormat="1">
      <c r="A102" s="2333"/>
      <c r="D102" s="2334"/>
      <c r="K102" s="797"/>
      <c r="L102" s="797"/>
    </row>
    <row r="103" spans="1:12" s="961" customFormat="1">
      <c r="A103" s="2333"/>
      <c r="D103" s="2334"/>
      <c r="K103" s="797"/>
      <c r="L103" s="797"/>
    </row>
    <row r="104" spans="1:12" s="961" customFormat="1">
      <c r="A104" s="2333"/>
      <c r="D104" s="2334"/>
      <c r="K104" s="797"/>
      <c r="L104" s="797"/>
    </row>
    <row r="105" spans="1:12" s="961" customFormat="1">
      <c r="A105" s="2333"/>
      <c r="D105" s="2334"/>
      <c r="K105" s="797"/>
      <c r="L105" s="797"/>
    </row>
    <row r="106" spans="1:12" s="961" customFormat="1">
      <c r="A106" s="2333"/>
      <c r="D106" s="2334"/>
      <c r="K106" s="797"/>
      <c r="L106" s="797"/>
    </row>
    <row r="107" spans="1:12" s="961" customFormat="1">
      <c r="A107" s="2333"/>
      <c r="D107" s="2334"/>
      <c r="K107" s="797"/>
      <c r="L107" s="797"/>
    </row>
    <row r="108" spans="1:12" s="961" customFormat="1">
      <c r="A108" s="2333"/>
      <c r="D108" s="2334"/>
      <c r="K108" s="797"/>
      <c r="L108" s="797"/>
    </row>
    <row r="109" spans="1:12" s="961" customFormat="1">
      <c r="A109" s="2333"/>
      <c r="D109" s="2334"/>
      <c r="K109" s="797"/>
      <c r="L109" s="797"/>
    </row>
    <row r="110" spans="1:12" s="961" customFormat="1">
      <c r="A110" s="2333"/>
      <c r="D110" s="2334"/>
      <c r="K110" s="797"/>
      <c r="L110" s="797"/>
    </row>
    <row r="111" spans="1:12" s="961" customFormat="1">
      <c r="A111" s="2333"/>
      <c r="D111" s="2334"/>
      <c r="K111" s="797"/>
      <c r="L111" s="797"/>
    </row>
    <row r="112" spans="1:12" s="961" customFormat="1">
      <c r="A112" s="2333"/>
      <c r="D112" s="2334"/>
      <c r="K112" s="797"/>
      <c r="L112" s="797"/>
    </row>
    <row r="113" spans="1:12" s="961" customFormat="1">
      <c r="A113" s="2333"/>
      <c r="D113" s="2334"/>
      <c r="K113" s="797"/>
      <c r="L113" s="797"/>
    </row>
    <row r="114" spans="1:12" s="961" customFormat="1">
      <c r="A114" s="2333"/>
      <c r="D114" s="2334"/>
      <c r="K114" s="797"/>
      <c r="L114" s="797"/>
    </row>
    <row r="115" spans="1:12" s="961" customFormat="1">
      <c r="A115" s="2333"/>
      <c r="D115" s="2334"/>
      <c r="K115" s="797"/>
      <c r="L115" s="797"/>
    </row>
    <row r="116" spans="1:12" s="961" customFormat="1">
      <c r="A116" s="2333"/>
      <c r="D116" s="2334"/>
      <c r="K116" s="797"/>
      <c r="L116" s="797"/>
    </row>
    <row r="117" spans="1:12" s="961" customFormat="1">
      <c r="A117" s="2333"/>
      <c r="D117" s="2334"/>
      <c r="K117" s="797"/>
      <c r="L117" s="797"/>
    </row>
    <row r="118" spans="1:12" s="961" customFormat="1">
      <c r="A118" s="2333"/>
      <c r="D118" s="2334"/>
      <c r="K118" s="797"/>
      <c r="L118" s="797"/>
    </row>
    <row r="119" spans="1:12" s="961" customFormat="1">
      <c r="A119" s="2333"/>
      <c r="D119" s="2334"/>
      <c r="K119" s="797"/>
      <c r="L119" s="797"/>
    </row>
    <row r="120" spans="1:12" s="961" customFormat="1">
      <c r="A120" s="2333"/>
      <c r="D120" s="2334"/>
      <c r="K120" s="797"/>
      <c r="L120" s="797"/>
    </row>
    <row r="121" spans="1:12" s="961" customFormat="1">
      <c r="A121" s="2333"/>
      <c r="D121" s="2334"/>
      <c r="K121" s="797"/>
      <c r="L121" s="797"/>
    </row>
    <row r="122" spans="1:12" s="961" customFormat="1">
      <c r="A122" s="2333"/>
      <c r="D122" s="2334"/>
      <c r="K122" s="797"/>
      <c r="L122" s="797"/>
    </row>
    <row r="123" spans="1:12" s="961" customFormat="1">
      <c r="A123" s="2333"/>
      <c r="D123" s="2334"/>
      <c r="K123" s="797"/>
      <c r="L123" s="797"/>
    </row>
    <row r="124" spans="1:12" s="961" customFormat="1">
      <c r="A124" s="2333"/>
      <c r="D124" s="2334"/>
      <c r="K124" s="797"/>
      <c r="L124" s="797"/>
    </row>
    <row r="125" spans="1:12" s="961" customFormat="1">
      <c r="A125" s="2333"/>
      <c r="D125" s="2334"/>
      <c r="K125" s="797"/>
      <c r="L125" s="797"/>
    </row>
    <row r="126" spans="1:12" s="961" customFormat="1">
      <c r="A126" s="2333"/>
      <c r="D126" s="2334"/>
      <c r="K126" s="797"/>
      <c r="L126" s="797"/>
    </row>
    <row r="127" spans="1:12" s="961" customFormat="1">
      <c r="A127" s="2333"/>
      <c r="D127" s="2334"/>
      <c r="K127" s="797"/>
      <c r="L127" s="797"/>
    </row>
    <row r="128" spans="1:12" s="961" customFormat="1">
      <c r="A128" s="2333"/>
      <c r="D128" s="2334"/>
      <c r="K128" s="797"/>
      <c r="L128" s="797"/>
    </row>
    <row r="129" spans="1:12" s="961" customFormat="1">
      <c r="A129" s="2333"/>
      <c r="D129" s="2334"/>
      <c r="K129" s="797"/>
      <c r="L129" s="797"/>
    </row>
    <row r="130" spans="1:12" s="961" customFormat="1">
      <c r="A130" s="2333"/>
      <c r="D130" s="2334"/>
      <c r="K130" s="797"/>
      <c r="L130" s="797"/>
    </row>
    <row r="131" spans="1:12" s="961" customFormat="1">
      <c r="A131" s="2333"/>
      <c r="D131" s="2334"/>
      <c r="K131" s="797"/>
      <c r="L131" s="797"/>
    </row>
    <row r="132" spans="1:12" s="961" customFormat="1">
      <c r="A132" s="2333"/>
      <c r="D132" s="2334"/>
      <c r="K132" s="797"/>
      <c r="L132" s="797"/>
    </row>
    <row r="133" spans="1:12" s="961"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32" t="s">
        <v>2074</v>
      </c>
      <c r="B1" s="3133"/>
      <c r="C1" s="3133"/>
      <c r="D1" s="3133"/>
      <c r="E1" s="3133"/>
      <c r="F1" s="3133"/>
      <c r="G1" s="3133"/>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54">
      <c r="A3" s="414" t="s">
        <v>2077</v>
      </c>
      <c r="B3" s="1265" t="s">
        <v>2078</v>
      </c>
      <c r="C3" s="2362" t="s">
        <v>2079</v>
      </c>
      <c r="D3" s="2363"/>
      <c r="E3" s="430" t="s">
        <v>2077</v>
      </c>
      <c r="F3" s="2364" t="s">
        <v>2080</v>
      </c>
      <c r="G3" s="2365" t="s">
        <v>2081</v>
      </c>
      <c r="H3" s="2360"/>
      <c r="I3" s="2360"/>
      <c r="J3" s="2360"/>
      <c r="K3" s="2360"/>
      <c r="L3" s="2360"/>
      <c r="M3" s="2360"/>
      <c r="N3" s="2360"/>
      <c r="O3" s="2360"/>
      <c r="P3" s="2360"/>
      <c r="Q3" s="2360"/>
      <c r="R3" s="2360"/>
    </row>
    <row r="4" spans="1:29" ht="41.25">
      <c r="A4" s="430"/>
      <c r="B4" s="1791" t="s">
        <v>2082</v>
      </c>
      <c r="C4" s="2366" t="s">
        <v>2083</v>
      </c>
      <c r="D4" s="2363"/>
      <c r="E4" s="2367"/>
      <c r="F4" s="42" t="s">
        <v>2084</v>
      </c>
      <c r="G4" s="2368" t="s">
        <v>2085</v>
      </c>
      <c r="H4" s="2360"/>
      <c r="I4" s="2360"/>
      <c r="J4" s="2360"/>
      <c r="K4" s="2360"/>
      <c r="L4" s="2360"/>
      <c r="M4" s="2360"/>
      <c r="N4" s="2360"/>
      <c r="O4" s="2360"/>
      <c r="P4" s="2360"/>
      <c r="Q4" s="2360"/>
      <c r="R4" s="2360"/>
    </row>
    <row r="5" spans="1:29" ht="41.25">
      <c r="A5" s="430"/>
      <c r="B5" s="1791" t="s">
        <v>2086</v>
      </c>
      <c r="C5" s="2366" t="s">
        <v>2087</v>
      </c>
      <c r="D5" s="2363"/>
      <c r="E5" s="2367"/>
      <c r="F5" s="1791" t="s">
        <v>2088</v>
      </c>
      <c r="G5" s="2368" t="s">
        <v>2089</v>
      </c>
      <c r="H5" s="2360"/>
      <c r="I5" s="2360"/>
      <c r="J5" s="2360"/>
      <c r="K5" s="2360"/>
      <c r="L5" s="2360"/>
      <c r="M5" s="2360"/>
      <c r="N5" s="2360"/>
      <c r="O5" s="2360"/>
      <c r="P5" s="2360"/>
      <c r="Q5" s="2360"/>
      <c r="R5" s="2360"/>
    </row>
    <row r="6" spans="1:29" ht="54">
      <c r="A6" s="430"/>
      <c r="B6" s="1791" t="s">
        <v>2090</v>
      </c>
      <c r="C6" s="2368" t="s">
        <v>2085</v>
      </c>
      <c r="D6" s="2363"/>
      <c r="E6" s="2367"/>
      <c r="F6" s="1791" t="s">
        <v>2091</v>
      </c>
      <c r="G6" s="2368" t="s">
        <v>2092</v>
      </c>
      <c r="H6" s="2360"/>
      <c r="I6" s="2360"/>
      <c r="J6" s="2360"/>
      <c r="K6" s="2360"/>
      <c r="L6" s="2360"/>
      <c r="M6" s="2360"/>
      <c r="N6" s="2360"/>
      <c r="O6" s="2360"/>
      <c r="P6" s="2360"/>
      <c r="Q6" s="2360"/>
      <c r="R6" s="2360"/>
    </row>
    <row r="7" spans="1:29" ht="41.25" thickBot="1">
      <c r="A7" s="430"/>
      <c r="B7" s="1791" t="s">
        <v>2088</v>
      </c>
      <c r="C7" s="2368" t="s">
        <v>2089</v>
      </c>
      <c r="D7" s="2369"/>
      <c r="E7" s="2370"/>
      <c r="F7" s="2371" t="s">
        <v>2093</v>
      </c>
      <c r="G7" s="2372" t="s">
        <v>2094</v>
      </c>
      <c r="H7" s="2360"/>
      <c r="I7" s="2360"/>
      <c r="J7" s="2360"/>
      <c r="K7" s="2360"/>
      <c r="L7" s="2360"/>
      <c r="M7" s="2360"/>
      <c r="N7" s="2360"/>
      <c r="O7" s="2360"/>
      <c r="P7" s="2360"/>
      <c r="Q7" s="2360"/>
      <c r="R7" s="2360"/>
    </row>
    <row r="8" spans="1:29" ht="27">
      <c r="A8" s="430"/>
      <c r="B8" s="1791" t="s">
        <v>2091</v>
      </c>
      <c r="C8" s="2368" t="s">
        <v>2092</v>
      </c>
      <c r="D8" s="2369"/>
      <c r="E8" s="2369"/>
      <c r="F8" s="1130"/>
      <c r="G8" s="1130"/>
      <c r="H8" s="2360"/>
      <c r="I8" s="2360"/>
      <c r="J8" s="2360"/>
      <c r="K8" s="2360"/>
      <c r="L8" s="2360"/>
      <c r="M8" s="2360"/>
      <c r="N8" s="2360"/>
      <c r="O8" s="2360"/>
      <c r="P8" s="2360"/>
      <c r="Q8" s="2360"/>
      <c r="R8" s="2360"/>
    </row>
    <row r="9" spans="1:29" ht="27">
      <c r="A9" s="430"/>
      <c r="B9" s="1791" t="s">
        <v>2095</v>
      </c>
      <c r="C9" s="2366" t="s">
        <v>2096</v>
      </c>
      <c r="D9" s="2363"/>
      <c r="E9" s="2369"/>
      <c r="F9" s="1130"/>
      <c r="G9" s="1130"/>
      <c r="H9" s="2360"/>
      <c r="I9" s="2360"/>
      <c r="J9" s="2360"/>
      <c r="K9" s="2360"/>
      <c r="L9" s="2360"/>
      <c r="M9" s="2360"/>
      <c r="N9" s="2360"/>
      <c r="O9" s="2360"/>
      <c r="P9" s="2360"/>
      <c r="Q9" s="2360"/>
      <c r="R9" s="2360"/>
    </row>
    <row r="10" spans="1:29" s="117" customFormat="1" ht="15.75" thickBot="1">
      <c r="A10" s="2373"/>
      <c r="B10" s="2374" t="s">
        <v>2097</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2098</v>
      </c>
      <c r="B13" s="2380"/>
      <c r="C13" s="2380"/>
      <c r="D13" s="2387"/>
      <c r="E13" s="2380"/>
      <c r="F13" s="2380"/>
      <c r="G13" s="2380"/>
    </row>
    <row r="14" spans="1:29" ht="15.75" thickBot="1">
      <c r="A14" s="2391"/>
      <c r="B14" s="2392"/>
      <c r="C14" s="2393" t="s">
        <v>2099</v>
      </c>
      <c r="D14" s="2363"/>
      <c r="E14" s="2394"/>
      <c r="F14" s="2394"/>
      <c r="G14" s="2357" t="s">
        <v>2100</v>
      </c>
    </row>
    <row r="15" spans="1:29" ht="57">
      <c r="A15" s="68" t="s">
        <v>2101</v>
      </c>
      <c r="B15" s="1264" t="s">
        <v>2078</v>
      </c>
      <c r="C15" s="2395" t="str">
        <f>C3</f>
        <v>估价对象周边居住用地比例、居住小区规模和社区发展完善程度，综合评价居住社区成熟度一般</v>
      </c>
      <c r="D15" s="2363"/>
      <c r="E15" s="2396" t="s">
        <v>2102</v>
      </c>
      <c r="F15" s="1264" t="s">
        <v>2103</v>
      </c>
      <c r="G15" s="134" t="str">
        <f>G3</f>
        <v>估价对象位于XX开发区，园区建设成熟度XX，产业集聚程度XX</v>
      </c>
    </row>
    <row r="16" spans="1:29" ht="42.75">
      <c r="A16" s="644"/>
      <c r="B16" s="2397" t="s">
        <v>2082</v>
      </c>
      <c r="C16" s="2398" t="str">
        <f>C4</f>
        <v>估价对象位于XX商圈，周边商业氛围成熟，人流量大，商业繁华度好</v>
      </c>
      <c r="D16" s="2363"/>
      <c r="E16" s="2399"/>
      <c r="F16" s="2400" t="s">
        <v>2084</v>
      </c>
      <c r="G16" s="135" t="str">
        <f>G4</f>
        <v>估价对象周边道路状况、公共交通通达情况、停车便捷程度，综合评价交通便捷度较好</v>
      </c>
    </row>
    <row r="17" spans="1:18" ht="42.75">
      <c r="A17" s="644"/>
      <c r="B17" s="2397" t="s">
        <v>2086</v>
      </c>
      <c r="C17" s="2398" t="str">
        <f>C5</f>
        <v>估价对象位于XX商圈，周边办公楼项目较多，入驻率高，办公集聚程度较好</v>
      </c>
      <c r="D17" s="2369"/>
      <c r="E17" s="2399"/>
      <c r="F17" s="2400" t="s">
        <v>2104</v>
      </c>
      <c r="G17" s="1565"/>
    </row>
    <row r="18" spans="1:18" ht="57">
      <c r="A18" s="644"/>
      <c r="B18" s="2400" t="s">
        <v>2090</v>
      </c>
      <c r="C18" s="135" t="str">
        <f>C6</f>
        <v>估价对象周边道路状况、公共交通通达情况、停车便捷程度，综合评价交通便捷度较好</v>
      </c>
      <c r="D18" s="2369"/>
      <c r="E18" s="2399"/>
      <c r="F18" s="2400" t="s">
        <v>2093</v>
      </c>
      <c r="G18" s="135" t="str">
        <f>G7</f>
        <v>该园区内是否有污染型企业，绿化情况，卫生条件，整体环境状况判断</v>
      </c>
    </row>
    <row r="19" spans="1:18" ht="28.5">
      <c r="A19" s="644"/>
      <c r="B19" s="2400" t="s">
        <v>2105</v>
      </c>
      <c r="C19" s="1565"/>
      <c r="D19" s="2363"/>
      <c r="E19" s="2399"/>
      <c r="F19" s="1791" t="s">
        <v>2088</v>
      </c>
      <c r="G19" s="135" t="str">
        <f>G5</f>
        <v>估价对象所在区域公共配套设施齐备情况</v>
      </c>
    </row>
    <row r="20" spans="1:18" ht="28.5">
      <c r="A20" s="644"/>
      <c r="B20" s="2400" t="s">
        <v>2106</v>
      </c>
      <c r="C20" s="2398" t="str">
        <f>C9</f>
        <v>区域自然环境：；人文环境；综合评价环境状况一般</v>
      </c>
      <c r="D20" s="2369"/>
      <c r="E20" s="2399"/>
      <c r="F20" s="1791" t="s">
        <v>2107</v>
      </c>
      <c r="G20" s="135" t="str">
        <f>G6</f>
        <v>估价对象所在区域基础设施水平</v>
      </c>
    </row>
    <row r="21" spans="1:18" ht="28.5">
      <c r="A21" s="644"/>
      <c r="B21" s="1791" t="s">
        <v>2088</v>
      </c>
      <c r="C21" s="135" t="str">
        <f>C7</f>
        <v>估价对象所在区域公共配套设施齐备情况</v>
      </c>
      <c r="D21" s="2363"/>
      <c r="E21" s="2399"/>
      <c r="F21" s="2400" t="s">
        <v>2108</v>
      </c>
      <c r="G21" s="2401"/>
    </row>
    <row r="22" spans="1:18" ht="13.5" customHeight="1">
      <c r="A22" s="644"/>
      <c r="B22" s="1791" t="s">
        <v>2091</v>
      </c>
      <c r="C22" s="135" t="str">
        <f>C8</f>
        <v>估价对象所在区域基础设施水平</v>
      </c>
      <c r="D22" s="2363"/>
      <c r="E22" s="2399"/>
      <c r="F22" s="2400" t="s">
        <v>2097</v>
      </c>
      <c r="G22" s="1565"/>
    </row>
    <row r="23" spans="1:18" s="2360" customFormat="1" ht="15.75" thickBot="1">
      <c r="A23" s="644"/>
      <c r="B23" s="2400" t="s">
        <v>2108</v>
      </c>
      <c r="C23" s="2401"/>
      <c r="D23" s="2388"/>
      <c r="E23" s="2402"/>
      <c r="F23" s="2403" t="s">
        <v>2109</v>
      </c>
      <c r="G23" s="2404"/>
      <c r="H23" s="2388"/>
      <c r="I23" s="2389"/>
      <c r="J23" s="2388"/>
      <c r="K23" s="2388"/>
      <c r="L23" s="2389"/>
      <c r="M23" s="2388"/>
      <c r="N23" s="2388"/>
      <c r="O23" s="2389"/>
      <c r="P23" s="2388"/>
      <c r="Q23" s="2388"/>
      <c r="R23" s="2390"/>
    </row>
    <row r="24" spans="1:18" s="2360" customFormat="1" ht="15.75" thickBot="1">
      <c r="A24" s="2405"/>
      <c r="B24" s="2403" t="s">
        <v>2110</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8"/>
  <sheetViews>
    <sheetView zoomScaleSheetLayoutView="100" workbookViewId="0">
      <pane ySplit="3" topLeftCell="A4" activePane="bottomLeft" state="frozen"/>
      <selection sqref="A1:L35"/>
      <selection pane="bottomLeft" activeCell="A34" sqref="A34:D34"/>
    </sheetView>
  </sheetViews>
  <sheetFormatPr defaultRowHeight="13.5"/>
  <cols>
    <col min="1" max="1" width="5" style="2939" customWidth="1"/>
    <col min="2" max="2" width="19" style="2939" customWidth="1"/>
    <col min="3" max="3" width="23.75" style="2943" customWidth="1"/>
    <col min="4" max="4" width="12.375" style="2943" hidden="1" customWidth="1"/>
    <col min="5" max="5" width="9.75" style="2943" hidden="1" customWidth="1"/>
    <col min="6" max="6" width="12.25" style="2945" customWidth="1"/>
    <col min="7" max="7" width="10" style="2944" customWidth="1"/>
    <col min="8" max="8" width="11.875" style="2943" hidden="1" customWidth="1"/>
    <col min="9" max="9" width="9.125" style="2943" hidden="1" customWidth="1"/>
    <col min="10" max="10" width="11" style="2942" customWidth="1"/>
    <col min="11" max="11" width="12.25" style="2941" customWidth="1"/>
    <col min="12" max="12" width="16.75" style="2940" customWidth="1"/>
    <col min="13" max="13" width="12.625" style="2939" bestFit="1" customWidth="1"/>
    <col min="14" max="14" width="9" style="2939"/>
    <col min="15" max="15" width="10.5" style="2939" bestFit="1" customWidth="1"/>
    <col min="16" max="16384" width="9" style="2939"/>
  </cols>
  <sheetData>
    <row r="1" spans="1:15" ht="25.5">
      <c r="A1" s="3140" t="s">
        <v>3135</v>
      </c>
      <c r="B1" s="3140"/>
      <c r="C1" s="3140"/>
      <c r="D1" s="3140"/>
      <c r="E1" s="3140"/>
      <c r="F1" s="3140"/>
      <c r="G1" s="3140"/>
      <c r="H1" s="3140"/>
      <c r="I1" s="3140"/>
      <c r="J1" s="3140"/>
      <c r="K1" s="3140"/>
      <c r="L1" s="3140"/>
    </row>
    <row r="2" spans="1:15" ht="18" customHeight="1">
      <c r="A2" s="3138" t="s">
        <v>3134</v>
      </c>
      <c r="B2" s="3138" t="s">
        <v>3133</v>
      </c>
      <c r="C2" s="3138" t="s">
        <v>3132</v>
      </c>
      <c r="D2" s="3141" t="s">
        <v>3146</v>
      </c>
      <c r="E2" s="3142"/>
      <c r="F2" s="3143" t="s">
        <v>3147</v>
      </c>
      <c r="G2" s="3143"/>
      <c r="H2" s="3143" t="s">
        <v>3129</v>
      </c>
      <c r="I2" s="3143"/>
      <c r="J2" s="3144" t="s">
        <v>3128</v>
      </c>
      <c r="K2" s="3145"/>
      <c r="L2" s="3146" t="s">
        <v>3127</v>
      </c>
    </row>
    <row r="3" spans="1:15" ht="27">
      <c r="A3" s="3139"/>
      <c r="B3" s="3139"/>
      <c r="C3" s="3139"/>
      <c r="D3" s="2953" t="s">
        <v>3126</v>
      </c>
      <c r="E3" s="2988" t="s">
        <v>3125</v>
      </c>
      <c r="F3" s="2953" t="s">
        <v>3126</v>
      </c>
      <c r="G3" s="2989" t="s">
        <v>3125</v>
      </c>
      <c r="H3" s="2953" t="s">
        <v>3126</v>
      </c>
      <c r="I3" s="2988" t="s">
        <v>3125</v>
      </c>
      <c r="J3" s="2987" t="s">
        <v>3124</v>
      </c>
      <c r="K3" s="2986" t="s">
        <v>3123</v>
      </c>
      <c r="L3" s="3147"/>
    </row>
    <row r="4" spans="1:15" ht="24.95" customHeight="1">
      <c r="A4" s="2954" t="s">
        <v>3122</v>
      </c>
      <c r="B4" s="2955" t="s">
        <v>3121</v>
      </c>
      <c r="C4" s="2985">
        <v>59952.480000000003</v>
      </c>
      <c r="D4" s="2953">
        <f>SUM(D5:D14)</f>
        <v>18804.827788042025</v>
      </c>
      <c r="E4" s="2949">
        <f t="shared" ref="E4:E14" si="0">D4/59952.48</f>
        <v>0.31366221694318608</v>
      </c>
      <c r="F4" s="2953">
        <f>SUM(F5:F14)</f>
        <v>18723.674999999999</v>
      </c>
      <c r="G4" s="2949">
        <f>F4/C4</f>
        <v>0.31230859840994063</v>
      </c>
      <c r="H4" s="2954">
        <f>SUM(H5:H14)</f>
        <v>20511.215</v>
      </c>
      <c r="I4" s="2948">
        <f>H4/C4</f>
        <v>0.34212454597374453</v>
      </c>
      <c r="J4" s="2948"/>
      <c r="K4" s="2947"/>
      <c r="L4" s="2946"/>
      <c r="O4" s="2990">
        <f>F4+二期二标!F4</f>
        <v>32992.163</v>
      </c>
    </row>
    <row r="5" spans="1:15" ht="20.100000000000001" customHeight="1">
      <c r="A5" s="2971">
        <v>1</v>
      </c>
      <c r="B5" s="2984" t="s">
        <v>3120</v>
      </c>
      <c r="C5" s="2971"/>
      <c r="D5" s="2981">
        <v>1014.65</v>
      </c>
      <c r="E5" s="2949">
        <f t="shared" si="0"/>
        <v>1.6924237329298136E-2</v>
      </c>
      <c r="F5" s="2951">
        <v>1014.649</v>
      </c>
      <c r="G5" s="2950">
        <f>F5/C4</f>
        <v>1.6924220649421007E-2</v>
      </c>
      <c r="H5" s="2971">
        <f>F5</f>
        <v>1014.649</v>
      </c>
      <c r="I5" s="2973">
        <f>H5/C4</f>
        <v>1.6924220649421007E-2</v>
      </c>
      <c r="J5" s="2973"/>
      <c r="K5" s="2972"/>
      <c r="L5" s="2956"/>
    </row>
    <row r="6" spans="1:15" ht="20.100000000000001" customHeight="1">
      <c r="A6" s="2971">
        <v>2</v>
      </c>
      <c r="B6" s="2984" t="s">
        <v>3119</v>
      </c>
      <c r="C6" s="2971"/>
      <c r="D6" s="2981">
        <v>8651.9850659999993</v>
      </c>
      <c r="E6" s="2949">
        <f t="shared" si="0"/>
        <v>0.14431404782587809</v>
      </c>
      <c r="F6" s="2977">
        <v>8608.7369999999992</v>
      </c>
      <c r="G6" s="2950">
        <f>F6/C4</f>
        <v>0.14359267539891593</v>
      </c>
      <c r="H6" s="2983">
        <f>F6+1.9+5.74+8.35+3.78+29.76+13.22+28.04+116.53+28.54+71.62+115.6+53.14+144.95+3.49+6.21+2.16+2.71+1.33+0.33+4.66+2.79+2.25+2.86+3.96+2.12+2.8+1.17+7.2+0.17+1.04+2.9+1.09+0.64+0.71+2.35+3.58+1.46+150.45+0.6+0.94+15.76+12.91+18.24+17.74+17.48+52.48</f>
        <v>9576.487000000001</v>
      </c>
      <c r="I6" s="2973">
        <f>H6/C4</f>
        <v>0.15973462649084744</v>
      </c>
      <c r="J6" s="2972">
        <f>I6*10000</f>
        <v>1597.3462649084743</v>
      </c>
      <c r="K6" s="2972" t="s">
        <v>3118</v>
      </c>
      <c r="L6" s="2956"/>
    </row>
    <row r="7" spans="1:15" ht="20.100000000000001" customHeight="1">
      <c r="A7" s="2971">
        <v>3</v>
      </c>
      <c r="B7" s="2970" t="s">
        <v>3117</v>
      </c>
      <c r="C7" s="2959"/>
      <c r="D7" s="2981">
        <v>3488.61</v>
      </c>
      <c r="E7" s="2949">
        <f t="shared" si="0"/>
        <v>5.8189586152232568E-2</v>
      </c>
      <c r="F7" s="2977">
        <v>3485.123</v>
      </c>
      <c r="G7" s="2950">
        <f>F7/C4</f>
        <v>5.8131423420682511E-2</v>
      </c>
      <c r="H7" s="2971">
        <f>F7</f>
        <v>3485.123</v>
      </c>
      <c r="I7" s="2973">
        <f>H7/C4</f>
        <v>5.8131423420682511E-2</v>
      </c>
      <c r="J7" s="2972">
        <f>I7*10000</f>
        <v>581.31423420682506</v>
      </c>
      <c r="K7" s="2972" t="s">
        <v>3116</v>
      </c>
      <c r="L7" s="2956"/>
    </row>
    <row r="8" spans="1:15" ht="20.100000000000001" customHeight="1">
      <c r="A8" s="2971">
        <v>4</v>
      </c>
      <c r="B8" s="2982" t="s">
        <v>3115</v>
      </c>
      <c r="C8" s="2971"/>
      <c r="D8" s="2981">
        <v>2047.59</v>
      </c>
      <c r="E8" s="2949">
        <f t="shared" si="0"/>
        <v>3.415354961129214E-2</v>
      </c>
      <c r="F8" s="2977">
        <v>2042.27</v>
      </c>
      <c r="G8" s="2950">
        <f>F8/C4</f>
        <v>3.406481266496398E-2</v>
      </c>
      <c r="H8" s="2983">
        <f>F8+85.82</f>
        <v>2128.09</v>
      </c>
      <c r="I8" s="2973">
        <f>H8/C4</f>
        <v>3.5496279720205068E-2</v>
      </c>
      <c r="J8" s="2972">
        <f>I8*10000</f>
        <v>354.96279720205069</v>
      </c>
      <c r="K8" s="2972" t="s">
        <v>3114</v>
      </c>
      <c r="L8" s="2956"/>
    </row>
    <row r="9" spans="1:15" ht="54">
      <c r="A9" s="2971">
        <v>5</v>
      </c>
      <c r="B9" s="2976" t="s">
        <v>3113</v>
      </c>
      <c r="C9" s="2971"/>
      <c r="D9" s="2981">
        <v>1870.39</v>
      </c>
      <c r="E9" s="2949">
        <f t="shared" si="0"/>
        <v>3.1197875383970772E-2</v>
      </c>
      <c r="F9" s="2977">
        <v>1865.721</v>
      </c>
      <c r="G9" s="2950">
        <f>F9/C4</f>
        <v>3.1119997037653821E-2</v>
      </c>
      <c r="H9" s="2983">
        <f>F9+7.76+7.59+1.06+6.31+10.03+6.04+5.21+4.1+20.49+26.32+36.65+487.64+92.68+1.74+1.76+1.08+4.67+1.56+11.28</f>
        <v>2599.6909999999998</v>
      </c>
      <c r="I9" s="2973">
        <f>H9/C4</f>
        <v>4.3362526454285122E-2</v>
      </c>
      <c r="J9" s="2972">
        <f>H9/20219*10000</f>
        <v>1285.7663583757851</v>
      </c>
      <c r="K9" s="2972" t="s">
        <v>3112</v>
      </c>
      <c r="L9" s="2956" t="s">
        <v>3111</v>
      </c>
    </row>
    <row r="10" spans="1:15" ht="20.100000000000001" customHeight="1">
      <c r="A10" s="2971">
        <v>6</v>
      </c>
      <c r="B10" s="2982" t="s">
        <v>3110</v>
      </c>
      <c r="C10" s="2971"/>
      <c r="D10" s="2981">
        <f>1157.9/(59952.48+43367.6)*59952.48</f>
        <v>671.88272204202713</v>
      </c>
      <c r="E10" s="2949">
        <f t="shared" si="0"/>
        <v>1.1206921248996323E-2</v>
      </c>
      <c r="F10" s="2977">
        <v>671.8</v>
      </c>
      <c r="G10" s="2950">
        <f>F10/C4</f>
        <v>1.1205541455499421E-2</v>
      </c>
      <c r="H10" s="2971">
        <f>F10</f>
        <v>671.8</v>
      </c>
      <c r="I10" s="2973">
        <f>H10/C4</f>
        <v>1.1205541455499421E-2</v>
      </c>
      <c r="J10" s="2973"/>
      <c r="K10" s="2972"/>
      <c r="L10" s="2956"/>
    </row>
    <row r="11" spans="1:15" ht="20.100000000000001" customHeight="1">
      <c r="A11" s="2971">
        <v>7</v>
      </c>
      <c r="B11" s="2982" t="s">
        <v>3109</v>
      </c>
      <c r="C11" s="2971"/>
      <c r="D11" s="2981">
        <v>73.39</v>
      </c>
      <c r="E11" s="2949">
        <f t="shared" si="0"/>
        <v>1.2241361825232251E-3</v>
      </c>
      <c r="F11" s="2977">
        <v>68.959999999999994</v>
      </c>
      <c r="G11" s="2950">
        <f>F11/C4</f>
        <v>1.1502443268401907E-3</v>
      </c>
      <c r="H11" s="2971">
        <v>68.959999999999994</v>
      </c>
      <c r="I11" s="2973">
        <f>H11/C4</f>
        <v>1.1502443268401907E-3</v>
      </c>
      <c r="J11" s="2973"/>
      <c r="K11" s="2972"/>
      <c r="L11" s="2956"/>
    </row>
    <row r="12" spans="1:15" ht="20.100000000000001" customHeight="1">
      <c r="A12" s="2971">
        <v>8</v>
      </c>
      <c r="B12" s="2976" t="s">
        <v>3108</v>
      </c>
      <c r="C12" s="2975"/>
      <c r="D12" s="2981">
        <v>349.44</v>
      </c>
      <c r="E12" s="2949">
        <f t="shared" si="0"/>
        <v>5.8286162640811519E-3</v>
      </c>
      <c r="F12" s="2977">
        <v>331.02499999999998</v>
      </c>
      <c r="G12" s="2950">
        <f>F12/C4</f>
        <v>5.5214563267441136E-3</v>
      </c>
      <c r="H12" s="2971">
        <f>F12</f>
        <v>331.02499999999998</v>
      </c>
      <c r="I12" s="2973">
        <f>H12/C4</f>
        <v>5.5214563267441136E-3</v>
      </c>
      <c r="J12" s="2973"/>
      <c r="K12" s="2972"/>
      <c r="L12" s="2956"/>
    </row>
    <row r="13" spans="1:15" ht="20.100000000000001" customHeight="1">
      <c r="A13" s="2971">
        <v>9</v>
      </c>
      <c r="B13" s="2970" t="s">
        <v>3107</v>
      </c>
      <c r="C13" s="2959"/>
      <c r="D13" s="2981">
        <v>471.3</v>
      </c>
      <c r="E13" s="2949">
        <f t="shared" si="0"/>
        <v>7.8612260910641222E-3</v>
      </c>
      <c r="F13" s="2977">
        <v>470.39</v>
      </c>
      <c r="G13" s="2950">
        <f>F13/C4</f>
        <v>7.8460474028764111E-3</v>
      </c>
      <c r="H13" s="2951">
        <f>F13</f>
        <v>470.39</v>
      </c>
      <c r="I13" s="2973">
        <f>H13/C4</f>
        <v>7.8460474028764111E-3</v>
      </c>
      <c r="J13" s="2973"/>
      <c r="K13" s="2972"/>
      <c r="L13" s="2956"/>
    </row>
    <row r="14" spans="1:15" ht="20.100000000000001" customHeight="1">
      <c r="A14" s="2971">
        <v>10</v>
      </c>
      <c r="B14" s="2970" t="s">
        <v>3106</v>
      </c>
      <c r="C14" s="2959"/>
      <c r="D14" s="2981">
        <v>165.59</v>
      </c>
      <c r="E14" s="2949">
        <f t="shared" si="0"/>
        <v>2.7620208538495822E-3</v>
      </c>
      <c r="F14" s="2977">
        <v>165</v>
      </c>
      <c r="G14" s="2950">
        <f>F14/C4</f>
        <v>2.7521797263432637E-3</v>
      </c>
      <c r="H14" s="2971">
        <v>165</v>
      </c>
      <c r="I14" s="2973">
        <f>H14/C4</f>
        <v>2.7521797263432637E-3</v>
      </c>
      <c r="J14" s="2973"/>
      <c r="K14" s="2972"/>
      <c r="L14" s="2956"/>
    </row>
    <row r="15" spans="1:15" ht="24.95" customHeight="1">
      <c r="A15" s="2954" t="s">
        <v>3105</v>
      </c>
      <c r="B15" s="2980" t="s">
        <v>3104</v>
      </c>
      <c r="C15" s="2978">
        <v>59952.480000000003</v>
      </c>
      <c r="D15" s="2957">
        <f>SUM(D16:D25)</f>
        <v>1792.386</v>
      </c>
      <c r="E15" s="2949">
        <f>D15/C15</f>
        <v>2.989677824837271E-2</v>
      </c>
      <c r="F15" s="2979">
        <f>SUM(F16:F25)</f>
        <v>1808.6335186235538</v>
      </c>
      <c r="G15" s="2949">
        <f>F15/C15</f>
        <v>3.0167784862670462E-2</v>
      </c>
      <c r="H15" s="2979">
        <f>SUM(H16:H25)</f>
        <v>1922.5323888396838</v>
      </c>
      <c r="I15" s="2948">
        <f>H15/C15</f>
        <v>3.2067604023047647E-2</v>
      </c>
      <c r="J15" s="2948"/>
      <c r="K15" s="2947"/>
      <c r="L15" s="2946"/>
      <c r="O15" s="2990">
        <f>F15+二期二标!F14</f>
        <v>3264.6550490144568</v>
      </c>
    </row>
    <row r="16" spans="1:15">
      <c r="A16" s="2971">
        <v>1</v>
      </c>
      <c r="B16" s="2976" t="s">
        <v>3103</v>
      </c>
      <c r="C16" s="2978"/>
      <c r="D16" s="2977">
        <v>54.969000000000001</v>
      </c>
      <c r="E16" s="2949"/>
      <c r="F16" s="2977">
        <v>54.969000000000001</v>
      </c>
      <c r="G16" s="2950"/>
      <c r="H16" s="2977">
        <v>54.969000000000001</v>
      </c>
      <c r="I16" s="2954"/>
      <c r="J16" s="2973" t="s">
        <v>3102</v>
      </c>
      <c r="K16" s="2972" t="s">
        <v>3101</v>
      </c>
      <c r="L16" s="2956" t="s">
        <v>3100</v>
      </c>
    </row>
    <row r="17" spans="1:15" ht="29.25" customHeight="1">
      <c r="A17" s="2971">
        <v>2</v>
      </c>
      <c r="B17" s="2976" t="s">
        <v>3099</v>
      </c>
      <c r="C17" s="2975"/>
      <c r="D17" s="2977">
        <v>105.47</v>
      </c>
      <c r="E17" s="2950"/>
      <c r="F17" s="2977">
        <v>105.47</v>
      </c>
      <c r="G17" s="2950"/>
      <c r="H17" s="2977">
        <v>105.47</v>
      </c>
      <c r="I17" s="2954"/>
      <c r="J17" s="2972">
        <f>H17/C15*10000</f>
        <v>17.592266408328729</v>
      </c>
      <c r="K17" s="2972">
        <v>10</v>
      </c>
      <c r="L17" s="2956" t="s">
        <v>3098</v>
      </c>
    </row>
    <row r="18" spans="1:15" ht="24.95" customHeight="1">
      <c r="A18" s="2971">
        <v>3</v>
      </c>
      <c r="B18" s="2976" t="s">
        <v>3097</v>
      </c>
      <c r="C18" s="2975"/>
      <c r="D18" s="2951">
        <v>10.5</v>
      </c>
      <c r="E18" s="2950"/>
      <c r="F18" s="2951">
        <v>10.5</v>
      </c>
      <c r="G18" s="2950"/>
      <c r="H18" s="2951">
        <v>10.5</v>
      </c>
      <c r="I18" s="2954"/>
      <c r="J18" s="2972"/>
      <c r="K18" s="2972"/>
      <c r="L18" s="2946"/>
    </row>
    <row r="19" spans="1:15" ht="24.95" customHeight="1">
      <c r="A19" s="2971">
        <v>4</v>
      </c>
      <c r="B19" s="2976" t="s">
        <v>3096</v>
      </c>
      <c r="C19" s="2975"/>
      <c r="D19" s="2951">
        <v>628.19500000000005</v>
      </c>
      <c r="E19" s="2950"/>
      <c r="F19" s="2951">
        <v>628.19500000000005</v>
      </c>
      <c r="G19" s="2950"/>
      <c r="H19" s="2951">
        <f>F19/F4*H4</f>
        <v>688.16846622925266</v>
      </c>
      <c r="I19" s="2954"/>
      <c r="J19" s="2972">
        <f>H19/C15*10000</f>
        <v>114.78565460999322</v>
      </c>
      <c r="K19" s="2972">
        <v>36</v>
      </c>
      <c r="L19" s="2956" t="s">
        <v>3095</v>
      </c>
    </row>
    <row r="20" spans="1:15" ht="24.95" customHeight="1">
      <c r="A20" s="2971">
        <v>5</v>
      </c>
      <c r="B20" s="2970" t="s">
        <v>3094</v>
      </c>
      <c r="C20" s="2958"/>
      <c r="D20" s="2951">
        <v>5.0519999999999996</v>
      </c>
      <c r="E20" s="2950"/>
      <c r="F20" s="2951">
        <v>5.0519999999999996</v>
      </c>
      <c r="G20" s="2950"/>
      <c r="H20" s="2951">
        <v>5.0519999999999996</v>
      </c>
      <c r="I20" s="2971"/>
      <c r="J20" s="2973"/>
      <c r="K20" s="2972"/>
      <c r="L20" s="2956"/>
    </row>
    <row r="21" spans="1:15" ht="24.95" customHeight="1">
      <c r="A21" s="2971">
        <v>6</v>
      </c>
      <c r="B21" s="2970" t="s">
        <v>3093</v>
      </c>
      <c r="C21" s="2959"/>
      <c r="D21" s="2951">
        <v>19.13</v>
      </c>
      <c r="E21" s="2950"/>
      <c r="F21" s="2951">
        <v>19.13</v>
      </c>
      <c r="G21" s="2950"/>
      <c r="H21" s="2951">
        <v>19.13</v>
      </c>
      <c r="I21" s="2971"/>
      <c r="J21" s="2948"/>
      <c r="K21" s="2947"/>
      <c r="L21" s="2946"/>
    </row>
    <row r="22" spans="1:15" ht="27" customHeight="1">
      <c r="A22" s="2971">
        <v>7</v>
      </c>
      <c r="B22" s="2970" t="s">
        <v>3092</v>
      </c>
      <c r="C22" s="2958"/>
      <c r="D22" s="2951">
        <v>18.600000000000001</v>
      </c>
      <c r="E22" s="2950"/>
      <c r="F22" s="2951">
        <v>18.600000000000001</v>
      </c>
      <c r="G22" s="2950"/>
      <c r="H22" s="2951">
        <v>18.600000000000001</v>
      </c>
      <c r="I22" s="2954"/>
      <c r="J22" s="2948"/>
      <c r="K22" s="2947"/>
      <c r="L22" s="2946"/>
    </row>
    <row r="23" spans="1:15" ht="27" customHeight="1">
      <c r="A23" s="2971">
        <v>8</v>
      </c>
      <c r="B23" s="2970" t="s">
        <v>3091</v>
      </c>
      <c r="C23" s="2958"/>
      <c r="D23" s="2951">
        <v>50</v>
      </c>
      <c r="E23" s="2950"/>
      <c r="F23" s="2951">
        <v>50</v>
      </c>
      <c r="G23" s="2950"/>
      <c r="H23" s="2951">
        <v>50</v>
      </c>
      <c r="I23" s="2971"/>
      <c r="J23" s="2948"/>
      <c r="K23" s="2947"/>
      <c r="L23" s="2946"/>
    </row>
    <row r="24" spans="1:15" ht="27" customHeight="1">
      <c r="A24" s="2971">
        <v>9</v>
      </c>
      <c r="B24" s="2974" t="s">
        <v>3090</v>
      </c>
      <c r="C24" s="2957"/>
      <c r="D24" s="2951">
        <v>880.47</v>
      </c>
      <c r="E24" s="2951"/>
      <c r="F24" s="2951">
        <f>(F4+F16+F17+F18+F19+F20+F21+F22+F23+G26*C4+G30*C4)*0.03</f>
        <v>896.71751862355359</v>
      </c>
      <c r="G24" s="2950"/>
      <c r="H24" s="2951">
        <f>(H4+H16+H17+H18+H19+H20+H21+H22+I26*C15+I30*C15)*0.03</f>
        <v>950.64292261043124</v>
      </c>
      <c r="I24" s="2953"/>
      <c r="J24" s="2973"/>
      <c r="K24" s="2972"/>
      <c r="L24" s="2956"/>
    </row>
    <row r="25" spans="1:15" ht="27" customHeight="1">
      <c r="A25" s="2971">
        <v>10</v>
      </c>
      <c r="B25" s="2970" t="s">
        <v>3089</v>
      </c>
      <c r="C25" s="2958"/>
      <c r="D25" s="2951">
        <v>20</v>
      </c>
      <c r="E25" s="2954"/>
      <c r="F25" s="2951">
        <v>20</v>
      </c>
      <c r="G25" s="2950"/>
      <c r="H25" s="2951">
        <v>20</v>
      </c>
      <c r="I25" s="2954"/>
      <c r="J25" s="2948"/>
      <c r="K25" s="2947"/>
      <c r="L25" s="2946"/>
    </row>
    <row r="26" spans="1:15" ht="54">
      <c r="A26" s="2954" t="s">
        <v>3088</v>
      </c>
      <c r="B26" s="2960" t="s">
        <v>3087</v>
      </c>
      <c r="C26" s="2959">
        <v>458911.97</v>
      </c>
      <c r="D26" s="2951">
        <f>E26*C4</f>
        <v>2233.9522065637125</v>
      </c>
      <c r="E26" s="2948">
        <f>17100/458911.97</f>
        <v>3.7262048318329986E-2</v>
      </c>
      <c r="F26" s="2951">
        <f>G26*C4</f>
        <v>2233.9522065637125</v>
      </c>
      <c r="G26" s="2948">
        <f>17100/458911.97</f>
        <v>3.7262048318329986E-2</v>
      </c>
      <c r="H26" s="2951">
        <f>I26*C4</f>
        <v>2233.9522065637125</v>
      </c>
      <c r="I26" s="2948">
        <f>17100/458911.97</f>
        <v>3.7262048318329986E-2</v>
      </c>
      <c r="J26" s="2948"/>
      <c r="K26" s="2947"/>
      <c r="L26" s="2956" t="s">
        <v>3086</v>
      </c>
      <c r="O26" s="2990">
        <f>F26+二期二标!F25</f>
        <v>3849.9178132137199</v>
      </c>
    </row>
    <row r="27" spans="1:15" s="2961" customFormat="1" ht="27">
      <c r="A27" s="2968">
        <v>1</v>
      </c>
      <c r="B27" s="2967" t="s">
        <v>3085</v>
      </c>
      <c r="C27" s="2967"/>
      <c r="D27" s="2967"/>
      <c r="E27" s="2966"/>
      <c r="F27" s="2965"/>
      <c r="G27" s="2965"/>
      <c r="H27" s="2964"/>
      <c r="I27" s="2964"/>
      <c r="J27" s="2964"/>
      <c r="K27" s="2963"/>
      <c r="L27" s="2969" t="s">
        <v>3084</v>
      </c>
    </row>
    <row r="28" spans="1:15" s="2961" customFormat="1" ht="27">
      <c r="A28" s="2968">
        <v>2</v>
      </c>
      <c r="B28" s="2967" t="s">
        <v>3083</v>
      </c>
      <c r="C28" s="2967"/>
      <c r="D28" s="2967"/>
      <c r="E28" s="2966"/>
      <c r="F28" s="2965"/>
      <c r="G28" s="2965"/>
      <c r="H28" s="2964"/>
      <c r="I28" s="2964"/>
      <c r="J28" s="2964"/>
      <c r="K28" s="2963"/>
      <c r="L28" s="2962"/>
    </row>
    <row r="29" spans="1:15" s="2961" customFormat="1" ht="21" customHeight="1">
      <c r="A29" s="2968">
        <v>3</v>
      </c>
      <c r="B29" s="2967" t="s">
        <v>3082</v>
      </c>
      <c r="C29" s="2967"/>
      <c r="D29" s="2967"/>
      <c r="E29" s="2966"/>
      <c r="F29" s="2965"/>
      <c r="G29" s="2965"/>
      <c r="H29" s="2964"/>
      <c r="I29" s="2964"/>
      <c r="J29" s="2964"/>
      <c r="K29" s="2963"/>
      <c r="L29" s="2962"/>
    </row>
    <row r="30" spans="1:15" ht="67.5">
      <c r="A30" s="2954" t="s">
        <v>3081</v>
      </c>
      <c r="B30" s="2960" t="s">
        <v>3080</v>
      </c>
      <c r="C30" s="2959">
        <f>C26</f>
        <v>458911.97</v>
      </c>
      <c r="D30" s="2951">
        <f>E30*C4</f>
        <v>8041.0407475547399</v>
      </c>
      <c r="E30" s="2948">
        <f>(51335.11/458911.97)+2300/(C4+二期二标!C4)</f>
        <v>0.13412357166133476</v>
      </c>
      <c r="F30" s="2951">
        <f>G30*C4</f>
        <v>8041.0407475547399</v>
      </c>
      <c r="G30" s="2948">
        <f>E30</f>
        <v>0.13412357166133476</v>
      </c>
      <c r="H30" s="2951">
        <f>I30*C4</f>
        <v>8041.0407475547399</v>
      </c>
      <c r="I30" s="2948">
        <f>E30</f>
        <v>0.13412357166133476</v>
      </c>
      <c r="J30" s="2948"/>
      <c r="K30" s="2947"/>
      <c r="L30" s="2956" t="s">
        <v>3079</v>
      </c>
      <c r="O30" s="2990">
        <f>F30+二期二标!F29</f>
        <v>13857.658153934841</v>
      </c>
    </row>
    <row r="31" spans="1:15" ht="40.5">
      <c r="A31" s="2954" t="s">
        <v>3078</v>
      </c>
      <c r="B31" s="2955" t="s">
        <v>3077</v>
      </c>
      <c r="C31" s="2958"/>
      <c r="D31" s="2957">
        <f>(D4+D15+E26*C15+E30*C15)*0.5*0.1*3</f>
        <v>4630.8310113240714</v>
      </c>
      <c r="E31" s="2948">
        <f>D31/C15</f>
        <v>7.7241692275683532E-2</v>
      </c>
      <c r="F31" s="2951">
        <f>(F4+F15+G26*C15+G30*C15)*0.5*0.1*3</f>
        <v>4621.095220911302</v>
      </c>
      <c r="G31" s="2949">
        <f>F31/C15</f>
        <v>7.7079300487841396E-2</v>
      </c>
      <c r="H31" s="2951">
        <f>(H4+H15+I26*C15+I30*C15)*0.5*0.1*3</f>
        <v>4906.3110514437212</v>
      </c>
      <c r="I31" s="2949">
        <f>H31/C15</f>
        <v>8.183666549646855E-2</v>
      </c>
      <c r="J31" s="2948"/>
      <c r="K31" s="2947"/>
      <c r="L31" s="2956" t="s">
        <v>3076</v>
      </c>
    </row>
    <row r="32" spans="1:15" ht="27" customHeight="1">
      <c r="A32" s="2954" t="s">
        <v>3075</v>
      </c>
      <c r="B32" s="2955" t="s">
        <v>3074</v>
      </c>
      <c r="C32" s="2954"/>
      <c r="D32" s="2953">
        <f>D4+D15+E26*C15+E30*C15+D31</f>
        <v>35503.037753484547</v>
      </c>
      <c r="E32" s="2953"/>
      <c r="F32" s="2953">
        <f>F31+G30*C15+G26*C15+F15+F4</f>
        <v>35428.396693653311</v>
      </c>
      <c r="G32" s="2953"/>
      <c r="H32" s="2953">
        <f>H31+I30*C15+I26*C15+H15+H4</f>
        <v>37615.05139440186</v>
      </c>
      <c r="I32" s="2953"/>
      <c r="J32" s="2948"/>
      <c r="K32" s="2947"/>
      <c r="L32" s="2946"/>
      <c r="O32" s="2990">
        <f>F32+二期二标!F31</f>
        <v>62059.053118587472</v>
      </c>
    </row>
    <row r="33" spans="1:12" ht="24.95" customHeight="1">
      <c r="A33" s="3134" t="s">
        <v>3073</v>
      </c>
      <c r="B33" s="3135"/>
      <c r="C33" s="3135"/>
      <c r="D33" s="3136"/>
      <c r="E33" s="2949">
        <f>E4+E15+E26+E30+E31</f>
        <v>0.59218630744690715</v>
      </c>
      <c r="F33" s="2951"/>
      <c r="G33" s="2949">
        <f>G31+G30+G26+G15+G4</f>
        <v>0.59094130374011722</v>
      </c>
      <c r="H33" s="2950"/>
      <c r="I33" s="2949">
        <f>I4+I15+I26+I30+I31</f>
        <v>0.62741443547292541</v>
      </c>
      <c r="J33" s="2953"/>
      <c r="K33" s="2947"/>
      <c r="L33" s="2952"/>
    </row>
    <row r="34" spans="1:12" ht="24.95" customHeight="1">
      <c r="A34" s="3134" t="s">
        <v>3072</v>
      </c>
      <c r="B34" s="3135"/>
      <c r="C34" s="3135"/>
      <c r="D34" s="3136"/>
      <c r="E34" s="2949">
        <f>D32/42389.05</f>
        <v>0.83755209785273654</v>
      </c>
      <c r="F34" s="2951"/>
      <c r="G34" s="2949">
        <f>F32/42389.05</f>
        <v>0.83579124074857325</v>
      </c>
      <c r="H34" s="2950"/>
      <c r="I34" s="2949">
        <f>H32/42389.05</f>
        <v>0.88737660774190164</v>
      </c>
      <c r="J34" s="2948"/>
      <c r="K34" s="2947"/>
      <c r="L34" s="2946">
        <v>42389.05</v>
      </c>
    </row>
    <row r="35" spans="1:12" ht="18.95" customHeight="1">
      <c r="A35" s="3137" t="s">
        <v>3071</v>
      </c>
      <c r="B35" s="3137"/>
      <c r="C35" s="3137"/>
      <c r="D35" s="3137"/>
      <c r="E35" s="3137"/>
      <c r="F35" s="3137"/>
      <c r="G35" s="3137"/>
      <c r="H35" s="3137"/>
      <c r="I35" s="3137"/>
      <c r="J35" s="2948"/>
      <c r="K35" s="2947"/>
      <c r="L35" s="2946"/>
    </row>
    <row r="38" spans="1:12">
      <c r="C38" s="2943">
        <v>42389.05</v>
      </c>
    </row>
  </sheetData>
  <mergeCells count="12">
    <mergeCell ref="A1:L1"/>
    <mergeCell ref="D2:E2"/>
    <mergeCell ref="F2:G2"/>
    <mergeCell ref="H2:I2"/>
    <mergeCell ref="J2:K2"/>
    <mergeCell ref="L2:L3"/>
    <mergeCell ref="A33:D33"/>
    <mergeCell ref="A34:D34"/>
    <mergeCell ref="A35:I35"/>
    <mergeCell ref="A2:A3"/>
    <mergeCell ref="B2:B3"/>
    <mergeCell ref="C2:C3"/>
  </mergeCells>
  <phoneticPr fontId="144" type="noConversion"/>
  <pageMargins left="0.39" right="0.39" top="0.79000000000000015" bottom="0.79000000000000015" header="0.51" footer="0.43000000000000005"/>
  <pageSetup paperSize="9" orientation="landscape" horizontalDpi="300" verticalDpi="300"/>
  <headerFooter>
    <oddFooter>第 &amp;P 页，共 &amp;N 页</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7"/>
  <sheetViews>
    <sheetView zoomScaleSheetLayoutView="100" workbookViewId="0">
      <pane ySplit="3" topLeftCell="A4" activePane="bottomLeft" state="frozen"/>
      <selection sqref="A1:L35"/>
      <selection pane="bottomLeft" sqref="A1:L1"/>
    </sheetView>
  </sheetViews>
  <sheetFormatPr defaultRowHeight="13.5"/>
  <cols>
    <col min="1" max="1" width="3.875" style="2939" customWidth="1"/>
    <col min="2" max="2" width="18.625" style="2939" customWidth="1"/>
    <col min="3" max="3" width="12.125" style="2939" customWidth="1"/>
    <col min="4" max="4" width="11.5" style="2991" hidden="1" customWidth="1"/>
    <col min="5" max="5" width="9.625" style="2939" hidden="1" customWidth="1"/>
    <col min="6" max="6" width="11" style="2990" customWidth="1"/>
    <col min="7" max="7" width="12" style="2939" customWidth="1"/>
    <col min="8" max="8" width="11.625" style="2990" hidden="1" customWidth="1"/>
    <col min="9" max="9" width="8.875" style="2939" hidden="1" customWidth="1"/>
    <col min="10" max="10" width="11.625" style="2942" customWidth="1"/>
    <col min="11" max="11" width="12.25" style="2941" customWidth="1"/>
    <col min="12" max="12" width="18" style="2940" customWidth="1"/>
    <col min="13" max="19" width="9" style="2939"/>
    <col min="20" max="20" width="12.625" style="2939" bestFit="1" customWidth="1"/>
    <col min="21" max="16384" width="9" style="2939"/>
  </cols>
  <sheetData>
    <row r="1" spans="1:12" ht="25.5">
      <c r="A1" s="3140" t="s">
        <v>3142</v>
      </c>
      <c r="B1" s="3140"/>
      <c r="C1" s="3140"/>
      <c r="D1" s="3140"/>
      <c r="E1" s="3140"/>
      <c r="F1" s="3140"/>
      <c r="G1" s="3140"/>
      <c r="H1" s="3140"/>
      <c r="I1" s="3140"/>
      <c r="J1" s="3140"/>
      <c r="K1" s="3140"/>
      <c r="L1" s="3140"/>
    </row>
    <row r="2" spans="1:12">
      <c r="A2" s="3138" t="s">
        <v>3134</v>
      </c>
      <c r="B2" s="3138" t="s">
        <v>3133</v>
      </c>
      <c r="C2" s="3138" t="s">
        <v>3132</v>
      </c>
      <c r="D2" s="3141" t="s">
        <v>3131</v>
      </c>
      <c r="E2" s="3142"/>
      <c r="F2" s="3143" t="s">
        <v>3130</v>
      </c>
      <c r="G2" s="3143"/>
      <c r="H2" s="3143" t="s">
        <v>3129</v>
      </c>
      <c r="I2" s="3143"/>
      <c r="J2" s="3144" t="s">
        <v>3128</v>
      </c>
      <c r="K2" s="3145"/>
      <c r="L2" s="3146" t="s">
        <v>3127</v>
      </c>
    </row>
    <row r="3" spans="1:12" ht="27">
      <c r="A3" s="3139"/>
      <c r="B3" s="3139"/>
      <c r="C3" s="3139"/>
      <c r="D3" s="2997" t="s">
        <v>3126</v>
      </c>
      <c r="E3" s="2988" t="s">
        <v>3125</v>
      </c>
      <c r="F3" s="2953" t="s">
        <v>3126</v>
      </c>
      <c r="G3" s="2988" t="s">
        <v>3125</v>
      </c>
      <c r="H3" s="2953" t="s">
        <v>3126</v>
      </c>
      <c r="I3" s="2988" t="s">
        <v>3125</v>
      </c>
      <c r="J3" s="2987" t="s">
        <v>3124</v>
      </c>
      <c r="K3" s="2986" t="s">
        <v>3123</v>
      </c>
      <c r="L3" s="3147"/>
    </row>
    <row r="4" spans="1:12" ht="24.95" customHeight="1">
      <c r="A4" s="2954" t="s">
        <v>3122</v>
      </c>
      <c r="B4" s="2955" t="s">
        <v>3121</v>
      </c>
      <c r="C4" s="2985">
        <v>43367.6</v>
      </c>
      <c r="D4" s="2953">
        <f>SUM(D5:D13)</f>
        <v>14279.294585957974</v>
      </c>
      <c r="E4" s="2949">
        <f t="shared" ref="E4:E9" si="0">D4/43367.6</f>
        <v>0.32926181264257126</v>
      </c>
      <c r="F4" s="2953">
        <f>SUM(F5:F13)</f>
        <v>14268.487999999998</v>
      </c>
      <c r="G4" s="2948">
        <f>F4/C4</f>
        <v>0.32901262693808275</v>
      </c>
      <c r="H4" s="2953">
        <f>SUM(H5:H13)</f>
        <v>16508.2664</v>
      </c>
      <c r="I4" s="2948">
        <f>H4/C4</f>
        <v>0.3806589804370083</v>
      </c>
      <c r="J4" s="2948"/>
      <c r="K4" s="2947"/>
      <c r="L4" s="2946"/>
    </row>
    <row r="5" spans="1:12" ht="20.100000000000001" customHeight="1">
      <c r="A5" s="2971">
        <v>1</v>
      </c>
      <c r="B5" s="2984" t="s">
        <v>3120</v>
      </c>
      <c r="C5" s="2971"/>
      <c r="D5" s="2951">
        <v>642.24</v>
      </c>
      <c r="E5" s="2949">
        <f t="shared" si="0"/>
        <v>1.4809212407419364E-2</v>
      </c>
      <c r="F5" s="2951">
        <v>642.24</v>
      </c>
      <c r="G5" s="2973">
        <f>F5/C4</f>
        <v>1.4809212407419364E-2</v>
      </c>
      <c r="H5" s="2951">
        <f>F5</f>
        <v>642.24</v>
      </c>
      <c r="I5" s="2973">
        <f>H5/C4</f>
        <v>1.4809212407419364E-2</v>
      </c>
      <c r="J5" s="2973"/>
      <c r="K5" s="2972"/>
      <c r="L5" s="2956"/>
    </row>
    <row r="6" spans="1:12" ht="20.100000000000001" customHeight="1">
      <c r="A6" s="2971">
        <v>2</v>
      </c>
      <c r="B6" s="2984" t="s">
        <v>3119</v>
      </c>
      <c r="C6" s="2971"/>
      <c r="D6" s="2951">
        <v>6906.2580079999998</v>
      </c>
      <c r="E6" s="2949">
        <f t="shared" si="0"/>
        <v>0.15924925538881562</v>
      </c>
      <c r="F6" s="2951">
        <v>6903.4719999999998</v>
      </c>
      <c r="G6" s="2973">
        <f>F6/C4</f>
        <v>0.15918501369686125</v>
      </c>
      <c r="H6" s="2951">
        <f>7004.573+1454.0244</f>
        <v>8458.5974000000006</v>
      </c>
      <c r="I6" s="2973">
        <f>H6/C4</f>
        <v>0.19504416661286308</v>
      </c>
      <c r="J6" s="2972">
        <f>I6*10000</f>
        <v>1950.4416661286309</v>
      </c>
      <c r="K6" s="2972" t="s">
        <v>3118</v>
      </c>
      <c r="L6" s="2956"/>
    </row>
    <row r="7" spans="1:12" ht="20.100000000000001" customHeight="1">
      <c r="A7" s="2971">
        <v>3</v>
      </c>
      <c r="B7" s="2970" t="s">
        <v>3117</v>
      </c>
      <c r="C7" s="2959"/>
      <c r="D7" s="2951">
        <v>2732.08</v>
      </c>
      <c r="E7" s="2949">
        <f t="shared" si="0"/>
        <v>6.299818297530875E-2</v>
      </c>
      <c r="F7" s="2951">
        <v>2731.2469999999998</v>
      </c>
      <c r="G7" s="2973">
        <f>F7/C4</f>
        <v>6.2978975087392433E-2</v>
      </c>
      <c r="H7" s="2951">
        <f>2731.739+381.673</f>
        <v>3113.4120000000003</v>
      </c>
      <c r="I7" s="2973">
        <f>H7/C4</f>
        <v>7.1791198959591962E-2</v>
      </c>
      <c r="J7" s="2972">
        <f>I7*10000</f>
        <v>717.91198959591964</v>
      </c>
      <c r="K7" s="2972" t="s">
        <v>3116</v>
      </c>
      <c r="L7" s="2956"/>
    </row>
    <row r="8" spans="1:12" ht="20.100000000000001" customHeight="1">
      <c r="A8" s="2971">
        <v>4</v>
      </c>
      <c r="B8" s="2982" t="s">
        <v>3115</v>
      </c>
      <c r="C8" s="2971"/>
      <c r="D8" s="2951">
        <v>1734.98</v>
      </c>
      <c r="E8" s="2949">
        <f t="shared" si="0"/>
        <v>4.0006364198157153E-2</v>
      </c>
      <c r="F8" s="2951">
        <v>1734.56</v>
      </c>
      <c r="G8" s="2973">
        <f>F8/C4</f>
        <v>3.9996679548787571E-2</v>
      </c>
      <c r="H8" s="2951">
        <v>1734.56</v>
      </c>
      <c r="I8" s="2973">
        <f>H8/C4</f>
        <v>3.9996679548787571E-2</v>
      </c>
      <c r="J8" s="2972">
        <f>I8*10000</f>
        <v>399.96679548787569</v>
      </c>
      <c r="K8" s="2972" t="s">
        <v>3114</v>
      </c>
      <c r="L8" s="2956"/>
    </row>
    <row r="9" spans="1:12" ht="54">
      <c r="A9" s="2971">
        <v>5</v>
      </c>
      <c r="B9" s="2976" t="s">
        <v>3113</v>
      </c>
      <c r="C9" s="2971"/>
      <c r="D9" s="2951">
        <v>996.21929999999998</v>
      </c>
      <c r="E9" s="2949">
        <f t="shared" si="0"/>
        <v>2.2971510989771165E-2</v>
      </c>
      <c r="F9" s="2951">
        <v>995.66899999999998</v>
      </c>
      <c r="G9" s="2973">
        <f>F9/C4</f>
        <v>2.2958821793228126E-2</v>
      </c>
      <c r="H9" s="2951">
        <v>1298.1569999999999</v>
      </c>
      <c r="I9" s="2973">
        <f>H9/C4</f>
        <v>2.9933798503952259E-2</v>
      </c>
      <c r="J9" s="2972">
        <f>H9/11806.6*10000</f>
        <v>1099.5180661663815</v>
      </c>
      <c r="K9" s="2972" t="s">
        <v>3112</v>
      </c>
      <c r="L9" s="2956" t="s">
        <v>3141</v>
      </c>
    </row>
    <row r="10" spans="1:12" ht="27.95" customHeight="1">
      <c r="A10" s="2971">
        <v>6</v>
      </c>
      <c r="B10" s="2982" t="s">
        <v>3110</v>
      </c>
      <c r="C10" s="2971"/>
      <c r="D10" s="2981">
        <f>1157.9/(59952.48+43367.6)*43367.6</f>
        <v>486.01727795797296</v>
      </c>
      <c r="E10" s="2949">
        <f>D10/C4</f>
        <v>1.1206921248996323E-2</v>
      </c>
      <c r="F10" s="2951">
        <v>486</v>
      </c>
      <c r="G10" s="2973">
        <f>F10/C4</f>
        <v>1.1206522841937299E-2</v>
      </c>
      <c r="H10" s="2951">
        <v>486</v>
      </c>
      <c r="I10" s="2973">
        <f>H10/C4</f>
        <v>1.1206522841937299E-2</v>
      </c>
      <c r="J10" s="2973"/>
      <c r="K10" s="2972"/>
      <c r="L10" s="2956"/>
    </row>
    <row r="11" spans="1:12" ht="20.100000000000001" customHeight="1">
      <c r="A11" s="2971">
        <v>7</v>
      </c>
      <c r="B11" s="2970" t="s">
        <v>3107</v>
      </c>
      <c r="C11" s="2975"/>
      <c r="D11" s="2951">
        <v>377.04</v>
      </c>
      <c r="E11" s="2949">
        <f>D11/43367.6</f>
        <v>8.6940480912017278E-3</v>
      </c>
      <c r="F11" s="2951">
        <v>376.3</v>
      </c>
      <c r="G11" s="2973">
        <f>F11/C4</f>
        <v>8.6769846613600939E-3</v>
      </c>
      <c r="H11" s="2951">
        <f>F11</f>
        <v>376.3</v>
      </c>
      <c r="I11" s="2973">
        <f>H11/C4</f>
        <v>8.6769846613600939E-3</v>
      </c>
      <c r="J11" s="2973"/>
      <c r="K11" s="2972"/>
      <c r="L11" s="2956"/>
    </row>
    <row r="12" spans="1:12" ht="20.100000000000001" customHeight="1">
      <c r="A12" s="2971">
        <v>8</v>
      </c>
      <c r="B12" s="2976" t="s">
        <v>3108</v>
      </c>
      <c r="C12" s="2975"/>
      <c r="D12" s="2951">
        <v>304.47000000000003</v>
      </c>
      <c r="E12" s="2949">
        <f>D12/43367.6</f>
        <v>7.0206790322729423E-3</v>
      </c>
      <c r="F12" s="2951">
        <v>300</v>
      </c>
      <c r="G12" s="2973">
        <f>F12/C4</f>
        <v>6.9176066925538881E-3</v>
      </c>
      <c r="H12" s="2951">
        <v>300</v>
      </c>
      <c r="I12" s="2973">
        <f>H12/C4</f>
        <v>6.9176066925538881E-3</v>
      </c>
      <c r="J12" s="2973"/>
      <c r="K12" s="2972"/>
      <c r="L12" s="2956"/>
    </row>
    <row r="13" spans="1:12" ht="20.100000000000001" customHeight="1">
      <c r="A13" s="2971">
        <v>9</v>
      </c>
      <c r="B13" s="2976" t="s">
        <v>3106</v>
      </c>
      <c r="C13" s="2975"/>
      <c r="D13" s="2951">
        <v>99.99</v>
      </c>
      <c r="E13" s="2949">
        <f>D13/43367.6</f>
        <v>2.3056383106282107E-3</v>
      </c>
      <c r="F13" s="2951">
        <v>99</v>
      </c>
      <c r="G13" s="2973">
        <f>F13/C4</f>
        <v>2.282810208542783E-3</v>
      </c>
      <c r="H13" s="2951">
        <v>99</v>
      </c>
      <c r="I13" s="2973">
        <f>H13/C4</f>
        <v>2.282810208542783E-3</v>
      </c>
      <c r="J13" s="2973"/>
      <c r="K13" s="2972"/>
      <c r="L13" s="2956"/>
    </row>
    <row r="14" spans="1:12" ht="20.100000000000001" customHeight="1">
      <c r="A14" s="2954" t="s">
        <v>3105</v>
      </c>
      <c r="B14" s="2980" t="s">
        <v>3104</v>
      </c>
      <c r="C14" s="2978">
        <f>C4</f>
        <v>43367.6</v>
      </c>
      <c r="D14" s="2997">
        <f>SUM(D15:D24)</f>
        <v>1418.3204506093157</v>
      </c>
      <c r="E14" s="2949">
        <f>D14/43367.6</f>
        <v>3.2704610137736831E-2</v>
      </c>
      <c r="F14" s="2979">
        <f>SUM(F15:F24)</f>
        <v>1456.0215303909031</v>
      </c>
      <c r="G14" s="2994">
        <f>F14/C14</f>
        <v>3.3573947610448886E-2</v>
      </c>
      <c r="H14" s="2992">
        <f>SUM(H15:H24)</f>
        <v>1525.1924823909033</v>
      </c>
      <c r="I14" s="2994">
        <f>H14/C14</f>
        <v>3.5168939078733967E-2</v>
      </c>
      <c r="J14" s="2973"/>
      <c r="K14" s="2972"/>
      <c r="L14" s="2956"/>
    </row>
    <row r="15" spans="1:12" ht="20.100000000000001" customHeight="1">
      <c r="A15" s="2971">
        <v>1</v>
      </c>
      <c r="B15" s="2976" t="s">
        <v>3103</v>
      </c>
      <c r="C15" s="2978"/>
      <c r="D15" s="2995">
        <v>32.06</v>
      </c>
      <c r="E15" s="2949"/>
      <c r="F15" s="2951">
        <v>32.06</v>
      </c>
      <c r="G15" s="2994"/>
      <c r="H15" s="2951">
        <v>32.06</v>
      </c>
      <c r="I15" s="2993"/>
      <c r="J15" s="2973" t="s">
        <v>3140</v>
      </c>
      <c r="K15" s="2972" t="s">
        <v>3101</v>
      </c>
      <c r="L15" s="2956" t="s">
        <v>3139</v>
      </c>
    </row>
    <row r="16" spans="1:12" ht="27">
      <c r="A16" s="2971">
        <v>2</v>
      </c>
      <c r="B16" s="2976" t="s">
        <v>3099</v>
      </c>
      <c r="C16" s="2975"/>
      <c r="D16" s="2995">
        <v>85.4</v>
      </c>
      <c r="E16" s="2949"/>
      <c r="F16" s="2951">
        <v>85.4</v>
      </c>
      <c r="G16" s="2994"/>
      <c r="H16" s="2951">
        <v>85.4</v>
      </c>
      <c r="I16" s="2993"/>
      <c r="J16" s="2972">
        <f>H16/C14*10000</f>
        <v>19.692120384803406</v>
      </c>
      <c r="K16" s="2972">
        <v>10</v>
      </c>
      <c r="L16" s="2956" t="s">
        <v>3098</v>
      </c>
    </row>
    <row r="17" spans="1:12" ht="20.100000000000001" customHeight="1">
      <c r="A17" s="2971">
        <v>3</v>
      </c>
      <c r="B17" s="2976" t="s">
        <v>3097</v>
      </c>
      <c r="C17" s="2975"/>
      <c r="D17" s="2995">
        <v>3.46</v>
      </c>
      <c r="E17" s="2949"/>
      <c r="F17" s="2951">
        <v>3.46</v>
      </c>
      <c r="G17" s="2994"/>
      <c r="H17" s="2951">
        <v>3.46</v>
      </c>
      <c r="I17" s="2993"/>
      <c r="J17" s="2948"/>
      <c r="K17" s="2972"/>
      <c r="L17" s="2946"/>
    </row>
    <row r="18" spans="1:12" ht="20.100000000000001" customHeight="1">
      <c r="A18" s="2971">
        <v>4</v>
      </c>
      <c r="B18" s="2976" t="s">
        <v>3096</v>
      </c>
      <c r="C18" s="2975"/>
      <c r="D18" s="2995">
        <v>568.08000000000004</v>
      </c>
      <c r="E18" s="2949"/>
      <c r="F18" s="2951">
        <v>568.08000000000004</v>
      </c>
      <c r="G18" s="2994"/>
      <c r="H18" s="2951">
        <v>570</v>
      </c>
      <c r="I18" s="2993"/>
      <c r="J18" s="2972">
        <f>H18/C14*10000</f>
        <v>131.43452715852388</v>
      </c>
      <c r="K18" s="2972">
        <v>36</v>
      </c>
      <c r="L18" s="2956" t="s">
        <v>3095</v>
      </c>
    </row>
    <row r="19" spans="1:12" ht="20.100000000000001" customHeight="1">
      <c r="A19" s="2971">
        <v>5</v>
      </c>
      <c r="B19" s="2970" t="s">
        <v>3094</v>
      </c>
      <c r="C19" s="2958"/>
      <c r="D19" s="2995">
        <v>2.86</v>
      </c>
      <c r="E19" s="2949"/>
      <c r="F19" s="2951">
        <v>2.86</v>
      </c>
      <c r="G19" s="2996"/>
      <c r="H19" s="2951">
        <v>2.86</v>
      </c>
      <c r="I19" s="2982"/>
      <c r="J19" s="2972"/>
      <c r="K19" s="2972"/>
      <c r="L19" s="2946"/>
    </row>
    <row r="20" spans="1:12" ht="20.100000000000001" customHeight="1">
      <c r="A20" s="2971">
        <v>6</v>
      </c>
      <c r="B20" s="2970" t="s">
        <v>3093</v>
      </c>
      <c r="C20" s="2958"/>
      <c r="D20" s="2995">
        <v>13.52</v>
      </c>
      <c r="E20" s="2949"/>
      <c r="F20" s="2951">
        <v>13.52</v>
      </c>
      <c r="G20" s="2994"/>
      <c r="H20" s="2951">
        <v>13.52</v>
      </c>
      <c r="I20" s="2993"/>
      <c r="J20" s="2972"/>
      <c r="K20" s="2972"/>
      <c r="L20" s="2956"/>
    </row>
    <row r="21" spans="1:12" ht="27.95" customHeight="1">
      <c r="A21" s="2971">
        <v>7</v>
      </c>
      <c r="B21" s="2970" t="s">
        <v>3092</v>
      </c>
      <c r="C21" s="2958"/>
      <c r="D21" s="2995">
        <v>11.6</v>
      </c>
      <c r="E21" s="2949"/>
      <c r="F21" s="2951">
        <v>11.6</v>
      </c>
      <c r="G21" s="2994"/>
      <c r="H21" s="2951">
        <v>11.6</v>
      </c>
      <c r="I21" s="2993"/>
      <c r="J21" s="2972"/>
      <c r="K21" s="2947"/>
      <c r="L21" s="2946"/>
    </row>
    <row r="22" spans="1:12" ht="20.100000000000001" customHeight="1">
      <c r="A22" s="2971">
        <v>8</v>
      </c>
      <c r="B22" s="2970" t="s">
        <v>3091</v>
      </c>
      <c r="C22" s="2958"/>
      <c r="D22" s="2995">
        <v>50</v>
      </c>
      <c r="E22" s="2949"/>
      <c r="F22" s="2951">
        <v>50</v>
      </c>
      <c r="G22" s="2996"/>
      <c r="H22" s="2951">
        <v>50</v>
      </c>
      <c r="I22" s="2982"/>
      <c r="J22" s="2972"/>
      <c r="K22" s="2947"/>
      <c r="L22" s="2946"/>
    </row>
    <row r="23" spans="1:12" ht="20.100000000000001" customHeight="1">
      <c r="A23" s="2971">
        <v>9</v>
      </c>
      <c r="B23" s="2974" t="s">
        <v>3090</v>
      </c>
      <c r="C23" s="2957"/>
      <c r="D23" s="2995">
        <v>636.34045060931567</v>
      </c>
      <c r="E23" s="2949"/>
      <c r="F23" s="2951">
        <f>(F4+F15+F16+F17+F18+F19+F20+F21+F22+G25*C14+G29*C14)*0.03</f>
        <v>674.04153039090306</v>
      </c>
      <c r="G23" s="2994"/>
      <c r="H23" s="2951">
        <f>(H4+H15+H16+H17+H18+H19+H20+H21+H22+I25*C14+I29*C14)*0.03</f>
        <v>741.29248239090327</v>
      </c>
      <c r="I23" s="2992"/>
      <c r="J23" s="2972"/>
      <c r="K23" s="2947"/>
      <c r="L23" s="2946"/>
    </row>
    <row r="24" spans="1:12" ht="27.95" customHeight="1">
      <c r="A24" s="2971">
        <v>10</v>
      </c>
      <c r="B24" s="2970" t="s">
        <v>3089</v>
      </c>
      <c r="C24" s="2958"/>
      <c r="D24" s="2995">
        <v>15</v>
      </c>
      <c r="E24" s="2949"/>
      <c r="F24" s="2951">
        <v>15</v>
      </c>
      <c r="G24" s="2994"/>
      <c r="H24" s="2951">
        <v>15</v>
      </c>
      <c r="I24" s="2993"/>
      <c r="J24" s="2972"/>
      <c r="K24" s="2972"/>
      <c r="L24" s="2956"/>
    </row>
    <row r="25" spans="1:12" ht="54">
      <c r="A25" s="2954" t="s">
        <v>3088</v>
      </c>
      <c r="B25" s="2960" t="s">
        <v>3087</v>
      </c>
      <c r="C25" s="2958">
        <v>458911.97</v>
      </c>
      <c r="D25" s="2953">
        <f>E25*C4</f>
        <v>1615.9656066500074</v>
      </c>
      <c r="E25" s="2948">
        <f>17100/458911.97</f>
        <v>3.7262048318329986E-2</v>
      </c>
      <c r="F25" s="2953">
        <f>G25*C4</f>
        <v>1615.9656066500074</v>
      </c>
      <c r="G25" s="2948">
        <f>17100/458911.97</f>
        <v>3.7262048318329986E-2</v>
      </c>
      <c r="H25" s="2953">
        <f>I25*C4</f>
        <v>1615.9656066500074</v>
      </c>
      <c r="I25" s="2948">
        <f>17100/458911.97</f>
        <v>3.7262048318329986E-2</v>
      </c>
      <c r="J25" s="2948"/>
      <c r="K25" s="2947"/>
      <c r="L25" s="2956" t="s">
        <v>3086</v>
      </c>
    </row>
    <row r="26" spans="1:12" s="2961" customFormat="1" ht="32.1" customHeight="1">
      <c r="A26" s="2968">
        <v>1</v>
      </c>
      <c r="B26" s="2967" t="s">
        <v>3085</v>
      </c>
      <c r="C26" s="2967"/>
      <c r="D26" s="2967"/>
      <c r="E26" s="2966"/>
      <c r="F26" s="2965"/>
      <c r="G26" s="2965"/>
      <c r="H26" s="2964"/>
      <c r="I26" s="2964"/>
      <c r="J26" s="2964"/>
      <c r="K26" s="2963"/>
      <c r="L26" s="2969" t="s">
        <v>3084</v>
      </c>
    </row>
    <row r="27" spans="1:12" s="2961" customFormat="1" ht="27">
      <c r="A27" s="2968">
        <v>2</v>
      </c>
      <c r="B27" s="2967" t="s">
        <v>3083</v>
      </c>
      <c r="C27" s="2967"/>
      <c r="D27" s="2967"/>
      <c r="E27" s="2966"/>
      <c r="F27" s="2965"/>
      <c r="G27" s="2965"/>
      <c r="H27" s="2964"/>
      <c r="I27" s="2964"/>
      <c r="J27" s="2964"/>
      <c r="K27" s="2963"/>
      <c r="L27" s="2962"/>
    </row>
    <row r="28" spans="1:12" s="2961" customFormat="1" ht="21" customHeight="1">
      <c r="A28" s="2968">
        <v>3</v>
      </c>
      <c r="B28" s="2967" t="s">
        <v>3082</v>
      </c>
      <c r="C28" s="2967"/>
      <c r="D28" s="2967"/>
      <c r="E28" s="2966"/>
      <c r="F28" s="2965"/>
      <c r="G28" s="2965"/>
      <c r="H28" s="2964"/>
      <c r="I28" s="2964"/>
      <c r="J28" s="2964"/>
      <c r="K28" s="2963"/>
      <c r="L28" s="2962"/>
    </row>
    <row r="29" spans="1:12" ht="67.5">
      <c r="A29" s="2954" t="s">
        <v>3081</v>
      </c>
      <c r="B29" s="2960" t="s">
        <v>3080</v>
      </c>
      <c r="C29" s="2958">
        <f>C25</f>
        <v>458911.97</v>
      </c>
      <c r="D29" s="2953">
        <f>E29*C4</f>
        <v>5816.6174063801009</v>
      </c>
      <c r="E29" s="2948">
        <f>51335.11/458911.97+2300/(C4+二期一标!C4)</f>
        <v>0.13412357166133476</v>
      </c>
      <c r="F29" s="2953">
        <f>G29*C4</f>
        <v>5816.6174063801009</v>
      </c>
      <c r="G29" s="2948">
        <f>E29</f>
        <v>0.13412357166133476</v>
      </c>
      <c r="H29" s="2953">
        <f>I29*C4</f>
        <v>5816.6174063801009</v>
      </c>
      <c r="I29" s="2948">
        <f>E29</f>
        <v>0.13412357166133476</v>
      </c>
      <c r="J29" s="2948"/>
      <c r="K29" s="2947"/>
      <c r="L29" s="2956" t="s">
        <v>3079</v>
      </c>
    </row>
    <row r="30" spans="1:12" ht="27">
      <c r="A30" s="2954" t="s">
        <v>3078</v>
      </c>
      <c r="B30" s="2955" t="s">
        <v>3077</v>
      </c>
      <c r="C30" s="2958"/>
      <c r="D30" s="2953">
        <f>(D4+D14+E25*C14+E29*C14)*0.5*0.1*3</f>
        <v>3469.5297074396094</v>
      </c>
      <c r="E30" s="2948">
        <f>D30/C14</f>
        <v>8.0002806413995917E-2</v>
      </c>
      <c r="F30" s="2992">
        <f>(F4+F14+G25*C14+G29*C14)*0.5*0.1*3</f>
        <v>3473.5638815131515</v>
      </c>
      <c r="G30" s="2948">
        <f>F30/C14</f>
        <v>8.0095829179229458E-2</v>
      </c>
      <c r="H30" s="2992">
        <f>(H4+H14+I25*C14+I29*C14)*0.5*0.1*3</f>
        <v>3819.9062843131519</v>
      </c>
      <c r="I30" s="2949">
        <f>H30/C14</f>
        <v>8.808203092431105E-2</v>
      </c>
      <c r="J30" s="2948"/>
      <c r="K30" s="2947"/>
      <c r="L30" s="2956" t="s">
        <v>3076</v>
      </c>
    </row>
    <row r="31" spans="1:12" ht="24.95" customHeight="1">
      <c r="A31" s="2954" t="s">
        <v>3075</v>
      </c>
      <c r="B31" s="2955" t="s">
        <v>3074</v>
      </c>
      <c r="C31" s="2954"/>
      <c r="D31" s="2953">
        <f>(D4+D14+G25*C14+G29*C14+D30)</f>
        <v>26599.727757037006</v>
      </c>
      <c r="E31" s="2953"/>
      <c r="F31" s="2953">
        <f>F30+G29*C14+G25*C14+F14+F4</f>
        <v>26630.656424934161</v>
      </c>
      <c r="G31" s="2948"/>
      <c r="H31" s="2953">
        <f>H30+I29*C14+I25*C14+H14+H4</f>
        <v>29285.948179734165</v>
      </c>
      <c r="I31" s="2953"/>
      <c r="J31" s="2948"/>
      <c r="K31" s="2947"/>
      <c r="L31" s="2946"/>
    </row>
    <row r="32" spans="1:12" ht="24.95" customHeight="1">
      <c r="A32" s="3134" t="s">
        <v>3138</v>
      </c>
      <c r="B32" s="3135"/>
      <c r="C32" s="3135"/>
      <c r="D32" s="3136"/>
      <c r="E32" s="2949">
        <f>E4+E14+E25+E29+E30</f>
        <v>0.61335484917396876</v>
      </c>
      <c r="F32" s="2951"/>
      <c r="G32" s="2948">
        <f>G4+G14+G25+G29+G30</f>
        <v>0.61406802370742575</v>
      </c>
      <c r="H32" s="2951"/>
      <c r="I32" s="2949">
        <f>I4+I14+I25+I29+I30</f>
        <v>0.67529557041971811</v>
      </c>
      <c r="J32" s="2948"/>
      <c r="K32" s="2947"/>
      <c r="L32" s="2946"/>
    </row>
    <row r="33" spans="1:12" ht="24.95" customHeight="1">
      <c r="A33" s="3148" t="s">
        <v>3137</v>
      </c>
      <c r="B33" s="3143"/>
      <c r="C33" s="3143"/>
      <c r="D33" s="3143"/>
      <c r="E33" s="2949">
        <f>D31/30745.1</f>
        <v>0.86516966141066409</v>
      </c>
      <c r="F33" s="2951"/>
      <c r="G33" s="2948">
        <f>F31/30745.1</f>
        <v>0.86617563204979531</v>
      </c>
      <c r="H33" s="2951"/>
      <c r="I33" s="2949">
        <f>H31/30745.1</f>
        <v>0.95254034560740297</v>
      </c>
      <c r="J33" s="2953"/>
      <c r="K33" s="2947"/>
      <c r="L33" s="2952"/>
    </row>
    <row r="34" spans="1:12">
      <c r="A34" s="3137" t="s">
        <v>3136</v>
      </c>
      <c r="B34" s="3137"/>
      <c r="C34" s="3137"/>
      <c r="D34" s="3137"/>
      <c r="E34" s="3137"/>
      <c r="F34" s="3137"/>
      <c r="G34" s="3137"/>
      <c r="H34" s="3137"/>
      <c r="I34" s="3137"/>
      <c r="J34" s="2948"/>
      <c r="K34" s="2947"/>
      <c r="L34" s="2946"/>
    </row>
    <row r="37" spans="1:12">
      <c r="C37" s="2939">
        <v>30745.1</v>
      </c>
    </row>
  </sheetData>
  <mergeCells count="12">
    <mergeCell ref="A1:L1"/>
    <mergeCell ref="D2:E2"/>
    <mergeCell ref="F2:G2"/>
    <mergeCell ref="H2:I2"/>
    <mergeCell ref="J2:K2"/>
    <mergeCell ref="L2:L3"/>
    <mergeCell ref="A32:D32"/>
    <mergeCell ref="A33:D33"/>
    <mergeCell ref="A34:I34"/>
    <mergeCell ref="A2:A3"/>
    <mergeCell ref="B2:B3"/>
    <mergeCell ref="C2:C3"/>
  </mergeCells>
  <phoneticPr fontId="144" type="noConversion"/>
  <pageMargins left="0.39" right="0.23999999999999996" top="0.79000000000000015" bottom="0.79000000000000015" header="0.51" footer="0.51"/>
  <pageSetup paperSize="9" orientation="landscape"/>
  <headerFooter>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31" t="str">
        <f>项目基本情况!B1</f>
        <v>贵州省贵阳市白云区（高新）沙文生态科技产业园“贵州科学城•智谷”项目01-02-13地块出让国有建设用地使用权及在建建筑物房地产市场价值预评估</v>
      </c>
      <c r="C37" s="3031"/>
      <c r="D37" s="3031"/>
      <c r="E37" s="3031"/>
      <c r="F37" s="3031"/>
      <c r="G37" s="3031"/>
      <c r="H37" s="3031"/>
      <c r="I37" s="3031"/>
    </row>
    <row r="38" spans="1:9">
      <c r="A38" s="1013"/>
      <c r="B38" s="1013"/>
    </row>
    <row r="39" spans="1:9">
      <c r="A39" s="1011" t="s">
        <v>818</v>
      </c>
      <c r="B39" s="1011" t="s">
        <v>820</v>
      </c>
    </row>
    <row r="40" spans="1:9">
      <c r="A40" s="1011"/>
      <c r="B40" s="1938" t="str">
        <f>项目基本情况!B5</f>
        <v>国民信托有限公司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郑燚（注册号：1120070131)、王鹏（注册号：1120050019)</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1" sqref="A11"/>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180315.87</v>
      </c>
      <c r="C1" s="1738"/>
      <c r="D1" s="1738"/>
      <c r="E1" s="1738"/>
      <c r="F1" s="1738"/>
      <c r="G1" s="1736"/>
    </row>
    <row r="2" spans="1:10" ht="16.5">
      <c r="A2" s="1739" t="s">
        <v>1349</v>
      </c>
      <c r="B2" s="1739">
        <f>SUM(C14:C23)</f>
        <v>73704.56</v>
      </c>
      <c r="C2" s="1738"/>
      <c r="D2" s="1738"/>
      <c r="E2" s="1738"/>
      <c r="F2" s="1738"/>
      <c r="G2" s="1736"/>
    </row>
    <row r="3" spans="1:10" ht="16.5">
      <c r="A3" s="1739" t="s">
        <v>1358</v>
      </c>
      <c r="B3" s="1740">
        <f>项目基本情况!D3</f>
        <v>43525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105912</v>
      </c>
      <c r="C5" s="1739">
        <f ca="1">ROUND(B5*10000/$B$1,0)</f>
        <v>5874</v>
      </c>
      <c r="D5" s="1739">
        <f ca="1">ROUND(B5*10000/$B$2,0)</f>
        <v>14370</v>
      </c>
      <c r="E5" s="1738"/>
      <c r="F5" s="1736"/>
      <c r="G5" s="1736"/>
    </row>
    <row r="6" spans="1:10" ht="16.5">
      <c r="A6" s="1739" t="s">
        <v>1352</v>
      </c>
      <c r="B6" s="1739">
        <f>SUM(G14:G23)</f>
        <v>0</v>
      </c>
      <c r="C6" s="1739">
        <f>ROUND(B6*10000/$B$1,0)</f>
        <v>0</v>
      </c>
      <c r="D6" s="1739">
        <f>ROUND(B6*10000/$B$2,0)</f>
        <v>0</v>
      </c>
      <c r="E6" s="1738"/>
      <c r="F6" s="1736"/>
      <c r="G6" s="1736"/>
    </row>
    <row r="7" spans="1:10" ht="16.5">
      <c r="A7" s="1739" t="s">
        <v>1360</v>
      </c>
      <c r="B7" s="1739">
        <f ca="1">SUM(H14:H23)</f>
        <v>41768</v>
      </c>
      <c r="C7" s="1739">
        <f ca="1">ROUND(B7*10000/$B$1,0)</f>
        <v>2316</v>
      </c>
      <c r="D7" s="1739">
        <f ca="1">ROUND(B7*10000/$B$2,0)</f>
        <v>5667</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75745.560000000012</v>
      </c>
      <c r="C14" s="1737">
        <f>结果表!C118</f>
        <v>40729.97</v>
      </c>
      <c r="D14" s="1737">
        <f ca="1">结果表!H118</f>
        <v>41768</v>
      </c>
      <c r="E14" s="1737">
        <f ca="1">ROUND(D14*10000/B14,0)</f>
        <v>5514</v>
      </c>
      <c r="F14" s="1737">
        <f ca="1">ROUND(D14*10000/C14,0)</f>
        <v>10255</v>
      </c>
      <c r="G14" s="1737" t="str">
        <f>结果表!D122</f>
        <v>——</v>
      </c>
      <c r="H14" s="1737">
        <f ca="1">结果表!D124</f>
        <v>41768</v>
      </c>
      <c r="I14" s="1737" t="str">
        <f>结果表!D126</f>
        <v>——</v>
      </c>
      <c r="J14" s="1736"/>
    </row>
    <row r="15" spans="1:10" ht="16.5">
      <c r="A15" s="1735" t="s">
        <v>1345</v>
      </c>
      <c r="B15" s="1742">
        <f>[1]系统读取表!$B$14</f>
        <v>104570.31</v>
      </c>
      <c r="C15" s="1742">
        <f>[1]系统读取表!$C$14</f>
        <v>32974.589999999997</v>
      </c>
      <c r="D15" s="1742">
        <f ca="1">[1]系统读取表!$D$14</f>
        <v>64144</v>
      </c>
      <c r="E15" s="1737">
        <f t="shared" ref="E15:E23" ca="1" si="0">ROUND(D15*10000/B15,0)</f>
        <v>6134</v>
      </c>
      <c r="F15" s="1737">
        <f t="shared" ref="F15:F23" ca="1" si="1">ROUND(D15*10000/C15,0)</f>
        <v>19453</v>
      </c>
      <c r="G15" s="1743" t="str">
        <f>[1]系统读取表!$G$14</f>
        <v>——</v>
      </c>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2111</v>
      </c>
      <c r="B1" s="2411"/>
      <c r="C1" s="2412"/>
      <c r="D1" s="2411"/>
      <c r="E1" s="2411"/>
      <c r="F1" s="2413" t="s">
        <v>2112</v>
      </c>
      <c r="G1" s="2064" t="s">
        <v>3363</v>
      </c>
      <c r="H1" s="2414" t="str">
        <f>IF(G1="现房","——","估价对象范围")</f>
        <v>估价对象范围</v>
      </c>
      <c r="I1" s="2415" t="s">
        <v>3043</v>
      </c>
    </row>
    <row r="2" spans="1:12" ht="21.75" customHeight="1" thickBot="1">
      <c r="A2" s="3182" t="str">
        <f>项目基本情况!S2</f>
        <v>贵州省贵阳市白云区（高新）沙文生态科技产业园“贵州科学城•智谷”项目01-02-13地块出让国有建设用地使用权及在建建筑物房地产</v>
      </c>
      <c r="B2" s="3183"/>
      <c r="C2" s="3183"/>
      <c r="D2" s="3183"/>
      <c r="E2" s="3183"/>
      <c r="F2" s="3183"/>
      <c r="G2" s="3183"/>
      <c r="H2" s="3183"/>
      <c r="I2" s="3184"/>
    </row>
    <row r="3" spans="1:12" ht="12.75">
      <c r="A3" s="3186" t="s">
        <v>2113</v>
      </c>
      <c r="B3" s="3187"/>
      <c r="C3" s="3187"/>
      <c r="D3" s="3187"/>
      <c r="E3" s="3187"/>
      <c r="F3" s="3187"/>
      <c r="G3" s="3187"/>
      <c r="H3" s="3187"/>
      <c r="I3" s="3187"/>
    </row>
    <row r="4" spans="1:12" ht="14.25">
      <c r="A4" s="2418" t="s">
        <v>2114</v>
      </c>
      <c r="B4" s="2419" t="s">
        <v>2115</v>
      </c>
      <c r="C4" s="2420" t="s">
        <v>3041</v>
      </c>
      <c r="D4" s="2420" t="s">
        <v>3361</v>
      </c>
      <c r="E4" s="3179" t="s">
        <v>2116</v>
      </c>
      <c r="F4" s="3180"/>
      <c r="G4" s="3180"/>
      <c r="H4" s="3180"/>
      <c r="I4" s="3188"/>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62" t="s">
        <v>2117</v>
      </c>
      <c r="B5" s="3075">
        <v>25</v>
      </c>
      <c r="C5" s="3165"/>
      <c r="D5" s="3185"/>
      <c r="E5" s="139" t="s">
        <v>2118</v>
      </c>
      <c r="F5" s="2422"/>
      <c r="G5" s="2422"/>
      <c r="H5" s="2422"/>
      <c r="I5" s="1827"/>
    </row>
    <row r="6" spans="1:12" ht="12.75">
      <c r="A6" s="3162"/>
      <c r="B6" s="3075"/>
      <c r="C6" s="3166"/>
      <c r="D6" s="3185"/>
      <c r="E6" s="139" t="s">
        <v>2119</v>
      </c>
      <c r="F6" s="2422"/>
      <c r="G6" s="2422"/>
      <c r="H6" s="2422"/>
      <c r="I6" s="1827"/>
    </row>
    <row r="7" spans="1:12" ht="12.75">
      <c r="A7" s="3162"/>
      <c r="B7" s="3075"/>
      <c r="C7" s="3167"/>
      <c r="D7" s="3185"/>
      <c r="E7" s="139" t="s">
        <v>2120</v>
      </c>
      <c r="F7" s="2422"/>
      <c r="G7" s="2422"/>
      <c r="H7" s="2422"/>
      <c r="I7" s="1827"/>
    </row>
    <row r="8" spans="1:12" ht="12.75">
      <c r="A8" s="3162" t="s">
        <v>2121</v>
      </c>
      <c r="B8" s="3075">
        <v>15</v>
      </c>
      <c r="C8" s="3165"/>
      <c r="D8" s="3185"/>
      <c r="E8" s="139" t="s">
        <v>2122</v>
      </c>
      <c r="F8" s="2422"/>
      <c r="G8" s="2422"/>
      <c r="H8" s="2422"/>
      <c r="I8" s="1827"/>
    </row>
    <row r="9" spans="1:12" ht="12.75">
      <c r="A9" s="3162"/>
      <c r="B9" s="3075"/>
      <c r="C9" s="3167"/>
      <c r="D9" s="3185"/>
      <c r="E9" s="139" t="s">
        <v>2123</v>
      </c>
      <c r="F9" s="2422"/>
      <c r="G9" s="2422"/>
      <c r="H9" s="2422"/>
      <c r="I9" s="1827"/>
    </row>
    <row r="10" spans="1:12" ht="12.75">
      <c r="A10" s="3162" t="s">
        <v>2124</v>
      </c>
      <c r="B10" s="3075">
        <v>15</v>
      </c>
      <c r="C10" s="3165"/>
      <c r="D10" s="3185"/>
      <c r="E10" s="139" t="s">
        <v>2125</v>
      </c>
      <c r="F10" s="2422"/>
      <c r="G10" s="2422"/>
      <c r="H10" s="2422"/>
      <c r="I10" s="1827"/>
    </row>
    <row r="11" spans="1:12" ht="12.75">
      <c r="A11" s="3162"/>
      <c r="B11" s="3075"/>
      <c r="C11" s="3167"/>
      <c r="D11" s="3185"/>
      <c r="E11" s="139" t="s">
        <v>2126</v>
      </c>
      <c r="F11" s="2422"/>
      <c r="G11" s="2422"/>
      <c r="H11" s="2422"/>
      <c r="I11" s="1827"/>
    </row>
    <row r="12" spans="1:12" ht="12.75">
      <c r="A12" s="3162" t="s">
        <v>2127</v>
      </c>
      <c r="B12" s="3075">
        <v>15</v>
      </c>
      <c r="C12" s="3165"/>
      <c r="D12" s="3185"/>
      <c r="E12" s="139" t="s">
        <v>2128</v>
      </c>
      <c r="F12" s="2422"/>
      <c r="G12" s="2422"/>
      <c r="H12" s="2422"/>
      <c r="I12" s="1827"/>
    </row>
    <row r="13" spans="1:12" ht="12.75">
      <c r="A13" s="3162"/>
      <c r="B13" s="3075"/>
      <c r="C13" s="3167"/>
      <c r="D13" s="3185"/>
      <c r="E13" s="139" t="s">
        <v>2129</v>
      </c>
      <c r="F13" s="2422"/>
      <c r="G13" s="2422"/>
      <c r="H13" s="2422"/>
      <c r="I13" s="1827"/>
    </row>
    <row r="14" spans="1:12" ht="12.75">
      <c r="A14" s="3162" t="s">
        <v>2130</v>
      </c>
      <c r="B14" s="3075">
        <v>30</v>
      </c>
      <c r="C14" s="3165">
        <v>6</v>
      </c>
      <c r="D14" s="3185">
        <v>4</v>
      </c>
      <c r="E14" s="139" t="s">
        <v>2131</v>
      </c>
      <c r="F14" s="2422"/>
      <c r="G14" s="2422"/>
      <c r="H14" s="2422"/>
      <c r="I14" s="1827"/>
    </row>
    <row r="15" spans="1:12" ht="12.75">
      <c r="A15" s="3162"/>
      <c r="B15" s="3075"/>
      <c r="C15" s="3166"/>
      <c r="D15" s="3185"/>
      <c r="E15" s="139" t="s">
        <v>2132</v>
      </c>
      <c r="F15" s="2422"/>
      <c r="G15" s="2422"/>
      <c r="H15" s="2422"/>
      <c r="I15" s="1827"/>
    </row>
    <row r="16" spans="1:12" ht="12.75">
      <c r="A16" s="3162"/>
      <c r="B16" s="3075"/>
      <c r="C16" s="3167"/>
      <c r="D16" s="3185"/>
      <c r="E16" s="139" t="s">
        <v>2133</v>
      </c>
      <c r="F16" s="2422"/>
      <c r="G16" s="2422"/>
      <c r="H16" s="2422"/>
      <c r="I16" s="1827"/>
    </row>
    <row r="17" spans="1:35" ht="15">
      <c r="A17" s="2423" t="s">
        <v>2134</v>
      </c>
      <c r="B17" s="64"/>
      <c r="C17" s="140">
        <f>SUM(C5:C16)</f>
        <v>6</v>
      </c>
      <c r="D17" s="140">
        <f>SUM(D5:D16)</f>
        <v>4</v>
      </c>
      <c r="E17" s="137"/>
      <c r="F17" s="137"/>
      <c r="G17" s="137"/>
      <c r="H17" s="137"/>
      <c r="I17" s="137"/>
      <c r="K17" s="2421"/>
      <c r="L17" s="2424" t="s">
        <v>2135</v>
      </c>
      <c r="M17" s="2424" t="s">
        <v>2136</v>
      </c>
    </row>
    <row r="18" spans="1:35" ht="15.75" thickBot="1">
      <c r="A18" s="2425" t="s">
        <v>2137</v>
      </c>
      <c r="B18" s="2426"/>
      <c r="C18" s="141">
        <f>ROUND(C17/SUM(C17:D17),2)</f>
        <v>0.6</v>
      </c>
      <c r="D18" s="141">
        <f>1-C18</f>
        <v>0.4</v>
      </c>
      <c r="E18" s="137"/>
      <c r="F18" s="137"/>
      <c r="G18" s="137"/>
      <c r="H18" s="137"/>
      <c r="I18" s="137"/>
      <c r="K18" s="2421" t="s">
        <v>2138</v>
      </c>
      <c r="L18" s="2421">
        <f>IF(C1="",'数据-汇总表'!E3,SUMIF(项目类型,C1,'数据-汇总表'!E17:E26)+SUMIF(项目类型,C1,'数据-汇总表'!I17:I26))</f>
        <v>75745.560000000012</v>
      </c>
      <c r="M18" s="2421">
        <f>IF(C1="",'数据-汇总表'!E3,SUMIF(项目类型,C1,'数据-汇总表'!E17:E26))</f>
        <v>75745.560000000012</v>
      </c>
    </row>
    <row r="19" spans="1:35" ht="15">
      <c r="A19" s="2427" t="s">
        <v>2139</v>
      </c>
      <c r="B19" s="2428" t="s">
        <v>2140</v>
      </c>
      <c r="C19" s="142">
        <f ca="1">SUMIF(INDIRECT("'"&amp;C4&amp;"'"&amp;"!A:A"),结果表!B19,INDIRECT("'"&amp;C4&amp;"'"&amp;"!B:B"))</f>
        <v>48298</v>
      </c>
      <c r="D19" s="143">
        <f ca="1">SUMIF(INDIRECT("'"&amp;D4&amp;"'"&amp;"!A:A"),结果表!B19,INDIRECT("'"&amp;D4&amp;"'"&amp;"!B:B"))</f>
        <v>31974</v>
      </c>
      <c r="E19" s="2427" t="s">
        <v>2141</v>
      </c>
      <c r="F19" s="2428" t="s">
        <v>2140</v>
      </c>
      <c r="G19" s="144">
        <f ca="1">ROUND(C19*$C$18+D19*$D$18,0)</f>
        <v>41768</v>
      </c>
      <c r="H19" s="2429" t="s">
        <v>2142</v>
      </c>
      <c r="I19" s="137"/>
      <c r="K19" s="2421" t="s">
        <v>2143</v>
      </c>
      <c r="L19" s="2421">
        <f>IF(C1="",'数据-汇总表'!D3,SUMIF(项目类型,C1,'数据-汇总表'!D17:D26)+SUMIF(项目类型,C1,'数据-汇总表'!H17:H27))</f>
        <v>40729.97</v>
      </c>
      <c r="M19" s="2421">
        <f>IF(C1="",'数据-汇总表'!D3,SUMIF(项目类型,C1,'数据-汇总表'!D17:D26))</f>
        <v>40729.97</v>
      </c>
    </row>
    <row r="20" spans="1:35" ht="15">
      <c r="A20" s="2430"/>
      <c r="B20" s="1244" t="s">
        <v>2144</v>
      </c>
      <c r="C20" s="145">
        <f ca="1">SUMIF(INDIRECT("'"&amp;C4&amp;"'"&amp;"!A:A"),结果表!B20,INDIRECT("'"&amp;C4&amp;"'"&amp;"!B:B"))</f>
        <v>6376</v>
      </c>
      <c r="D20" s="146">
        <f ca="1">SUMIF(INDIRECT("'"&amp;D4&amp;"'"&amp;"!A:A"),结果表!B20,INDIRECT("'"&amp;D4&amp;"'"&amp;"!B:B"))</f>
        <v>4221</v>
      </c>
      <c r="E20" s="2430"/>
      <c r="F20" s="1244" t="s">
        <v>2144</v>
      </c>
      <c r="G20" s="147">
        <f ca="1">ROUND(C20*$C$18+D20*$D$18,0)</f>
        <v>5514</v>
      </c>
      <c r="H20" s="977" t="s">
        <v>2145</v>
      </c>
      <c r="I20" s="137"/>
    </row>
    <row r="21" spans="1:35" ht="15" customHeight="1" thickBot="1">
      <c r="A21" s="997"/>
      <c r="B21" s="2431" t="s">
        <v>2146</v>
      </c>
      <c r="C21" s="788">
        <f ca="1">ROUND(C19*10000/L19,0)</f>
        <v>11858</v>
      </c>
      <c r="D21" s="789">
        <f ca="1">ROUND(D19*10000/L19,0)</f>
        <v>7850</v>
      </c>
      <c r="E21" s="997"/>
      <c r="F21" s="2431" t="s">
        <v>2146</v>
      </c>
      <c r="G21" s="148">
        <f ca="1">ROUND(G19*10000/L19,0)</f>
        <v>10255</v>
      </c>
      <c r="H21" s="2432" t="s">
        <v>2145</v>
      </c>
      <c r="I21" s="137"/>
    </row>
    <row r="22" spans="1:35" ht="15" thickBot="1">
      <c r="A22" s="2273" t="s">
        <v>2147</v>
      </c>
      <c r="B22" s="2433"/>
      <c r="C22" s="2434"/>
      <c r="D22" s="790">
        <f ca="1">IF(C19&lt;D19,D19/C19-1,C19/D19-1)</f>
        <v>0.51053981359854883</v>
      </c>
      <c r="E22" s="137"/>
      <c r="F22" s="137"/>
      <c r="G22" s="137"/>
      <c r="H22" s="137"/>
      <c r="I22" s="137"/>
    </row>
    <row r="23" spans="1:35" ht="13.5" thickBot="1">
      <c r="A23" s="2411"/>
      <c r="B23" s="2411"/>
      <c r="C23" s="2411"/>
      <c r="D23" s="2411"/>
      <c r="E23" s="137"/>
      <c r="F23" s="137"/>
      <c r="G23" s="137"/>
      <c r="H23" s="137"/>
      <c r="I23" s="137"/>
    </row>
    <row r="24" spans="1:35" ht="14.25">
      <c r="A24" s="3156" t="s">
        <v>2148</v>
      </c>
      <c r="B24" s="2428" t="s">
        <v>2140</v>
      </c>
      <c r="C24" s="144">
        <f>IF(B30=0,0,D30)</f>
        <v>0</v>
      </c>
      <c r="D24" s="2435"/>
      <c r="E24" s="137"/>
      <c r="F24" s="137"/>
      <c r="G24" s="137"/>
      <c r="H24" s="137"/>
      <c r="I24" s="137"/>
    </row>
    <row r="25" spans="1:35" ht="14.25">
      <c r="A25" s="3157"/>
      <c r="B25" s="1244" t="s">
        <v>2144</v>
      </c>
      <c r="C25" s="149">
        <f>IF(B30=0,0,C30)</f>
        <v>0</v>
      </c>
      <c r="D25" s="2436"/>
      <c r="E25" s="137"/>
      <c r="F25" s="137"/>
      <c r="G25" s="137"/>
      <c r="H25" s="137"/>
      <c r="I25" s="137"/>
    </row>
    <row r="26" spans="1:35" ht="13.5" customHeight="1">
      <c r="A26" s="2437" t="s">
        <v>2149</v>
      </c>
      <c r="B26" s="150" t="s">
        <v>2150</v>
      </c>
      <c r="C26" s="150" t="s">
        <v>2151</v>
      </c>
      <c r="D26" s="151" t="s">
        <v>2152</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2153</v>
      </c>
      <c r="B30" s="150"/>
      <c r="C30" s="150"/>
      <c r="D30" s="150"/>
      <c r="E30" s="2915" t="s">
        <v>3024</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2154</v>
      </c>
      <c r="B32" s="2441"/>
      <c r="C32" s="152">
        <f ca="1">IF(D32="总价",G19-C24,G20-C25)</f>
        <v>41768</v>
      </c>
      <c r="D32" s="2442" t="s">
        <v>2155</v>
      </c>
      <c r="E32" s="137"/>
      <c r="F32" s="137"/>
      <c r="G32" s="137"/>
      <c r="H32" s="137"/>
      <c r="I32" s="137"/>
    </row>
    <row r="33" spans="1:15" ht="15">
      <c r="A33" s="954" t="s">
        <v>2156</v>
      </c>
      <c r="B33" s="2443"/>
      <c r="C33" s="2444" t="s">
        <v>3044</v>
      </c>
      <c r="D33" s="2445" t="s">
        <v>3041</v>
      </c>
      <c r="E33" s="2446" t="s">
        <v>2157</v>
      </c>
      <c r="F33" s="2447" t="str">
        <f>IF(D32="楼面单价","取值（单价）","取值（总价）")</f>
        <v>取值（总价）</v>
      </c>
      <c r="G33" s="137"/>
      <c r="H33" s="137"/>
      <c r="I33" s="137"/>
    </row>
    <row r="34" spans="1:15" ht="15">
      <c r="A34" s="2448"/>
      <c r="B34" s="2449" t="s">
        <v>2158</v>
      </c>
      <c r="C34" s="156">
        <f ca="1">IF(C33="自定义",F34,C32-C35)</f>
        <v>13575</v>
      </c>
      <c r="D34" s="1052">
        <f ca="1">IF(C33="自定义",ROUND(C34/C32,3),IF(C33="收益比率",SUMIF(INDIRECT("'"&amp;D33&amp;"'"&amp;"!b:b"),"土地收益比率",INDIRECT("'"&amp;D33&amp;"'"&amp;"!c:c")),SUMIF(INDIRECT("'"&amp;D33&amp;"'"&amp;"!b:b"),"土地成本比率",INDIRECT("'"&amp;D33&amp;"'"&amp;"!c:c"))))</f>
        <v>0.32499999999999996</v>
      </c>
      <c r="E34" s="2450" t="s">
        <v>2159</v>
      </c>
      <c r="F34" s="1732"/>
      <c r="G34" s="137"/>
      <c r="H34" s="137"/>
      <c r="I34" s="137"/>
    </row>
    <row r="35" spans="1:15" ht="15.75" thickBot="1">
      <c r="A35" s="2451"/>
      <c r="B35" s="2452" t="s">
        <v>2160</v>
      </c>
      <c r="C35" s="1438">
        <f ca="1">IF(C33="自定义",F35,ROUND(C32*D35,0))</f>
        <v>28193</v>
      </c>
      <c r="D35" s="1439">
        <f ca="1">IF(C33="自定义",ROUND(C35/C32,3),IF(C33="收益比率",SUMIF(INDIRECT("'"&amp;D33&amp;"'"&amp;"!b:b"),"建筑物收益比率",INDIRECT("'"&amp;D33&amp;"'"&amp;"!c:c")),SUMIF(INDIRECT("'"&amp;D33&amp;"'"&amp;"!b:b"),"建筑物成本比率",INDIRECT("'"&amp;D33&amp;"'"&amp;"!c:c"))))</f>
        <v>0.67500000000000004</v>
      </c>
      <c r="E35" s="2453" t="s">
        <v>2161</v>
      </c>
      <c r="F35" s="162"/>
      <c r="G35" s="137"/>
      <c r="H35" s="137"/>
      <c r="I35" s="137"/>
    </row>
    <row r="36" spans="1:15" ht="15.75" thickBot="1">
      <c r="A36" s="3174" t="s">
        <v>2162</v>
      </c>
      <c r="B36" s="2454" t="s">
        <v>2163</v>
      </c>
      <c r="C36" s="153"/>
      <c r="D36" s="2455"/>
      <c r="E36" s="2456"/>
      <c r="F36" s="2457"/>
      <c r="G36" s="137"/>
      <c r="H36" s="137"/>
      <c r="I36" s="137"/>
    </row>
    <row r="37" spans="1:15" ht="15.75" thickBot="1">
      <c r="A37" s="3175"/>
      <c r="B37" s="2259" t="s">
        <v>2164</v>
      </c>
      <c r="C37" s="155"/>
      <c r="D37" s="1389"/>
      <c r="E37" s="1389"/>
      <c r="F37" s="2457"/>
      <c r="G37" s="137"/>
      <c r="H37" s="137"/>
      <c r="I37" s="137"/>
    </row>
    <row r="38" spans="1:15" ht="15.75" thickBot="1">
      <c r="A38" s="3176"/>
      <c r="B38" s="2458" t="s">
        <v>2165</v>
      </c>
      <c r="C38" s="726"/>
      <c r="D38" s="2459" t="s">
        <v>2166</v>
      </c>
      <c r="E38" s="1389"/>
      <c r="F38" s="2457"/>
      <c r="G38" s="137"/>
      <c r="H38" s="137"/>
      <c r="I38" s="137"/>
    </row>
    <row r="39" spans="1:15" ht="15">
      <c r="A39" s="2430" t="s">
        <v>2167</v>
      </c>
      <c r="B39" s="2460" t="s">
        <v>2168</v>
      </c>
      <c r="C39" s="2461" t="s">
        <v>2169</v>
      </c>
      <c r="D39" s="2461" t="s">
        <v>2170</v>
      </c>
      <c r="E39" s="2462" t="s">
        <v>2171</v>
      </c>
      <c r="F39" s="2457"/>
      <c r="G39" s="137"/>
      <c r="H39" s="137"/>
      <c r="I39" s="137"/>
    </row>
    <row r="40" spans="1:15" ht="14.25">
      <c r="A40" s="2463" t="s">
        <v>2172</v>
      </c>
      <c r="B40" s="157"/>
      <c r="C40" s="158"/>
      <c r="D40" s="158"/>
      <c r="E40" s="159"/>
      <c r="F40" s="2457"/>
      <c r="G40" s="137"/>
      <c r="H40" s="137"/>
      <c r="I40" s="137"/>
    </row>
    <row r="41" spans="1:15" ht="14.25">
      <c r="A41" s="2463" t="s">
        <v>2173</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8"/>
      <c r="B43" s="2158"/>
      <c r="C43" s="2158"/>
      <c r="D43" s="2158"/>
      <c r="E43" s="2158"/>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153" t="s">
        <v>2176</v>
      </c>
      <c r="B45" s="3154"/>
      <c r="C45" s="3155"/>
      <c r="D45" s="163">
        <f ca="1">ROUND(H101*F45,0)</f>
        <v>41768</v>
      </c>
      <c r="E45" s="164" t="s">
        <v>2177</v>
      </c>
      <c r="F45" s="165">
        <v>1</v>
      </c>
      <c r="G45" s="166" t="s">
        <v>2178</v>
      </c>
      <c r="H45" s="137"/>
      <c r="I45" s="137"/>
      <c r="J45" s="3213" t="s">
        <v>2179</v>
      </c>
      <c r="K45" s="3213"/>
      <c r="L45" s="3213"/>
      <c r="M45" s="3213"/>
      <c r="N45" s="3213"/>
      <c r="O45" s="3213"/>
    </row>
    <row r="46" spans="1:15" ht="14.25" customHeight="1">
      <c r="A46" s="3150" t="s">
        <v>2180</v>
      </c>
      <c r="B46" s="3151"/>
      <c r="C46" s="3151"/>
      <c r="D46" s="3151"/>
      <c r="E46" s="3151"/>
      <c r="F46" s="3151"/>
      <c r="G46" s="3152"/>
      <c r="H46" s="2473"/>
      <c r="I46" s="167"/>
      <c r="J46" s="1805">
        <v>1</v>
      </c>
      <c r="K46" s="3213" t="s">
        <v>2181</v>
      </c>
      <c r="L46" s="3213"/>
      <c r="M46" s="3233"/>
      <c r="N46" s="3233"/>
      <c r="O46" s="3233"/>
    </row>
    <row r="47" spans="1:15" ht="12" customHeight="1">
      <c r="A47" s="168" t="s">
        <v>2182</v>
      </c>
      <c r="B47" s="169"/>
      <c r="C47" s="170"/>
      <c r="D47" s="171" t="s">
        <v>2183</v>
      </c>
      <c r="E47" s="24" t="s">
        <v>2184</v>
      </c>
      <c r="F47" s="172" t="s">
        <v>2185</v>
      </c>
      <c r="G47" s="173" t="s">
        <v>2186</v>
      </c>
      <c r="H47" s="2473"/>
      <c r="I47" s="167"/>
      <c r="J47" s="1805">
        <v>2</v>
      </c>
      <c r="K47" s="3213" t="s">
        <v>2187</v>
      </c>
      <c r="L47" s="3213"/>
      <c r="M47" s="3234">
        <f>'数据-取费表'!B2</f>
        <v>43525</v>
      </c>
      <c r="N47" s="3234"/>
      <c r="O47" s="3234"/>
    </row>
    <row r="48" spans="1:15" ht="25.5">
      <c r="A48" s="3181" t="s">
        <v>2188</v>
      </c>
      <c r="B48" s="3164"/>
      <c r="C48" s="3164"/>
      <c r="D48" s="139">
        <f>IF(H48="情况1",0,IF(H48="情况2",D52,IF(H48="情况3",D53,IF(H48="情况4",D54))))</f>
        <v>0</v>
      </c>
      <c r="E48" s="1794" t="str">
        <f>IF(H48="情况4","(销售额-原购置价)×税（费）率","销售额×税（费）率")</f>
        <v>销售额×税（费）率</v>
      </c>
      <c r="F48" s="174" t="str">
        <f>IF(H48="情况1","免征",'数据-取费表'!B41)</f>
        <v>免征</v>
      </c>
      <c r="G48" s="2474" t="s">
        <v>2189</v>
      </c>
      <c r="H48" s="2475" t="s">
        <v>2190</v>
      </c>
      <c r="I48" s="2473"/>
      <c r="J48" s="1805">
        <v>3</v>
      </c>
      <c r="K48" s="3213" t="s">
        <v>2191</v>
      </c>
      <c r="L48" s="3213"/>
      <c r="M48" s="3235">
        <f ca="1">H101</f>
        <v>41768</v>
      </c>
      <c r="N48" s="3235"/>
      <c r="O48" s="3235"/>
    </row>
    <row r="49" spans="1:35" ht="25.5" customHeight="1">
      <c r="A49" s="175" t="s">
        <v>2192</v>
      </c>
      <c r="B49" s="3149" t="s">
        <v>2193</v>
      </c>
      <c r="C49" s="3149"/>
      <c r="D49" s="176">
        <v>0</v>
      </c>
      <c r="E49" s="23" t="s">
        <v>2194</v>
      </c>
      <c r="F49" s="28" t="s">
        <v>34</v>
      </c>
      <c r="G49" s="3219"/>
      <c r="H49" s="137"/>
      <c r="I49" s="2476"/>
      <c r="J49" s="1805">
        <v>4</v>
      </c>
      <c r="K49" s="3213" t="str">
        <f>IF(项目基本情况!E8="房地产抵押价值","房地产抵押价值","抵押担保权已注销时的房地产抵押价值")</f>
        <v>抵押担保权已注销时的房地产抵押价值</v>
      </c>
      <c r="L49" s="3213"/>
      <c r="M49" s="3235">
        <f ca="1">IF(项目基本情况!E8="房地产抵押价值",H107,H109)</f>
        <v>41768</v>
      </c>
      <c r="N49" s="3235"/>
      <c r="O49" s="3235"/>
    </row>
    <row r="50" spans="1:35" ht="25.5" customHeight="1">
      <c r="A50" s="177"/>
      <c r="B50" s="3149" t="s">
        <v>2195</v>
      </c>
      <c r="C50" s="3149"/>
      <c r="D50" s="178"/>
      <c r="E50" s="31"/>
      <c r="F50" s="179"/>
      <c r="G50" s="3220"/>
      <c r="H50" s="137"/>
      <c r="I50" s="2476"/>
      <c r="J50" s="3213" t="s">
        <v>2196</v>
      </c>
      <c r="K50" s="3213"/>
      <c r="L50" s="3213"/>
      <c r="M50" s="3213"/>
      <c r="N50" s="3213"/>
      <c r="O50" s="3213"/>
    </row>
    <row r="51" spans="1:35" ht="12" customHeight="1">
      <c r="A51" s="180"/>
      <c r="B51" s="3149" t="s">
        <v>2197</v>
      </c>
      <c r="C51" s="3149"/>
      <c r="D51" s="181"/>
      <c r="E51" s="30"/>
      <c r="F51" s="179"/>
      <c r="G51" s="3221"/>
      <c r="H51" s="137"/>
      <c r="I51" s="2476"/>
      <c r="J51" s="2477" t="s">
        <v>2198</v>
      </c>
      <c r="K51" s="3213" t="s">
        <v>2199</v>
      </c>
      <c r="L51" s="3213"/>
      <c r="M51" s="2477" t="s">
        <v>2200</v>
      </c>
      <c r="N51" s="2477" t="s">
        <v>2201</v>
      </c>
      <c r="O51" s="2477" t="s">
        <v>2202</v>
      </c>
    </row>
    <row r="52" spans="1:35" ht="24" customHeight="1">
      <c r="A52" s="182" t="s">
        <v>2203</v>
      </c>
      <c r="B52" s="3149" t="s">
        <v>2204</v>
      </c>
      <c r="C52" s="3149"/>
      <c r="D52" s="181">
        <f ca="1">ROUND(D45*'数据-取费表'!B41/(1+'数据-取费表'!C42),0)</f>
        <v>2228</v>
      </c>
      <c r="E52" s="11" t="s">
        <v>2205</v>
      </c>
      <c r="F52" s="183">
        <f>'数据-取费表'!B41</f>
        <v>5.6000000000000001E-2</v>
      </c>
      <c r="G52" s="2478"/>
      <c r="H52" s="137"/>
      <c r="I52" s="2476"/>
      <c r="J52" s="1805">
        <v>1</v>
      </c>
      <c r="K52" s="3214" t="s">
        <v>2206</v>
      </c>
      <c r="L52" s="3214"/>
      <c r="M52" s="1747">
        <f>D48</f>
        <v>0</v>
      </c>
      <c r="N52" s="1805" t="str">
        <f>E48</f>
        <v>销售额×税（费）率</v>
      </c>
      <c r="O52" s="1748" t="str">
        <f>F48</f>
        <v>免征</v>
      </c>
    </row>
    <row r="53" spans="1:35" ht="12" customHeight="1">
      <c r="A53" s="182" t="s">
        <v>2207</v>
      </c>
      <c r="B53" s="3172" t="s">
        <v>2208</v>
      </c>
      <c r="C53" s="3173"/>
      <c r="D53" s="181">
        <f ca="1">ROUND(D45*'数据-取费表'!B41/(1+'数据-取费表'!C42),0)</f>
        <v>2228</v>
      </c>
      <c r="E53" s="11" t="s">
        <v>2205</v>
      </c>
      <c r="F53" s="183">
        <f>'数据-取费表'!B41</f>
        <v>5.6000000000000001E-2</v>
      </c>
      <c r="G53" s="2478"/>
      <c r="H53" s="137"/>
      <c r="I53" s="2476"/>
      <c r="J53" s="1805">
        <v>2</v>
      </c>
      <c r="K53" s="3214" t="s">
        <v>2209</v>
      </c>
      <c r="L53" s="3214"/>
      <c r="M53" s="1747">
        <f t="shared" ref="M53:O54" ca="1" si="0">D55</f>
        <v>21</v>
      </c>
      <c r="N53" s="1805" t="str">
        <f t="shared" si="0"/>
        <v>销售额×税（费）率</v>
      </c>
      <c r="O53" s="1748">
        <f t="shared" si="0"/>
        <v>5.0000000000000001E-4</v>
      </c>
    </row>
    <row r="54" spans="1:35" ht="12" customHeight="1">
      <c r="A54" s="182" t="s">
        <v>2210</v>
      </c>
      <c r="B54" s="3172" t="s">
        <v>2211</v>
      </c>
      <c r="C54" s="3173"/>
      <c r="D54" s="181">
        <f ca="1">C68</f>
        <v>2228</v>
      </c>
      <c r="E54" s="30" t="s">
        <v>2212</v>
      </c>
      <c r="F54" s="183">
        <f>'数据-取费表'!B41</f>
        <v>5.6000000000000001E-2</v>
      </c>
      <c r="G54" s="2478"/>
      <c r="H54" s="2479"/>
      <c r="I54" s="2476"/>
      <c r="J54" s="1805">
        <v>3</v>
      </c>
      <c r="K54" s="3214" t="s">
        <v>2213</v>
      </c>
      <c r="L54" s="3214"/>
      <c r="M54" s="1747">
        <f t="shared" ca="1" si="0"/>
        <v>23640</v>
      </c>
      <c r="N54" s="1805" t="str">
        <f t="shared" si="0"/>
        <v>增值额×税（费）率</v>
      </c>
      <c r="O54" s="1749" t="str">
        <f t="shared" si="0"/>
        <v>——</v>
      </c>
    </row>
    <row r="55" spans="1:35" ht="24" customHeight="1">
      <c r="A55" s="3163" t="s">
        <v>2214</v>
      </c>
      <c r="B55" s="3164"/>
      <c r="C55" s="3164"/>
      <c r="D55" s="184">
        <f ca="1">IF(H55="个人住宅",0,ROUND(D45*I55,0))</f>
        <v>21</v>
      </c>
      <c r="E55" s="11" t="s">
        <v>2215</v>
      </c>
      <c r="F55" s="183">
        <f>IF(H55="正常",I55,"免征")</f>
        <v>5.0000000000000001E-4</v>
      </c>
      <c r="G55" s="2478"/>
      <c r="H55" s="2475" t="s">
        <v>2216</v>
      </c>
      <c r="I55" s="185">
        <f>'数据-取费表'!B49</f>
        <v>5.0000000000000001E-4</v>
      </c>
      <c r="J55" s="1805" t="str">
        <f>IF(H59="非个人房产","",4)</f>
        <v/>
      </c>
      <c r="K55" s="3214" t="str">
        <f>IF(H59="非个人房产","——","个人所得税")</f>
        <v>——</v>
      </c>
      <c r="L55" s="3214"/>
      <c r="M55" s="1750" t="str">
        <f>D59</f>
        <v>——</v>
      </c>
      <c r="N55" s="1803" t="str">
        <f>E59</f>
        <v>——</v>
      </c>
      <c r="O55" s="1751" t="str">
        <f>F59</f>
        <v>——</v>
      </c>
    </row>
    <row r="56" spans="1:35" ht="24.75">
      <c r="A56" s="3163" t="s">
        <v>2217</v>
      </c>
      <c r="B56" s="3164"/>
      <c r="C56" s="3164"/>
      <c r="D56" s="184">
        <f ca="1">IF(H56="个人住宅",D57,D58)</f>
        <v>23640</v>
      </c>
      <c r="E56" s="11" t="s">
        <v>2218</v>
      </c>
      <c r="F56" s="183" t="str">
        <f>IF(H56="正常",F58,"免征")</f>
        <v>——</v>
      </c>
      <c r="G56" s="2480" t="s">
        <v>2219</v>
      </c>
      <c r="H56" s="2481" t="s">
        <v>2216</v>
      </c>
      <c r="I56" s="2482"/>
      <c r="J56" s="1805" t="str">
        <f>IF(项目基本情况!K6="上海银行",IF(J55="",4,J55+1),"")</f>
        <v/>
      </c>
      <c r="K56" s="3237" t="str">
        <f>IF(项目基本情况!K6="上海银行","其他处置费用","")</f>
        <v/>
      </c>
      <c r="L56" s="3238"/>
      <c r="M56" s="1747" t="str">
        <f>IF(项目基本情况!K6="上海银行",M69,"")</f>
        <v/>
      </c>
      <c r="N56" s="3240" t="str">
        <f>IF(项目基本情况!K6="上海银行","包含处置中涉及的律师、诉讼、拍卖、评估等费用","")</f>
        <v/>
      </c>
      <c r="O56" s="3241"/>
    </row>
    <row r="57" spans="1:35" ht="12.75">
      <c r="A57" s="182" t="s">
        <v>2192</v>
      </c>
      <c r="B57" s="3179" t="s">
        <v>2220</v>
      </c>
      <c r="C57" s="3188"/>
      <c r="D57" s="186">
        <v>0</v>
      </c>
      <c r="E57" s="23" t="s">
        <v>2194</v>
      </c>
      <c r="F57" s="154"/>
      <c r="G57" s="2478"/>
      <c r="H57" s="2482"/>
      <c r="I57" s="2482"/>
      <c r="J57" s="3214">
        <f>IF(AND(J55="",J56=""),4,IF(项目基本情况!K6="上海银行",结果表!J56+1,结果表!J55+1))</f>
        <v>4</v>
      </c>
      <c r="K57" s="3214" t="s">
        <v>2221</v>
      </c>
      <c r="L57" s="2483" t="s">
        <v>2222</v>
      </c>
      <c r="M57" s="1752"/>
      <c r="N57" s="1753">
        <f ca="1">SUMIF(M52:M56,"&lt;9e307")</f>
        <v>23661</v>
      </c>
      <c r="O57" s="2484"/>
      <c r="P57" s="1746">
        <f ca="1">N57/M49</f>
        <v>0.56648630530549704</v>
      </c>
    </row>
    <row r="58" spans="1:35" ht="24.75">
      <c r="A58" s="182" t="s">
        <v>2203</v>
      </c>
      <c r="B58" s="3179" t="s">
        <v>2223</v>
      </c>
      <c r="C58" s="3180"/>
      <c r="D58" s="184">
        <f ca="1">IF(H58="转让取得",C81,C97)</f>
        <v>23640</v>
      </c>
      <c r="E58" s="11" t="s">
        <v>2218</v>
      </c>
      <c r="F58" s="24" t="s">
        <v>34</v>
      </c>
      <c r="G58" s="2478"/>
      <c r="H58" s="2481" t="s">
        <v>2224</v>
      </c>
      <c r="I58" s="2482"/>
      <c r="J58" s="3214"/>
      <c r="K58" s="3214"/>
      <c r="L58" s="2483" t="s">
        <v>2225</v>
      </c>
      <c r="M58" s="1754"/>
      <c r="N58" s="2485" t="str">
        <f ca="1">NUMBERSTRING(INT(N57*10000),2)&amp;"元整"</f>
        <v>贰亿叁仟陆佰陆拾壹万元整</v>
      </c>
      <c r="O58" s="2486"/>
    </row>
    <row r="59" spans="1:35" ht="24.75" thickBot="1">
      <c r="A59" s="3217" t="s">
        <v>2226</v>
      </c>
      <c r="B59" s="3218"/>
      <c r="C59" s="3218"/>
      <c r="D59" s="187" t="str">
        <f>IF(H59="非个人房产","——",IF(H59="个人住宅",0,ROUND(D45*I59,0)))</f>
        <v>——</v>
      </c>
      <c r="E59" s="188" t="str">
        <f>IF(H59="非个人房产","——","销售额×税（费）率")</f>
        <v>——</v>
      </c>
      <c r="F59" s="189" t="str">
        <f>IF(H59="非个人房产","——",IF(H59="个人住宅","免征",I59))</f>
        <v>——</v>
      </c>
      <c r="G59" s="2487" t="s">
        <v>2219</v>
      </c>
      <c r="H59" s="2481" t="s">
        <v>2227</v>
      </c>
      <c r="I59" s="190">
        <v>0.01</v>
      </c>
      <c r="J59" s="3215">
        <f>J57+1</f>
        <v>5</v>
      </c>
      <c r="K59" s="3214" t="s">
        <v>2228</v>
      </c>
      <c r="L59" s="1805" t="s">
        <v>2222</v>
      </c>
      <c r="M59" s="1755"/>
      <c r="N59" s="1756">
        <f ca="1">M49-N57</f>
        <v>18107</v>
      </c>
      <c r="O59" s="2488"/>
    </row>
    <row r="60" spans="1:35" ht="12" customHeight="1">
      <c r="A60" s="2489"/>
      <c r="B60" s="2411"/>
      <c r="C60" s="2411"/>
      <c r="D60" s="2411"/>
      <c r="E60" s="2159"/>
      <c r="F60" s="2482"/>
      <c r="G60" s="2482"/>
      <c r="H60" s="2490"/>
      <c r="I60" s="137"/>
      <c r="J60" s="3216"/>
      <c r="K60" s="3214"/>
      <c r="L60" s="2483" t="s">
        <v>2225</v>
      </c>
      <c r="M60" s="1754"/>
      <c r="N60" s="2485" t="str">
        <f ca="1">NUMBERSTRING(INT(N59*10000),2)&amp;"元整"</f>
        <v>壹亿捌仟壹佰零柒万元整</v>
      </c>
      <c r="O60" s="2486"/>
    </row>
    <row r="61" spans="1:35" ht="13.5" thickBot="1">
      <c r="A61" s="3161" t="s">
        <v>2229</v>
      </c>
      <c r="B61" s="3161"/>
      <c r="C61" s="3161"/>
      <c r="D61" s="3161"/>
      <c r="E61" s="3161"/>
      <c r="F61" s="2482"/>
      <c r="G61" s="2482"/>
      <c r="H61" s="2490"/>
      <c r="I61" s="137"/>
      <c r="J61" s="1805">
        <f>J59+1</f>
        <v>6</v>
      </c>
      <c r="K61" s="3214" t="s">
        <v>2230</v>
      </c>
      <c r="L61" s="3214"/>
      <c r="M61" s="1757"/>
      <c r="N61" s="1758">
        <f ca="1">ROUND(N59*10000/'数据-汇总表'!E3,0)</f>
        <v>2391</v>
      </c>
      <c r="O61" s="2491"/>
    </row>
    <row r="62" spans="1:35" ht="12.75">
      <c r="A62" s="3177" t="s">
        <v>2231</v>
      </c>
      <c r="B62" s="3178"/>
      <c r="C62" s="1797"/>
      <c r="D62" s="1797" t="s">
        <v>2232</v>
      </c>
      <c r="E62" s="191" t="s">
        <v>2233</v>
      </c>
      <c r="F62" s="2482"/>
      <c r="G62" s="2482"/>
      <c r="H62" s="2490"/>
      <c r="I62" s="137"/>
    </row>
    <row r="63" spans="1:35" ht="12.75">
      <c r="A63" s="202" t="s">
        <v>775</v>
      </c>
      <c r="B63" s="192" t="s">
        <v>2234</v>
      </c>
      <c r="C63" s="193">
        <f ca="1">ROUND((C64+C65)/(1+'数据-取费表'!C42),0)</f>
        <v>39779</v>
      </c>
      <c r="D63" s="194"/>
      <c r="E63" s="195"/>
      <c r="F63" s="2482"/>
      <c r="G63" s="2482"/>
      <c r="H63" s="2490"/>
      <c r="I63" s="137"/>
      <c r="J63" s="3239" t="s">
        <v>2235</v>
      </c>
      <c r="K63" s="2492" t="s">
        <v>2236</v>
      </c>
      <c r="L63" s="1745">
        <f ca="1">IF(M49&gt;10000,M49*0.5%,IF(AND(M49&gt;1000,M49&lt;=10000),M49*1%,IF(AND(M49&gt;100,M49&lt;=1000),M49*3%,IF(AND(M49&gt;10,M49&lt;=100),M49*5%,M49*8%))))</f>
        <v>208.84</v>
      </c>
      <c r="M63" s="24">
        <f ca="1">ROUND(L63,1)</f>
        <v>208.8</v>
      </c>
      <c r="Z63" s="2416"/>
      <c r="AI63" s="2417"/>
    </row>
    <row r="64" spans="1:35" ht="14.25" customHeight="1">
      <c r="A64" s="196" t="s">
        <v>770</v>
      </c>
      <c r="B64" s="197" t="s">
        <v>2237</v>
      </c>
      <c r="C64" s="198">
        <f ca="1">D45</f>
        <v>41768</v>
      </c>
      <c r="D64" s="199" t="s">
        <v>32</v>
      </c>
      <c r="E64" s="200"/>
      <c r="F64" s="2482"/>
      <c r="G64" s="2482"/>
      <c r="H64" s="2490"/>
      <c r="I64" s="137"/>
      <c r="J64" s="3239"/>
      <c r="K64" s="2492" t="s">
        <v>2238</v>
      </c>
      <c r="L64" s="1745">
        <f ca="1">IF(M49&gt;2000,M49*0.5%,IF(AND(M49&gt;1000,M49&lt;=2000),M49*0.6%,IF(AND(M49&gt;500,M49&lt;=1000),M49*0.7%,IF(AND(M49&gt;200,M49&lt;=500),M49*0.8%,IF(AND(M49&gt;100,M49&lt;=200),M49*0.9%,IF(AND(M49&gt;50,M49&lt;=100),M49*1%,IF(AND(M49&gt;20,M49&lt;=50),M49*1.5%,IF(AND(M49&gt;10,M49&lt;=20),M49*2%,IF(AND(M49&gt;1,M49&lt;=10),M49*2.5%)))))))))</f>
        <v>208.84</v>
      </c>
      <c r="M64" s="24">
        <f t="shared" ref="M64:M65" ca="1" si="1">ROUND(L64,1)</f>
        <v>208.8</v>
      </c>
      <c r="N64" s="137" t="s">
        <v>2239</v>
      </c>
      <c r="Z64" s="2416"/>
      <c r="AI64" s="2417"/>
    </row>
    <row r="65" spans="1:35" ht="14.25" customHeight="1">
      <c r="A65" s="196" t="s">
        <v>771</v>
      </c>
      <c r="B65" s="197" t="s">
        <v>2240</v>
      </c>
      <c r="C65" s="201"/>
      <c r="D65" s="199"/>
      <c r="E65" s="200"/>
      <c r="F65" s="2482"/>
      <c r="G65" s="2482"/>
      <c r="H65" s="2490"/>
      <c r="I65" s="137"/>
      <c r="J65" s="3239"/>
      <c r="K65" s="2492" t="s">
        <v>2241</v>
      </c>
      <c r="L65" s="1745">
        <f ca="1">IF(M49&gt;1000,M49*0.1%,IF(AND(M49&gt;500,M49&lt;=1000),M49*0.5%,IF(AND(M49&gt;50,M49&lt;=500),M49*1%,IF(AND(M49&gt;1,M49&lt;=50),M49*1.5%))))</f>
        <v>41.768000000000001</v>
      </c>
      <c r="M65" s="24">
        <f t="shared" ca="1" si="1"/>
        <v>41.8</v>
      </c>
      <c r="N65" s="137" t="s">
        <v>2239</v>
      </c>
      <c r="Z65" s="2416"/>
      <c r="AI65" s="2417"/>
    </row>
    <row r="66" spans="1:35" ht="14.25" customHeight="1">
      <c r="A66" s="202" t="s">
        <v>772</v>
      </c>
      <c r="B66" s="203" t="s">
        <v>2242</v>
      </c>
      <c r="C66" s="204"/>
      <c r="D66" s="205" t="s">
        <v>32</v>
      </c>
      <c r="E66" s="1769" t="s">
        <v>1367</v>
      </c>
      <c r="F66" s="2482"/>
      <c r="G66" s="2482"/>
      <c r="H66" s="2490"/>
      <c r="I66" s="137"/>
      <c r="J66" s="3239"/>
      <c r="K66" s="2492" t="s">
        <v>2243</v>
      </c>
      <c r="L66" s="1745">
        <f ca="1">M49*0.5%</f>
        <v>208.84</v>
      </c>
      <c r="M66" s="24">
        <f ca="1">IF(L66&gt;0.5,0.5,ROUND(L66,0))</f>
        <v>0.5</v>
      </c>
      <c r="N66" s="137" t="s">
        <v>2244</v>
      </c>
      <c r="Z66" s="2416"/>
      <c r="AI66" s="2417"/>
    </row>
    <row r="67" spans="1:35" ht="14.25" customHeight="1">
      <c r="A67" s="202" t="s">
        <v>773</v>
      </c>
      <c r="B67" s="203" t="s">
        <v>2245</v>
      </c>
      <c r="C67" s="206">
        <f ca="1">C63-C66</f>
        <v>39779</v>
      </c>
      <c r="D67" s="199" t="s">
        <v>32</v>
      </c>
      <c r="E67" s="200"/>
      <c r="F67" s="2482"/>
      <c r="G67" s="2482"/>
      <c r="H67" s="2490"/>
      <c r="I67" s="137"/>
      <c r="J67" s="3239"/>
      <c r="K67" s="2492" t="s">
        <v>2246</v>
      </c>
      <c r="L67" s="1745">
        <f ca="1">IF(M49&gt;=10000,(8.25+(M49-10000)*0.01%),IF(AND(M49&gt;=8000,M49&lt;10000),(7.85+(M49-8000)*0.02%),IF(AND(M49&gt;=5000,M49&lt;8000),(6.65+(M49-5000)*0.04%),IF(AND(M49&gt;=2000,M49&lt;5000),(4.25+(PM49-2000)*0.08%),IF(AND(M49&gt;=1000,M49&lt;2000),(2.75+(M49-1000)*0.15%),IF(AND(M49&gt;=100,M49&lt;1000),(0.5+(M49-100)*0.25%),IF(AND(M49&gt;0,M49&lt;100),M49*0.5%)))))))</f>
        <v>11.4268</v>
      </c>
      <c r="M67" s="24">
        <f ca="1">ROUND(L67*0.9,1)</f>
        <v>10.3</v>
      </c>
      <c r="Z67" s="2416"/>
      <c r="AI67" s="2417"/>
    </row>
    <row r="68" spans="1:35" ht="14.25" customHeight="1" thickBot="1">
      <c r="A68" s="207" t="s">
        <v>774</v>
      </c>
      <c r="B68" s="208" t="s">
        <v>2247</v>
      </c>
      <c r="C68" s="209">
        <f ca="1">IF(C67&lt;=0,0,ROUND(C67*D68,0))</f>
        <v>2228</v>
      </c>
      <c r="D68" s="210">
        <f>'数据-取费表'!B41</f>
        <v>5.6000000000000001E-2</v>
      </c>
      <c r="E68" s="211"/>
      <c r="F68" s="2482"/>
      <c r="G68" s="2482"/>
      <c r="H68" s="2490"/>
      <c r="I68" s="137"/>
      <c r="J68" s="3239"/>
      <c r="K68" s="2492" t="s">
        <v>2248</v>
      </c>
      <c r="L68" s="1745">
        <f ca="1">IF(M49&gt;10000,M49*0.5%,IF(AND(M49&gt;5000,M49&lt;=10000),M49*1%,IF(AND(M49&gt;1000,M49&lt;=5000),M49*2%,IF(AND(M49&gt;200,M49&lt;=1000),M49*3%,M49*5%))))</f>
        <v>208.84</v>
      </c>
      <c r="M68" s="24">
        <f ca="1">ROUND(L68,1)</f>
        <v>208.8</v>
      </c>
      <c r="Z68" s="2416"/>
      <c r="AI68" s="2417"/>
    </row>
    <row r="69" spans="1:35" s="2439" customFormat="1" ht="16.5" customHeight="1">
      <c r="A69" s="2493"/>
      <c r="B69" s="2494"/>
      <c r="C69" s="2495"/>
      <c r="D69" s="2496"/>
      <c r="E69" s="2497"/>
      <c r="F69" s="2159"/>
      <c r="G69" s="2159"/>
      <c r="H69" s="2158"/>
      <c r="I69" s="2411"/>
      <c r="J69" s="3239"/>
      <c r="K69" s="2492" t="s">
        <v>2249</v>
      </c>
      <c r="L69" s="2498"/>
      <c r="M69" s="24">
        <f ca="1">ROUND(SUM(M63:M68),0)</f>
        <v>679</v>
      </c>
      <c r="N69" s="1746">
        <f ca="1">M69/M49</f>
        <v>1.625646427887378E-2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98" t="s">
        <v>2250</v>
      </c>
      <c r="B70" s="3199"/>
      <c r="C70" s="3199"/>
      <c r="D70" s="3199"/>
      <c r="E70" s="3199"/>
      <c r="F70" s="3199"/>
      <c r="G70" s="3199"/>
      <c r="H70" s="319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7" t="s">
        <v>2231</v>
      </c>
      <c r="B71" s="3178"/>
      <c r="C71" s="1797"/>
      <c r="D71" s="1797" t="s">
        <v>2232</v>
      </c>
      <c r="E71" s="212" t="s">
        <v>2233</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2251</v>
      </c>
      <c r="C72" s="206">
        <f ca="1">ROUND(D45/(1+'数据-取费表'!C42),0)</f>
        <v>39779</v>
      </c>
      <c r="D72" s="199" t="s">
        <v>32</v>
      </c>
      <c r="E72" s="1796"/>
      <c r="F72" s="1790"/>
      <c r="G72" s="1790"/>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2252</v>
      </c>
      <c r="C73" s="206">
        <f ca="1">C74+C78</f>
        <v>239</v>
      </c>
      <c r="D73" s="199" t="s">
        <v>32</v>
      </c>
      <c r="E73" s="1796"/>
      <c r="F73" s="1790"/>
      <c r="G73" s="1790"/>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2253</v>
      </c>
      <c r="C74" s="199">
        <f>ROUND(IF(G77="2016年5月1日后购买",C75/(1+'数据-取费表'!C42)+C76+C77,C75+C76+C77),0)</f>
        <v>0</v>
      </c>
      <c r="D74" s="199" t="s">
        <v>32</v>
      </c>
      <c r="E74" s="1796"/>
      <c r="F74" s="1790"/>
      <c r="G74" s="1790"/>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2254</v>
      </c>
      <c r="C75" s="217"/>
      <c r="D75" s="199" t="s">
        <v>32</v>
      </c>
      <c r="E75" s="218" t="s">
        <v>2255</v>
      </c>
      <c r="F75" s="2504" t="s">
        <v>2256</v>
      </c>
      <c r="G75" s="218" t="s">
        <v>2257</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2258</v>
      </c>
      <c r="C76" s="199">
        <f>IF(F75="购房发票",ROUND(C75*H75*D76,0),0)</f>
        <v>0</v>
      </c>
      <c r="D76" s="221">
        <v>0.05</v>
      </c>
      <c r="E76" s="3172" t="s">
        <v>2259</v>
      </c>
      <c r="F76" s="3149"/>
      <c r="G76" s="3149"/>
      <c r="H76" s="319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2260</v>
      </c>
      <c r="C77" s="199">
        <f>ROUND(IF(G77="个人住宅",0,IF(G77="2016年5月1日前购买",C75*D77,C75*D77/(1+'数据-取费表'!C42))),0)</f>
        <v>0</v>
      </c>
      <c r="D77" s="222">
        <f>'数据-取费表'!B48+'数据-取费表'!B49</f>
        <v>4.0500000000000001E-2</v>
      </c>
      <c r="E77" s="15" t="s">
        <v>2261</v>
      </c>
      <c r="F77" s="223"/>
      <c r="G77" s="2506" t="s">
        <v>2262</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2263</v>
      </c>
      <c r="C78" s="224">
        <f ca="1">ROUND(D45*D78/(1+'数据-取费表'!C42),0)</f>
        <v>239</v>
      </c>
      <c r="D78" s="225">
        <f>'数据-取费表'!B43</f>
        <v>6.000000000000001E-3</v>
      </c>
      <c r="E78" s="3158" t="s">
        <v>2264</v>
      </c>
      <c r="F78" s="3159"/>
      <c r="G78" s="3159"/>
      <c r="H78" s="316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2265</v>
      </c>
      <c r="C79" s="206">
        <f ca="1">C72-C73</f>
        <v>39540</v>
      </c>
      <c r="D79" s="199" t="s">
        <v>32</v>
      </c>
      <c r="E79" s="1796"/>
      <c r="F79" s="1790"/>
      <c r="G79" s="1790"/>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2266</v>
      </c>
      <c r="C80" s="226">
        <f ca="1">IF(C79&lt;=0,0,C79/C73)</f>
        <v>165.43933054393307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2267</v>
      </c>
      <c r="C81" s="227">
        <f ca="1">ROUND(IF(C79&lt;=0,0,IF(C80&gt;=200%,C79*60%-C73*35%,IF(C80&gt;=100%,C79*50%-C73*15%,IF(C80&gt;=50%,C79*40%-C73*5%,IF(C80&lt;50%,C79*30%,0))))),0)</f>
        <v>23640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98" t="s">
        <v>2268</v>
      </c>
      <c r="B83" s="3199"/>
      <c r="C83" s="3199"/>
      <c r="D83" s="3199"/>
      <c r="E83" s="3199"/>
      <c r="F83" s="3199"/>
      <c r="G83" s="3199"/>
      <c r="H83" s="319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7" t="s">
        <v>2231</v>
      </c>
      <c r="B84" s="3178"/>
      <c r="C84" s="1797"/>
      <c r="D84" s="1797" t="s">
        <v>2232</v>
      </c>
      <c r="E84" s="212" t="s">
        <v>2233</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2251</v>
      </c>
      <c r="C85" s="206">
        <f ca="1">ROUND(D45/(1+'数据-取费表'!C42),0)</f>
        <v>39779</v>
      </c>
      <c r="D85" s="199" t="s">
        <v>32</v>
      </c>
      <c r="E85" s="1796"/>
      <c r="F85" s="1790"/>
      <c r="G85" s="1790"/>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2252</v>
      </c>
      <c r="C86" s="206">
        <f ca="1">IF(H88="仅含出让金",C87+C90+C91+C92+C93+C94,C87+C91+C92+C93+C94)</f>
        <v>239</v>
      </c>
      <c r="D86" s="234"/>
      <c r="E86" s="1796"/>
      <c r="F86" s="1790"/>
      <c r="G86" s="1790"/>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2269</v>
      </c>
      <c r="C87" s="224">
        <f>C88+C89</f>
        <v>0</v>
      </c>
      <c r="D87" s="225"/>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2270</v>
      </c>
      <c r="C88" s="235"/>
      <c r="D88" s="225"/>
      <c r="E88" s="236" t="s">
        <v>2271</v>
      </c>
      <c r="F88" s="1793"/>
      <c r="G88" s="237"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2260</v>
      </c>
      <c r="C89" s="224">
        <f>ROUND(C88*D89,0)</f>
        <v>0</v>
      </c>
      <c r="D89" s="225">
        <f>'数据-取费表'!B48+'数据-取费表'!B49</f>
        <v>4.0500000000000001E-2</v>
      </c>
      <c r="E89" s="236" t="s">
        <v>2273</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2274</v>
      </c>
      <c r="C90" s="235"/>
      <c r="D90" s="225"/>
      <c r="E90" s="236"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2275</v>
      </c>
      <c r="B91" s="197" t="s">
        <v>2276</v>
      </c>
      <c r="C91" s="224">
        <f>IF(H91="——",成本法!C33,I91)</f>
        <v>0</v>
      </c>
      <c r="D91" s="225"/>
      <c r="E91" s="3158" t="s">
        <v>2277</v>
      </c>
      <c r="F91" s="3159"/>
      <c r="G91" s="3159"/>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2279</v>
      </c>
      <c r="B92" s="197" t="s">
        <v>2280</v>
      </c>
      <c r="C92" s="224">
        <f>ROUND((C87+C90+C91)*D92,0)</f>
        <v>0</v>
      </c>
      <c r="D92" s="225">
        <v>0.1</v>
      </c>
      <c r="E92" s="3158" t="s">
        <v>2281</v>
      </c>
      <c r="F92" s="3159"/>
      <c r="G92" s="3159"/>
      <c r="H92" s="316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2282</v>
      </c>
      <c r="B93" s="197" t="s">
        <v>2263</v>
      </c>
      <c r="C93" s="224">
        <f ca="1">ROUND(D45*D93/(1+'数据-取费表'!C42),0)</f>
        <v>239</v>
      </c>
      <c r="D93" s="225">
        <f>'数据-取费表'!B43</f>
        <v>6.000000000000001E-3</v>
      </c>
      <c r="E93" s="3158" t="s">
        <v>2264</v>
      </c>
      <c r="F93" s="3159"/>
      <c r="G93" s="3159"/>
      <c r="H93" s="316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2283</v>
      </c>
      <c r="B94" s="197" t="s">
        <v>2284</v>
      </c>
      <c r="C94" s="235">
        <f>ROUND((C87+C90+C91)*D94,0)</f>
        <v>0</v>
      </c>
      <c r="D94" s="225">
        <v>0.2</v>
      </c>
      <c r="E94" s="3169" t="s">
        <v>2285</v>
      </c>
      <c r="F94" s="3170"/>
      <c r="G94" s="3170"/>
      <c r="H94" s="317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2265</v>
      </c>
      <c r="C95" s="206">
        <f ca="1">ROUND(C85-C86,0)</f>
        <v>39540</v>
      </c>
      <c r="D95" s="199" t="s">
        <v>32</v>
      </c>
      <c r="E95" s="1796"/>
      <c r="F95" s="1790"/>
      <c r="G95" s="1790"/>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2266</v>
      </c>
      <c r="C96" s="226">
        <f ca="1">IF(C95&lt;=0,0,C95/C86)</f>
        <v>165.43933054393307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2267</v>
      </c>
      <c r="C97" s="227">
        <f ca="1">ROUND(IF(C95&lt;=0,0,IF(C96&gt;=200%,C95*60%-C86*35%,IF(C96&gt;=100%,C95*50%-C86*15%,IF(C96&gt;=50%,C95*40%-C86*5%,IF(C96&lt;50%,C95*30%,0))))),0)</f>
        <v>23640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7"/>
    </row>
    <row r="99" spans="1:35" ht="21.75" customHeight="1" thickBot="1">
      <c r="A99" s="2467" t="s">
        <v>2286</v>
      </c>
      <c r="B99" s="2411"/>
      <c r="C99" s="2411"/>
      <c r="D99" s="2411"/>
      <c r="E99" s="2159"/>
      <c r="F99" s="2159"/>
      <c r="G99" s="2159"/>
      <c r="H99" s="2158"/>
      <c r="I99" s="137"/>
    </row>
    <row r="100" spans="1:35" ht="18.75" customHeight="1">
      <c r="A100" s="3128" t="s">
        <v>2287</v>
      </c>
      <c r="B100" s="3129"/>
      <c r="C100" s="3129"/>
      <c r="D100" s="3160"/>
      <c r="E100" s="3129" t="s">
        <v>2288</v>
      </c>
      <c r="F100" s="3129"/>
      <c r="G100" s="3129"/>
      <c r="H100" s="3160"/>
      <c r="I100" s="137"/>
    </row>
    <row r="101" spans="1:35" ht="18.75" customHeight="1">
      <c r="A101" s="3222" t="s">
        <v>2289</v>
      </c>
      <c r="B101" s="3223"/>
      <c r="C101" s="735" t="str">
        <f>C4</f>
        <v>成本法</v>
      </c>
      <c r="D101" s="736" t="str">
        <f>D4</f>
        <v>假设开发法</v>
      </c>
      <c r="E101" s="3236" t="s">
        <v>2290</v>
      </c>
      <c r="F101" s="3190"/>
      <c r="G101" s="2513" t="s">
        <v>2291</v>
      </c>
      <c r="H101" s="1042">
        <f ca="1">H118</f>
        <v>41768</v>
      </c>
      <c r="I101" s="137"/>
    </row>
    <row r="102" spans="1:35" ht="18.75" customHeight="1">
      <c r="A102" s="3192" t="s">
        <v>2292</v>
      </c>
      <c r="B102" s="2513" t="s">
        <v>2291</v>
      </c>
      <c r="C102" s="735">
        <f ca="1">C19</f>
        <v>48298</v>
      </c>
      <c r="D102" s="736">
        <f ca="1">D19</f>
        <v>31974</v>
      </c>
      <c r="E102" s="3236"/>
      <c r="F102" s="3190"/>
      <c r="G102" s="2513" t="s">
        <v>2293</v>
      </c>
      <c r="H102" s="370">
        <f ca="1">I118</f>
        <v>5514</v>
      </c>
      <c r="I102" s="137"/>
    </row>
    <row r="103" spans="1:35" ht="42.75" customHeight="1">
      <c r="A103" s="3192"/>
      <c r="B103" s="2513" t="s">
        <v>2293</v>
      </c>
      <c r="C103" s="737">
        <f ca="1">C20</f>
        <v>6376</v>
      </c>
      <c r="D103" s="738">
        <f ca="1">D20</f>
        <v>4221</v>
      </c>
      <c r="E103" s="3231" t="s">
        <v>2294</v>
      </c>
      <c r="F103" s="3232"/>
      <c r="G103" s="2514" t="s">
        <v>2295</v>
      </c>
      <c r="H103" s="1042">
        <f>IF(D36="正常操作",H104+H105+H106,H105+H106)</f>
        <v>0</v>
      </c>
      <c r="I103" s="137"/>
    </row>
    <row r="104" spans="1:35" ht="18.75" customHeight="1">
      <c r="A104" s="3192" t="s">
        <v>2296</v>
      </c>
      <c r="B104" s="2515" t="s">
        <v>2291</v>
      </c>
      <c r="C104" s="739">
        <f ca="1">H118</f>
        <v>41768</v>
      </c>
      <c r="D104" s="740"/>
      <c r="E104" s="2259" t="s">
        <v>2297</v>
      </c>
      <c r="F104" s="2251"/>
      <c r="G104" s="2514" t="s">
        <v>2295</v>
      </c>
      <c r="H104" s="1043">
        <f>IF(D36="同一抵押权人同一抵押物续贷",C36&amp;"（未扣减，详见特别提示）",C36)</f>
        <v>0</v>
      </c>
      <c r="I104" s="137"/>
    </row>
    <row r="105" spans="1:35" ht="18.75" customHeight="1" thickBot="1">
      <c r="A105" s="3193"/>
      <c r="B105" s="2516" t="s">
        <v>2293</v>
      </c>
      <c r="C105" s="741">
        <f ca="1">I118</f>
        <v>5514</v>
      </c>
      <c r="D105" s="742"/>
      <c r="E105" s="2259" t="s">
        <v>2298</v>
      </c>
      <c r="F105" s="2251"/>
      <c r="G105" s="2514" t="s">
        <v>2295</v>
      </c>
      <c r="H105" s="1043">
        <f>C37</f>
        <v>0</v>
      </c>
      <c r="I105" s="137"/>
    </row>
    <row r="106" spans="1:35" ht="18.75" customHeight="1">
      <c r="A106" s="2411" t="s">
        <v>2299</v>
      </c>
      <c r="B106" s="2411"/>
      <c r="C106" s="2411"/>
      <c r="D106" s="2411"/>
      <c r="E106" s="2517" t="s">
        <v>2300</v>
      </c>
      <c r="F106" s="2251"/>
      <c r="G106" s="2514" t="s">
        <v>2295</v>
      </c>
      <c r="H106" s="1043">
        <f>C38</f>
        <v>0</v>
      </c>
      <c r="I106" s="137"/>
    </row>
    <row r="107" spans="1:35" ht="18.75" customHeight="1">
      <c r="A107" s="137"/>
      <c r="B107" s="137"/>
      <c r="C107" s="137"/>
      <c r="D107" s="137"/>
      <c r="E107" s="3189" t="str">
        <f>IF(项目基本情况!E8="已注销","——","3.房地产抵押价值")</f>
        <v>——</v>
      </c>
      <c r="F107" s="3190"/>
      <c r="G107" s="2513" t="s">
        <v>2291</v>
      </c>
      <c r="H107" s="1042" t="str">
        <f>IF(E107="——","——",H101-H103)</f>
        <v>——</v>
      </c>
      <c r="I107" s="137"/>
    </row>
    <row r="108" spans="1:35" ht="18.75" customHeight="1">
      <c r="A108" s="137"/>
      <c r="B108" s="137"/>
      <c r="C108" s="137"/>
      <c r="D108" s="137"/>
      <c r="E108" s="3189"/>
      <c r="F108" s="3190"/>
      <c r="G108" s="2513" t="s">
        <v>2293</v>
      </c>
      <c r="H108" s="370" t="e">
        <f>ROUND(H107*10000/'数据-汇总表'!E3,0)</f>
        <v>#VALUE!</v>
      </c>
      <c r="I108" s="137"/>
    </row>
    <row r="109" spans="1:35" ht="18.75" customHeight="1">
      <c r="A109" s="137"/>
      <c r="B109" s="137"/>
      <c r="C109" s="137"/>
      <c r="D109" s="137"/>
      <c r="E109" s="3189" t="str">
        <f>IF(项目基本情况!E8="已注销及未注销","4.抵押担保权已注销时的房地产抵押价值",IF(项目基本情况!E8="已注销","3.抵押担保权已注销时的房地产抵押价值","——"))</f>
        <v>3.抵押担保权已注销时的房地产抵押价值</v>
      </c>
      <c r="F109" s="3190"/>
      <c r="G109" s="2513" t="s">
        <v>2291</v>
      </c>
      <c r="H109" s="347">
        <f ca="1">IF(E109="——","——",H101-H105-H106)</f>
        <v>41768</v>
      </c>
      <c r="I109" s="137"/>
    </row>
    <row r="110" spans="1:35" ht="18.75" customHeight="1">
      <c r="A110" s="137"/>
      <c r="B110" s="137"/>
      <c r="C110" s="137"/>
      <c r="D110" s="137"/>
      <c r="E110" s="3189"/>
      <c r="F110" s="3190"/>
      <c r="G110" s="2513" t="s">
        <v>2293</v>
      </c>
      <c r="H110" s="370">
        <f ca="1">IF(H109="——","——",ROUND(H109*10000/'数据-汇总表'!E3,0))</f>
        <v>5514</v>
      </c>
      <c r="I110" s="137"/>
    </row>
    <row r="111" spans="1:35" ht="18.75" customHeight="1">
      <c r="A111" s="137"/>
      <c r="B111" s="137"/>
      <c r="C111" s="137"/>
      <c r="D111" s="137"/>
      <c r="E111" s="3224" t="str">
        <f>IF(项目基本情况!E9="抵押净值",IF(OR(项目基本情况!E8="已注销",项目基本情况!E8="房地产抵押价值"),"4.抵押净值","5.抵押净值"),"——")</f>
        <v>——</v>
      </c>
      <c r="F111" s="3225"/>
      <c r="G111" s="2513" t="s">
        <v>2291</v>
      </c>
      <c r="H111" s="1042" t="str">
        <f>IF(E111="——","——",N59)</f>
        <v>——</v>
      </c>
      <c r="I111" s="137"/>
    </row>
    <row r="112" spans="1:35" ht="18.75" customHeight="1" thickBot="1">
      <c r="A112" s="137"/>
      <c r="B112" s="137"/>
      <c r="C112" s="137"/>
      <c r="D112" s="137"/>
      <c r="E112" s="3226"/>
      <c r="F112" s="3227"/>
      <c r="G112" s="2518" t="s">
        <v>2293</v>
      </c>
      <c r="H112" s="789" t="str">
        <f>IF(E111="——","——",N61)</f>
        <v>——</v>
      </c>
      <c r="I112" s="137"/>
    </row>
    <row r="113" spans="1:11" ht="18.75" customHeight="1">
      <c r="A113" s="137"/>
      <c r="B113" s="137"/>
      <c r="C113" s="137"/>
      <c r="D113" s="137"/>
      <c r="E113" s="3194" t="s">
        <v>2299</v>
      </c>
      <c r="F113" s="3194"/>
      <c r="G113" s="3194"/>
      <c r="H113" s="3194"/>
      <c r="I113" s="137"/>
    </row>
    <row r="114" spans="1:11" ht="3.75" customHeight="1">
      <c r="A114" s="2411"/>
      <c r="B114" s="2411"/>
      <c r="C114" s="2411"/>
      <c r="D114" s="2411"/>
      <c r="E114" s="2489"/>
      <c r="F114" s="2489"/>
      <c r="G114" s="2489"/>
      <c r="H114" s="2489"/>
      <c r="I114" s="2411"/>
    </row>
    <row r="115" spans="1:11" ht="18.75" customHeight="1">
      <c r="A115" s="3207" t="s">
        <v>2301</v>
      </c>
      <c r="B115" s="3208"/>
      <c r="C115" s="3208"/>
      <c r="D115" s="3208"/>
      <c r="E115" s="3208"/>
      <c r="F115" s="3208"/>
      <c r="G115" s="3208"/>
      <c r="H115" s="3208"/>
      <c r="I115" s="3209"/>
    </row>
    <row r="116" spans="1:11" ht="27" customHeight="1">
      <c r="A116" s="3075" t="s">
        <v>2302</v>
      </c>
      <c r="B116" s="3195" t="s">
        <v>3045</v>
      </c>
      <c r="C116" s="3195" t="s">
        <v>3046</v>
      </c>
      <c r="D116" s="3211" t="s">
        <v>2303</v>
      </c>
      <c r="E116" s="3212"/>
      <c r="F116" s="3203" t="s">
        <v>3047</v>
      </c>
      <c r="G116" s="3203"/>
      <c r="H116" s="3075" t="s">
        <v>2304</v>
      </c>
      <c r="I116" s="3075"/>
    </row>
    <row r="117" spans="1:11" ht="18.75" customHeight="1">
      <c r="A117" s="3075"/>
      <c r="B117" s="3196"/>
      <c r="C117" s="3196"/>
      <c r="D117" s="1791" t="s">
        <v>2305</v>
      </c>
      <c r="E117" s="1791" t="s">
        <v>2306</v>
      </c>
      <c r="F117" s="1791" t="s">
        <v>2305</v>
      </c>
      <c r="G117" s="1791" t="s">
        <v>2307</v>
      </c>
      <c r="H117" s="1791" t="s">
        <v>2305</v>
      </c>
      <c r="I117" s="1791" t="s">
        <v>2307</v>
      </c>
    </row>
    <row r="118" spans="1:11" ht="24.75" customHeight="1">
      <c r="A118" s="2519" t="str">
        <f>项目基本情况!S2</f>
        <v>贵州省贵阳市白云区（高新）沙文生态科技产业园“贵州科学城•智谷”项目01-02-13地块出让国有建设用地使用权及在建建筑物房地产</v>
      </c>
      <c r="B118" s="1791">
        <f>M18</f>
        <v>75745.560000000012</v>
      </c>
      <c r="C118" s="1791">
        <f>M19</f>
        <v>40729.97</v>
      </c>
      <c r="D118" s="1791">
        <f ca="1">ROUND(IF(D32="总价",C34,E118*B118/10000),0)</f>
        <v>13575</v>
      </c>
      <c r="E118" s="1791">
        <f ca="1">ROUND(IF(C33="自定义",IF(D32="楼面单价",C34,D118*10000/B118),I118-G118),0)</f>
        <v>1792</v>
      </c>
      <c r="F118" s="1791">
        <f ca="1">ROUND(IF(D32="总价",C35,G118*B118/10000),0)</f>
        <v>28193</v>
      </c>
      <c r="G118" s="1791">
        <f ca="1">ROUND(IF(D32="楼面单价",C35,F118*10000/B118),0)</f>
        <v>3722</v>
      </c>
      <c r="H118" s="1791">
        <f ca="1">ROUND(IF(D32="总价",C32,I118*B118/10000),0)</f>
        <v>41768</v>
      </c>
      <c r="I118" s="1791">
        <f ca="1">ROUND(IF(D32="楼面单价",C32,H118*10000/B118),0)</f>
        <v>5514</v>
      </c>
    </row>
    <row r="119" spans="1:11" ht="18.75" customHeight="1">
      <c r="A119" s="3075" t="s">
        <v>2308</v>
      </c>
      <c r="B119" s="3075"/>
      <c r="C119" s="3075"/>
      <c r="D119" s="3200" t="str">
        <f ca="1">NUMBERSTRING(INT(D118*10000),2)&amp;"元整"</f>
        <v>壹亿叁仟伍佰柒拾伍万元整</v>
      </c>
      <c r="E119" s="3202"/>
      <c r="F119" s="3200" t="str">
        <f ca="1">NUMBERSTRING(INT(F118*10000),2)&amp;"元整"</f>
        <v>贰亿捌仟壹佰玖拾叁万元整</v>
      </c>
      <c r="G119" s="3202"/>
      <c r="H119" s="3200" t="str">
        <f ca="1">NUMBERSTRING(INT(H118*10000),2)&amp;"元整"</f>
        <v>肆亿壹仟柒佰陆拾捌万元整</v>
      </c>
      <c r="I119" s="3202"/>
    </row>
    <row r="120" spans="1:11" ht="18.75" customHeight="1">
      <c r="A120" s="3228" t="str">
        <f>IF(项目基本情况!B9="房地产市场价值","",MID(E103,3,LEN(E103)-2))</f>
        <v/>
      </c>
      <c r="B120" s="3229"/>
      <c r="C120" s="3230"/>
      <c r="D120" s="3228">
        <f>H103</f>
        <v>0</v>
      </c>
      <c r="E120" s="3229"/>
      <c r="F120" s="3229"/>
      <c r="G120" s="3229"/>
      <c r="H120" s="3229"/>
      <c r="I120" s="3230"/>
      <c r="K120" s="2416" t="str">
        <f>IF(D120=0,"故，本次评估不存在"&amp;A120,"故，本次评估"&amp;A120&amp;"为人民币"&amp;D120&amp;"万元整。")</f>
        <v>故，本次评估不存在</v>
      </c>
    </row>
    <row r="121" spans="1:11" ht="18.75" customHeight="1">
      <c r="A121" s="3204" t="s">
        <v>2308</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
      </c>
      <c r="B122" s="3191"/>
      <c r="C122" s="3191"/>
      <c r="D122" s="3228" t="str">
        <f>H107</f>
        <v>——</v>
      </c>
      <c r="E122" s="3229"/>
      <c r="F122" s="3229"/>
      <c r="G122" s="3229"/>
      <c r="H122" s="3229"/>
      <c r="I122" s="3230"/>
    </row>
    <row r="123" spans="1:11" ht="18.75" customHeight="1">
      <c r="A123" s="3075" t="s">
        <v>2308</v>
      </c>
      <c r="B123" s="3075"/>
      <c r="C123" s="3075"/>
      <c r="D123" s="3200" t="e">
        <f>NUMBERSTRING(INT(D122*10000),2)&amp;"元整"</f>
        <v>#VALUE!</v>
      </c>
      <c r="E123" s="3201"/>
      <c r="F123" s="3201"/>
      <c r="G123" s="3201"/>
      <c r="H123" s="3201"/>
      <c r="I123" s="3202"/>
    </row>
    <row r="124" spans="1:11" ht="18.75" customHeight="1">
      <c r="A124" s="3191" t="str">
        <f>IF(项目基本情况!B9="房地产市场价值","",MID(E109,3,LEN(E109)-2))</f>
        <v/>
      </c>
      <c r="B124" s="3191"/>
      <c r="C124" s="3191"/>
      <c r="D124" s="3228">
        <f ca="1">H109</f>
        <v>41768</v>
      </c>
      <c r="E124" s="3229"/>
      <c r="F124" s="3229"/>
      <c r="G124" s="3229"/>
      <c r="H124" s="3229"/>
      <c r="I124" s="3230"/>
    </row>
    <row r="125" spans="1:11" ht="18.75" customHeight="1">
      <c r="A125" s="3075" t="s">
        <v>2308</v>
      </c>
      <c r="B125" s="3075"/>
      <c r="C125" s="3075"/>
      <c r="D125" s="3200" t="str">
        <f ca="1">NUMBERSTRING(INT(D124*10000),2)&amp;"元整"</f>
        <v>肆亿壹仟柒佰陆拾捌万元整</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075" t="s">
        <v>2308</v>
      </c>
      <c r="B127" s="3075"/>
      <c r="C127" s="3075"/>
      <c r="D127" s="3200" t="e">
        <f>NUMBERSTRING(INT(D126*10000),2)&amp;"元整"</f>
        <v>#VALUE!</v>
      </c>
      <c r="E127" s="3201"/>
      <c r="F127" s="3201"/>
      <c r="G127" s="3201"/>
      <c r="H127" s="3201"/>
      <c r="I127" s="3202"/>
    </row>
    <row r="128" spans="1:11" ht="21.75" customHeight="1">
      <c r="A128" s="3210" t="s">
        <v>2309</v>
      </c>
      <c r="B128" s="3210"/>
      <c r="C128" s="3210"/>
      <c r="D128" s="3210"/>
      <c r="E128" s="3210"/>
      <c r="F128" s="3210"/>
      <c r="G128" s="3210"/>
      <c r="H128" s="3210"/>
      <c r="I128" s="3210"/>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2312</v>
      </c>
      <c r="G135" s="2537"/>
      <c r="H135" s="2537"/>
      <c r="I135" s="2538" t="s">
        <v>2313</v>
      </c>
    </row>
    <row r="136" spans="1:35" ht="21.75" customHeight="1">
      <c r="A136" s="794"/>
      <c r="B136" s="2539"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2315</v>
      </c>
    </row>
    <row r="139" spans="1:35" ht="21.75" customHeight="1">
      <c r="A139" s="794"/>
      <c r="B139" s="2539" t="s">
        <v>2316</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2315</v>
      </c>
    </row>
    <row r="142" spans="1:35" ht="21.75" customHeight="1">
      <c r="A142" s="794"/>
      <c r="B142" s="2539"/>
      <c r="C142" s="2540"/>
      <c r="D142" s="2541"/>
      <c r="E142" s="2541"/>
      <c r="F142" s="2333"/>
      <c r="G142" s="794"/>
      <c r="H142" s="794"/>
      <c r="I142" s="794"/>
    </row>
    <row r="143" spans="1:35" s="138" customFormat="1" ht="21.75" customHeight="1">
      <c r="A143" s="794"/>
      <c r="B143" s="2539"/>
      <c r="C143" s="2540"/>
      <c r="D143" s="2541"/>
      <c r="E143" s="2541"/>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7" sqref="C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2317</v>
      </c>
      <c r="B1" s="1933"/>
      <c r="C1" s="241"/>
      <c r="D1" s="241"/>
      <c r="E1" s="241"/>
      <c r="F1" s="241"/>
      <c r="G1" s="1376">
        <f>MATCH(B1,'数据-取费表'!A6:A16,0)+5</f>
        <v>9</v>
      </c>
    </row>
    <row r="2" spans="1:9" s="243" customFormat="1" ht="18" customHeight="1">
      <c r="A2" s="244" t="s">
        <v>2318</v>
      </c>
      <c r="B2" s="245">
        <f ca="1">IF(D2="——",C52,C52-E2)</f>
        <v>48298</v>
      </c>
      <c r="C2" s="242" t="s">
        <v>2319</v>
      </c>
      <c r="D2" s="2542" t="s">
        <v>70</v>
      </c>
      <c r="E2" s="1437" t="e">
        <f ca="1">SUMIF(INDIRECT("'"&amp;G2&amp;"'"&amp;"!A:A"),"承租人权益价值",INDIRECT("'"&amp;G2&amp;"'"&amp;"!c:c"))</f>
        <v>#REF!</v>
      </c>
      <c r="F2" s="2543" t="s">
        <v>2319</v>
      </c>
      <c r="G2" s="2544"/>
    </row>
    <row r="3" spans="1:9" s="243" customFormat="1" ht="18" customHeight="1" thickBot="1">
      <c r="A3" s="246" t="s">
        <v>2320</v>
      </c>
      <c r="B3" s="247">
        <f ca="1">ROUND(B2*10000/(IF(B1="",'数据-汇总表'!E3,INDIRECT("'数据-取费表'!k"&amp;$G$1))),0)</f>
        <v>6376</v>
      </c>
      <c r="C3" s="242" t="s">
        <v>2321</v>
      </c>
      <c r="D3" s="242"/>
      <c r="E3" s="242"/>
      <c r="F3" s="242"/>
      <c r="G3" s="242"/>
    </row>
    <row r="4" spans="1:9" s="251" customFormat="1" ht="15.75">
      <c r="A4" s="248" t="s">
        <v>2322</v>
      </c>
      <c r="B4" s="249"/>
      <c r="C4" s="249"/>
      <c r="D4" s="249"/>
      <c r="E4" s="249"/>
      <c r="F4" s="249"/>
      <c r="G4" s="250"/>
    </row>
    <row r="5" spans="1:9" s="257" customFormat="1" ht="13.5" customHeight="1">
      <c r="A5" s="298" t="s">
        <v>2323</v>
      </c>
      <c r="B5" s="253" t="s">
        <v>2324</v>
      </c>
      <c r="C5" s="254">
        <f>C6+C7+C8</f>
        <v>11825</v>
      </c>
      <c r="D5" s="254" t="s">
        <v>2325</v>
      </c>
      <c r="E5" s="255" t="s">
        <v>2326</v>
      </c>
      <c r="F5" s="255" t="s">
        <v>2327</v>
      </c>
      <c r="G5" s="256"/>
    </row>
    <row r="6" spans="1:9" s="257" customFormat="1" ht="13.5" customHeight="1">
      <c r="A6" s="946" t="s">
        <v>2328</v>
      </c>
      <c r="B6" s="258" t="s">
        <v>2329</v>
      </c>
      <c r="C6" s="259">
        <f>'土地比较法-住宅、综合'!B2</f>
        <v>11365</v>
      </c>
      <c r="D6" s="260"/>
      <c r="E6" s="261"/>
      <c r="F6" s="261"/>
      <c r="G6" s="262"/>
    </row>
    <row r="7" spans="1:9" s="257" customFormat="1" ht="13.5" customHeight="1">
      <c r="A7" s="946" t="s">
        <v>2330</v>
      </c>
      <c r="B7" s="258" t="s">
        <v>2331</v>
      </c>
      <c r="C7" s="263">
        <f>ROUND(C6*F7,0)</f>
        <v>460</v>
      </c>
      <c r="D7" s="263"/>
      <c r="E7" s="261"/>
      <c r="F7" s="264">
        <f>'数据-取费表'!B48+'数据-取费表'!B49</f>
        <v>4.0500000000000001E-2</v>
      </c>
      <c r="G7" s="262"/>
    </row>
    <row r="8" spans="1:9" s="266" customFormat="1">
      <c r="A8" s="946" t="s">
        <v>2332</v>
      </c>
      <c r="B8" s="258" t="s">
        <v>2333</v>
      </c>
      <c r="C8" s="263">
        <f>IF(G8="已包含在土地购买价格中","0",IF(B1="",'数据-取费表'!B29,IF(G9="全部缴纳",C9+C10,H9)))</f>
        <v>0</v>
      </c>
      <c r="D8" s="265"/>
      <c r="E8" s="263"/>
      <c r="F8" s="264"/>
      <c r="G8" s="2545" t="s">
        <v>3048</v>
      </c>
    </row>
    <row r="9" spans="1:9" s="257" customFormat="1" ht="13.5" customHeight="1">
      <c r="A9" s="947" t="s">
        <v>800</v>
      </c>
      <c r="B9" s="267" t="s">
        <v>2334</v>
      </c>
      <c r="C9" s="268">
        <f ca="1">ROUND(D9*E9/10000,0)</f>
        <v>0</v>
      </c>
      <c r="D9" s="1029">
        <f ca="1">IF(B1="",'数据-汇总表'!E5,IF(INDIRECT("'数据-取费表'!c"&amp;$G$1)="住宅",INDIRECT("'数据-取费表'!k"&amp;$G$1),0))</f>
        <v>0</v>
      </c>
      <c r="E9" s="268">
        <f>'数据-取费表'!B27</f>
        <v>90</v>
      </c>
      <c r="F9" s="264"/>
      <c r="G9" s="2546"/>
      <c r="H9" s="1387"/>
      <c r="I9" s="2547" t="s">
        <v>2335</v>
      </c>
    </row>
    <row r="10" spans="1:9" s="257" customFormat="1" ht="13.5" customHeight="1">
      <c r="A10" s="947" t="s">
        <v>801</v>
      </c>
      <c r="B10" s="267" t="s">
        <v>2336</v>
      </c>
      <c r="C10" s="268">
        <f ca="1">ROUND(D10*E10/10000,0)</f>
        <v>682</v>
      </c>
      <c r="D10" s="1029">
        <f ca="1">IF(B1="",'数据-汇总表'!E6,IF(INDIRECT("'数据-取费表'!c"&amp;$G$1)="住宅",INDIRECT("'数据-取费表'!s"&amp;$G$1),INDIRECT("'数据-取费表'!k"&amp;$G$1)+INDIRECT("'数据-取费表'!s"&amp;$G$1)))</f>
        <v>75745.560000000012</v>
      </c>
      <c r="E10" s="268">
        <f>'数据-取费表'!B28</f>
        <v>90</v>
      </c>
      <c r="F10" s="264"/>
      <c r="G10" s="269"/>
    </row>
    <row r="11" spans="1:9" s="257" customFormat="1" ht="13.5" hidden="1" customHeight="1">
      <c r="A11" s="270" t="s">
        <v>7</v>
      </c>
      <c r="B11" s="258" t="s">
        <v>2337</v>
      </c>
      <c r="C11" s="254"/>
      <c r="D11" s="1031"/>
      <c r="E11" s="261"/>
      <c r="F11" s="261"/>
      <c r="G11" s="262"/>
    </row>
    <row r="12" spans="1:9" s="257" customFormat="1" ht="13.5" hidden="1" customHeight="1">
      <c r="A12" s="270" t="s">
        <v>8</v>
      </c>
      <c r="B12" s="258" t="s">
        <v>2338</v>
      </c>
      <c r="C12" s="254">
        <v>0</v>
      </c>
      <c r="D12" s="1031"/>
      <c r="E12" s="271"/>
      <c r="F12" s="264">
        <v>3.0499999999999999E-2</v>
      </c>
      <c r="G12" s="262"/>
    </row>
    <row r="13" spans="1:9" s="257" customFormat="1" ht="13.5" hidden="1" customHeight="1">
      <c r="A13" s="270" t="s">
        <v>9</v>
      </c>
      <c r="B13" s="258" t="s">
        <v>2339</v>
      </c>
      <c r="C13" s="254"/>
      <c r="D13" s="1031"/>
      <c r="E13" s="261"/>
      <c r="F13" s="261"/>
      <c r="G13" s="262"/>
    </row>
    <row r="14" spans="1:9" s="257" customFormat="1" ht="13.5" hidden="1" customHeight="1">
      <c r="A14" s="270" t="s">
        <v>10</v>
      </c>
      <c r="B14" s="258" t="s">
        <v>2340</v>
      </c>
      <c r="C14" s="254"/>
      <c r="D14" s="1031"/>
      <c r="E14" s="261"/>
      <c r="F14" s="261"/>
      <c r="G14" s="262" t="s">
        <v>2341</v>
      </c>
    </row>
    <row r="15" spans="1:9" s="257" customFormat="1" ht="13.5" hidden="1" customHeight="1">
      <c r="A15" s="270" t="s">
        <v>11</v>
      </c>
      <c r="B15" s="258" t="s">
        <v>2342</v>
      </c>
      <c r="C15" s="263"/>
      <c r="D15" s="1031"/>
      <c r="E15" s="261"/>
      <c r="F15" s="261"/>
      <c r="G15" s="262" t="s">
        <v>2343</v>
      </c>
    </row>
    <row r="16" spans="1:9" s="257" customFormat="1" ht="13.5" hidden="1" customHeight="1">
      <c r="A16" s="270" t="s">
        <v>12</v>
      </c>
      <c r="B16" s="258" t="s">
        <v>2340</v>
      </c>
      <c r="C16" s="263"/>
      <c r="D16" s="1031"/>
      <c r="E16" s="261"/>
      <c r="F16" s="261"/>
      <c r="G16" s="262"/>
    </row>
    <row r="17" spans="1:7" s="257" customFormat="1" ht="13.5" hidden="1" customHeight="1">
      <c r="A17" s="270" t="s">
        <v>13</v>
      </c>
      <c r="B17" s="258" t="s">
        <v>2344</v>
      </c>
      <c r="C17" s="272"/>
      <c r="D17" s="1032"/>
      <c r="E17" s="272"/>
      <c r="F17" s="272"/>
      <c r="G17" s="262" t="s">
        <v>2343</v>
      </c>
    </row>
    <row r="18" spans="1:7" s="257" customFormat="1" ht="13.5" hidden="1" customHeight="1">
      <c r="A18" s="270" t="s">
        <v>14</v>
      </c>
      <c r="B18" s="258" t="s">
        <v>2345</v>
      </c>
      <c r="C18" s="263">
        <v>0</v>
      </c>
      <c r="D18" s="1031"/>
      <c r="E18" s="261"/>
      <c r="F18" s="264">
        <v>3.0499999999999999E-2</v>
      </c>
      <c r="G18" s="262" t="s">
        <v>2346</v>
      </c>
    </row>
    <row r="19" spans="1:7" s="266" customFormat="1" ht="13.5" customHeight="1">
      <c r="A19" s="298" t="s">
        <v>2347</v>
      </c>
      <c r="B19" s="253" t="s">
        <v>2348</v>
      </c>
      <c r="C19" s="254" t="str">
        <f>IF(G19="已包含在土地取得成本中","0",ROUND(D19*E19/10000,0))</f>
        <v>0</v>
      </c>
      <c r="D19" s="1033">
        <f ca="1">D9+D10</f>
        <v>75745.560000000012</v>
      </c>
      <c r="E19" s="254">
        <f>'数据-取费表'!B31</f>
        <v>200</v>
      </c>
      <c r="F19" s="274"/>
      <c r="G19" s="2545" t="s">
        <v>3049</v>
      </c>
    </row>
    <row r="20" spans="1:7" s="257" customFormat="1" ht="13.5" customHeight="1">
      <c r="A20" s="298" t="s">
        <v>2349</v>
      </c>
      <c r="B20" s="253" t="s">
        <v>2350</v>
      </c>
      <c r="C20" s="275">
        <f>ROUND((C5+C19)*F20,0)</f>
        <v>237</v>
      </c>
      <c r="D20" s="275"/>
      <c r="E20" s="275"/>
      <c r="F20" s="276">
        <f>'数据-取费表'!B37</f>
        <v>0.02</v>
      </c>
      <c r="G20" s="277" t="s">
        <v>2351</v>
      </c>
    </row>
    <row r="21" spans="1:7" s="257" customFormat="1" ht="13.5" customHeight="1">
      <c r="A21" s="298" t="s">
        <v>2352</v>
      </c>
      <c r="B21" s="253" t="s">
        <v>2353</v>
      </c>
      <c r="C21" s="278">
        <f>F21</f>
        <v>0.03</v>
      </c>
      <c r="D21" s="279" t="s">
        <v>2354</v>
      </c>
      <c r="E21" s="275"/>
      <c r="F21" s="276">
        <f>'数据-取费表'!B38</f>
        <v>0.03</v>
      </c>
      <c r="G21" s="277" t="s">
        <v>2355</v>
      </c>
    </row>
    <row r="22" spans="1:7" s="257" customFormat="1" ht="13.5" customHeight="1">
      <c r="A22" s="298" t="s">
        <v>2356</v>
      </c>
      <c r="B22" s="253" t="s">
        <v>2357</v>
      </c>
      <c r="C22" s="1351">
        <f ca="1">ROUND(SUM(C23:C25),0)</f>
        <v>1101</v>
      </c>
      <c r="D22" s="278">
        <f ca="1">C26</f>
        <v>1.4E-3</v>
      </c>
      <c r="E22" s="279" t="s">
        <v>2354</v>
      </c>
      <c r="F22" s="280">
        <f ca="1">'数据-取费表'!B40</f>
        <v>4.7500000000000001E-2</v>
      </c>
      <c r="G22" s="277" t="str">
        <f>IF('数据-取费表'!B22&lt;=1,"单利计息","复利计息")</f>
        <v>复利计息</v>
      </c>
    </row>
    <row r="23" spans="1:7" s="257" customFormat="1" ht="13.5" customHeight="1">
      <c r="A23" s="948" t="s">
        <v>2358</v>
      </c>
      <c r="B23" s="258" t="s">
        <v>2359</v>
      </c>
      <c r="C23" s="1352">
        <f ca="1">ROUND(IF('数据-取费表'!B22&lt;=1,C5*F22*'数据-取费表'!B23,C5*(POWER((1+F22),'数据-取费表'!B23)-1)),0)</f>
        <v>1090</v>
      </c>
      <c r="D23" s="281"/>
      <c r="E23" s="281"/>
      <c r="F23" s="282"/>
      <c r="G23" s="283" t="s">
        <v>2360</v>
      </c>
    </row>
    <row r="24" spans="1:7" s="257" customFormat="1" ht="13.5" customHeight="1">
      <c r="A24" s="948" t="s">
        <v>2361</v>
      </c>
      <c r="B24" s="258" t="s">
        <v>2362</v>
      </c>
      <c r="C24" s="1352">
        <f ca="1">ROUND(IF('数据-取费表'!B22&lt;=1,C19*F22*('数据-取费表'!B19/2+'数据-取费表'!B21),C19*(POWER((1+F22),('数据-取费表'!B19/2+'数据-取费表'!B21))-1)),0)</f>
        <v>0</v>
      </c>
      <c r="D24" s="281"/>
      <c r="E24" s="281"/>
      <c r="F24" s="282"/>
      <c r="G24" s="283" t="s">
        <v>2363</v>
      </c>
    </row>
    <row r="25" spans="1:7" s="257" customFormat="1" ht="24">
      <c r="A25" s="948" t="s">
        <v>2364</v>
      </c>
      <c r="B25" s="258" t="s">
        <v>2365</v>
      </c>
      <c r="C25" s="1352">
        <f ca="1">ROUND(IF('数据-取费表'!B22&lt;=1,C20*F22*'数据-取费表'!B23/2,C20*(POWER((1+F22),'数据-取费表'!B23/2)-1)),0)</f>
        <v>11</v>
      </c>
      <c r="D25" s="281"/>
      <c r="E25" s="284"/>
      <c r="F25" s="282"/>
      <c r="G25" s="285" t="s">
        <v>2366</v>
      </c>
    </row>
    <row r="26" spans="1:7" s="257" customFormat="1">
      <c r="A26" s="948" t="s">
        <v>795</v>
      </c>
      <c r="B26" s="258" t="s">
        <v>2367</v>
      </c>
      <c r="C26" s="281">
        <f ca="1">ROUND(IF('数据-取费表'!B22&lt;=1,F21*F22*'数据-取费表'!B23/2,F21*(POWER((1+F22),'数据-取费表'!B23/2)-1)),4)</f>
        <v>1.4E-3</v>
      </c>
      <c r="D26" s="281"/>
      <c r="E26" s="284"/>
      <c r="F26" s="282"/>
      <c r="G26" s="286"/>
    </row>
    <row r="27" spans="1:7" s="257" customFormat="1" ht="24.75">
      <c r="A27" s="298" t="s">
        <v>2368</v>
      </c>
      <c r="B27" s="287" t="s">
        <v>2369</v>
      </c>
      <c r="C27" s="288">
        <f ca="1">C28</f>
        <v>1146</v>
      </c>
      <c r="D27" s="278">
        <f ca="1">C29</f>
        <v>2.8999999999999998E-3</v>
      </c>
      <c r="E27" s="279" t="s">
        <v>2370</v>
      </c>
      <c r="F27" s="289">
        <f ca="1">IF(B1="",'数据-取费表'!Q16,INDIRECT("'数据-取费表'!q"&amp;$G$1))</f>
        <v>0.1</v>
      </c>
      <c r="G27" s="290" t="s">
        <v>2371</v>
      </c>
    </row>
    <row r="28" spans="1:7" s="257" customFormat="1" ht="13.5" customHeight="1">
      <c r="A28" s="948" t="s">
        <v>791</v>
      </c>
      <c r="B28" s="291" t="s">
        <v>2372</v>
      </c>
      <c r="C28" s="292">
        <f ca="1">ROUND((C5+C19+C20)*F27*'数据-取费表'!B21/'数据-取费表'!B20,0)</f>
        <v>1146</v>
      </c>
      <c r="D28" s="278"/>
      <c r="E28" s="279"/>
      <c r="F28" s="289"/>
      <c r="G28" s="290"/>
    </row>
    <row r="29" spans="1:7" s="257" customFormat="1" ht="13.5" customHeight="1">
      <c r="A29" s="948" t="s">
        <v>792</v>
      </c>
      <c r="B29" s="291" t="s">
        <v>2373</v>
      </c>
      <c r="C29" s="281">
        <f ca="1">ROUND(C21*F27*'数据-取费表'!B21/'数据-取费表'!B20,4)</f>
        <v>2.8999999999999998E-3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15683</v>
      </c>
      <c r="D31" s="273"/>
      <c r="E31" s="254"/>
      <c r="F31" s="293"/>
      <c r="G31" s="277" t="s">
        <v>2378</v>
      </c>
    </row>
    <row r="32" spans="1:7" s="251" customFormat="1" ht="15.75">
      <c r="A32" s="295" t="s">
        <v>2379</v>
      </c>
      <c r="B32" s="296"/>
      <c r="C32" s="296"/>
      <c r="D32" s="296"/>
      <c r="E32" s="296"/>
      <c r="F32" s="296"/>
      <c r="G32" s="297"/>
    </row>
    <row r="33" spans="1:7" s="257" customFormat="1" ht="13.5" customHeight="1">
      <c r="A33" s="298" t="s">
        <v>782</v>
      </c>
      <c r="B33" s="253" t="s">
        <v>2380</v>
      </c>
      <c r="C33" s="299">
        <f ca="1">SUM(C34:C38)</f>
        <v>25475</v>
      </c>
      <c r="D33" s="275"/>
      <c r="E33" s="255"/>
      <c r="F33" s="284"/>
      <c r="G33" s="277"/>
    </row>
    <row r="34" spans="1:7" s="301" customFormat="1" ht="13.5" customHeight="1">
      <c r="A34" s="948" t="s">
        <v>791</v>
      </c>
      <c r="B34" s="258" t="s">
        <v>2381</v>
      </c>
      <c r="C34" s="263">
        <f ca="1">IF(B1="",IF(F34=100%,'数据-取费表'!M16,'数据-取费表'!O16),IF(F34=100%,INDIRECT("'数据-取费表'!m"&amp;$G$1)+INDIRECT("'数据-取费表'!t"&amp;$G$1),INDIRECT("'数据-取费表'!o"&amp;$G$1)+INDIRECT("'数据-取费表'!aq"&amp;$G$1)))</f>
        <v>22943</v>
      </c>
      <c r="D34" s="260"/>
      <c r="E34" s="263"/>
      <c r="F34" s="300">
        <f ca="1">IF('数据-取费表'!B24=0,1,IF(B1="",'数据-取费表'!N16,INDIRECT("'数据-取费表'!n"&amp;$G$1)))</f>
        <v>0.99</v>
      </c>
      <c r="G34" s="262" t="s">
        <v>2382</v>
      </c>
    </row>
    <row r="35" spans="1:7" ht="13.5" customHeight="1">
      <c r="A35" s="948" t="s">
        <v>796</v>
      </c>
      <c r="B35" s="258" t="s">
        <v>2383</v>
      </c>
      <c r="C35" s="263">
        <f ca="1">ROUND(C34*F35,0)</f>
        <v>688</v>
      </c>
      <c r="D35" s="263"/>
      <c r="E35" s="263"/>
      <c r="F35" s="302">
        <f>'数据-取费表'!B33</f>
        <v>0.03</v>
      </c>
      <c r="G35" s="262" t="s">
        <v>2384</v>
      </c>
    </row>
    <row r="36" spans="1:7" ht="24">
      <c r="A36" s="948" t="s">
        <v>797</v>
      </c>
      <c r="B36" s="258" t="s">
        <v>2385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2386</v>
      </c>
    </row>
    <row r="37" spans="1:7" s="301" customFormat="1" ht="13.5" customHeight="1">
      <c r="A37" s="948" t="s">
        <v>798</v>
      </c>
      <c r="B37" s="258" t="s">
        <v>2387</v>
      </c>
      <c r="C37" s="292">
        <f ca="1">ROUND(E37*D37*F34/10000,0)</f>
        <v>1500</v>
      </c>
      <c r="D37" s="260">
        <f ca="1">D19</f>
        <v>75745.560000000012</v>
      </c>
      <c r="E37" s="292">
        <f>'数据-取费表'!B35</f>
        <v>200</v>
      </c>
      <c r="F37" s="302"/>
      <c r="G37" s="304" t="s">
        <v>2388</v>
      </c>
    </row>
    <row r="38" spans="1:7" ht="13.5" customHeight="1">
      <c r="A38" s="948" t="s">
        <v>799</v>
      </c>
      <c r="B38" s="258" t="s">
        <v>2389</v>
      </c>
      <c r="C38" s="263">
        <f ca="1">ROUND(C34*F38,0)</f>
        <v>344</v>
      </c>
      <c r="D38" s="263"/>
      <c r="E38" s="263"/>
      <c r="F38" s="302">
        <f>'数据-取费表'!B36</f>
        <v>1.4999999999999999E-2</v>
      </c>
      <c r="G38" s="262" t="s">
        <v>2384</v>
      </c>
    </row>
    <row r="39" spans="1:7" s="257" customFormat="1" ht="13.5" customHeight="1">
      <c r="A39" s="298" t="s">
        <v>2390</v>
      </c>
      <c r="B39" s="253" t="s">
        <v>2391</v>
      </c>
      <c r="C39" s="275">
        <f ca="1">ROUND(C33*F20,0)</f>
        <v>510</v>
      </c>
      <c r="D39" s="275"/>
      <c r="E39" s="275"/>
      <c r="F39" s="276"/>
      <c r="G39" s="277" t="s">
        <v>2392</v>
      </c>
    </row>
    <row r="40" spans="1:7" s="257" customFormat="1" ht="13.5" customHeight="1">
      <c r="A40" s="298" t="s">
        <v>2393</v>
      </c>
      <c r="B40" s="253" t="s">
        <v>2394</v>
      </c>
      <c r="C40" s="1724">
        <f>F21</f>
        <v>0.03</v>
      </c>
      <c r="D40" s="279" t="s">
        <v>2395</v>
      </c>
      <c r="E40" s="275"/>
      <c r="F40" s="276"/>
      <c r="G40" s="277" t="s">
        <v>2396</v>
      </c>
    </row>
    <row r="41" spans="1:7" s="257" customFormat="1" ht="13.5" customHeight="1">
      <c r="A41" s="298" t="s">
        <v>2397</v>
      </c>
      <c r="B41" s="253" t="s">
        <v>2398</v>
      </c>
      <c r="C41" s="275">
        <f ca="1">ROUND(SUM(C42:C43),0)</f>
        <v>1171</v>
      </c>
      <c r="D41" s="278">
        <f ca="1">C44</f>
        <v>1.4E-3</v>
      </c>
      <c r="E41" s="279" t="s">
        <v>2395</v>
      </c>
      <c r="F41" s="280"/>
      <c r="G41" s="277" t="str">
        <f>IF('数据-取费表'!B22&lt;=1,"单利计息","复利计息")</f>
        <v>复利计息</v>
      </c>
    </row>
    <row r="42" spans="1:7" ht="13.5" customHeight="1">
      <c r="A42" s="948" t="s">
        <v>791</v>
      </c>
      <c r="B42" s="258" t="s">
        <v>2399</v>
      </c>
      <c r="C42" s="281">
        <f ca="1">ROUND(IF('数据-取费表'!B22&lt;=1,C33*F22*'数据-取费表'!B21/2,C33*(POWER((1+F22),'数据-取费表'!B21/2)-1)),0)</f>
        <v>1148</v>
      </c>
      <c r="D42" s="281"/>
      <c r="E42" s="281"/>
      <c r="F42" s="282"/>
      <c r="G42" s="3242" t="s">
        <v>2400</v>
      </c>
    </row>
    <row r="43" spans="1:7" ht="13.5" customHeight="1">
      <c r="A43" s="948" t="s">
        <v>792</v>
      </c>
      <c r="B43" s="258" t="s">
        <v>2401</v>
      </c>
      <c r="C43" s="281">
        <f ca="1">ROUND(IF('数据-取费表'!B22&lt;=1,C39*F22*'数据-取费表'!B21/2,C39*(POWER((1+F22),'数据-取费表'!B21/2)-1)),0)</f>
        <v>23</v>
      </c>
      <c r="D43" s="281"/>
      <c r="E43" s="281"/>
      <c r="F43" s="282"/>
      <c r="G43" s="3243"/>
    </row>
    <row r="44" spans="1:7" ht="13.5" customHeight="1">
      <c r="A44" s="948" t="s">
        <v>793</v>
      </c>
      <c r="B44" s="258" t="s">
        <v>2402</v>
      </c>
      <c r="C44" s="281">
        <f ca="1">ROUND(IF('数据-取费表'!B22&lt;=1,C40*F22*'数据-取费表'!B21/2,C40*(POWER((1+F22),'数据-取费表'!B21/2)-1)),4)</f>
        <v>1.4E-3</v>
      </c>
      <c r="D44" s="281"/>
      <c r="E44" s="281"/>
      <c r="F44" s="282"/>
      <c r="G44" s="3244"/>
    </row>
    <row r="45" spans="1:7" s="257" customFormat="1" ht="13.5" customHeight="1">
      <c r="A45" s="298" t="s">
        <v>2403</v>
      </c>
      <c r="B45" s="287" t="s">
        <v>2369</v>
      </c>
      <c r="C45" s="288">
        <f ca="1">C46</f>
        <v>2599</v>
      </c>
      <c r="D45" s="278">
        <f ca="1">C47</f>
        <v>3.0000000000000001E-3</v>
      </c>
      <c r="E45" s="279" t="s">
        <v>2395</v>
      </c>
      <c r="F45" s="289"/>
      <c r="G45" s="290" t="s">
        <v>2404</v>
      </c>
    </row>
    <row r="46" spans="1:7" s="257" customFormat="1" ht="13.5" customHeight="1">
      <c r="A46" s="948" t="s">
        <v>791</v>
      </c>
      <c r="B46" s="291" t="s">
        <v>2405</v>
      </c>
      <c r="C46" s="292">
        <f ca="1">ROUND((C33+C39)*F27,0)</f>
        <v>2599</v>
      </c>
      <c r="D46" s="306"/>
      <c r="E46" s="279"/>
      <c r="F46" s="289"/>
      <c r="G46" s="290"/>
    </row>
    <row r="47" spans="1:7" s="257" customFormat="1" ht="13.5" customHeight="1">
      <c r="A47" s="948" t="s">
        <v>792</v>
      </c>
      <c r="B47" s="291" t="s">
        <v>2406</v>
      </c>
      <c r="C47" s="281">
        <f ca="1">ROUND(C40*F27,4)</f>
        <v>3.0000000000000001E-3</v>
      </c>
      <c r="D47" s="306"/>
      <c r="E47" s="279"/>
      <c r="F47" s="289"/>
      <c r="G47" s="290"/>
    </row>
    <row r="48" spans="1:7" s="257" customFormat="1" ht="13.5" customHeight="1">
      <c r="A48" s="298" t="s">
        <v>2368</v>
      </c>
      <c r="B48" s="253" t="s">
        <v>2407</v>
      </c>
      <c r="C48" s="1724">
        <f>ROUND(F30/(1+'数据-取费表'!C42),4)</f>
        <v>5.33E-2</v>
      </c>
      <c r="D48" s="279" t="s">
        <v>2395</v>
      </c>
      <c r="E48" s="275"/>
      <c r="F48" s="280"/>
      <c r="G48" s="277" t="s">
        <v>2408</v>
      </c>
    </row>
    <row r="49" spans="1:7" ht="16.5" customHeight="1">
      <c r="A49" s="298" t="s">
        <v>2374</v>
      </c>
      <c r="B49" s="253" t="s">
        <v>2409</v>
      </c>
      <c r="C49" s="275">
        <f ca="1">ROUND((C33+C39+C41+C45)/(1-C40-D41-D45-C48),0)</f>
        <v>32615</v>
      </c>
      <c r="D49" s="275"/>
      <c r="E49" s="275"/>
      <c r="F49" s="307"/>
      <c r="G49" s="277" t="s">
        <v>2410</v>
      </c>
    </row>
    <row r="50" spans="1:7" s="301" customFormat="1" ht="24">
      <c r="A50" s="298" t="s">
        <v>2411</v>
      </c>
      <c r="B50" s="253" t="s">
        <v>2412</v>
      </c>
      <c r="C50" s="275"/>
      <c r="D50" s="275"/>
      <c r="E50" s="275"/>
      <c r="F50" s="307">
        <f>IF('数据-取费表'!B24=0,'数据-取费表'!N16,1)</f>
        <v>1</v>
      </c>
      <c r="G50" s="290" t="s">
        <v>2413</v>
      </c>
    </row>
    <row r="51" spans="1:7" ht="16.5" customHeight="1">
      <c r="A51" s="298" t="s">
        <v>2414</v>
      </c>
      <c r="B51" s="253" t="s">
        <v>2415</v>
      </c>
      <c r="C51" s="275">
        <f ca="1">ROUND(C49*F50,0)</f>
        <v>32615</v>
      </c>
      <c r="D51" s="275"/>
      <c r="E51" s="275"/>
      <c r="F51" s="307"/>
      <c r="G51" s="277" t="s">
        <v>2416</v>
      </c>
    </row>
    <row r="52" spans="1:7" s="251" customFormat="1" ht="16.5" thickBot="1">
      <c r="A52" s="308" t="s">
        <v>2417</v>
      </c>
      <c r="B52" s="309"/>
      <c r="C52" s="310">
        <f ca="1">C31+C51</f>
        <v>48298</v>
      </c>
      <c r="D52" s="309"/>
      <c r="E52" s="309"/>
      <c r="F52" s="309"/>
      <c r="G52" s="311"/>
    </row>
    <row r="55" spans="1:7" ht="15">
      <c r="B55" s="313" t="s">
        <v>2418</v>
      </c>
      <c r="C55" s="314"/>
    </row>
    <row r="56" spans="1:7">
      <c r="B56" s="316" t="s">
        <v>1509</v>
      </c>
      <c r="C56" s="318">
        <f ca="1">1-C57</f>
        <v>0.32499999999999996</v>
      </c>
    </row>
    <row r="57" spans="1:7">
      <c r="B57" s="316" t="s">
        <v>1510</v>
      </c>
      <c r="C57" s="317">
        <f ca="1">ROUND(C51/C52,3)</f>
        <v>0.67500000000000004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2317</v>
      </c>
      <c r="B1" s="1933"/>
      <c r="C1" s="2548" t="s">
        <v>2419</v>
      </c>
      <c r="D1" s="241"/>
      <c r="E1" s="241"/>
      <c r="F1" s="241"/>
      <c r="G1" s="1376">
        <f>MATCH(B1,'数据-取费表'!A6:A16,0)+5</f>
        <v>9</v>
      </c>
      <c r="H1" s="1279" t="str">
        <f>IF(ISERROR(FIND("住宅",B1)),"非住宅","住宅")</f>
        <v>非住宅</v>
      </c>
    </row>
    <row r="2" spans="1:8" s="243" customFormat="1" ht="18" customHeight="1">
      <c r="A2" s="244" t="s">
        <v>2318</v>
      </c>
      <c r="B2" s="245">
        <f ca="1">ROUND(IF(D2="——",C52/10000,C52/10000-E2),0)</f>
        <v>35953</v>
      </c>
      <c r="C2" s="242" t="s">
        <v>2319</v>
      </c>
      <c r="D2" s="2542" t="s">
        <v>70</v>
      </c>
      <c r="E2" s="1437" t="e">
        <f ca="1">SUMIF(INDIRECT("'"&amp;G2&amp;"'"&amp;"!A:A"),"承租人权益价值",INDIRECT("'"&amp;G2&amp;"'"&amp;"!c:c"))</f>
        <v>#REF!</v>
      </c>
      <c r="F2" s="2543" t="s">
        <v>2319</v>
      </c>
      <c r="G2" s="2544"/>
    </row>
    <row r="3" spans="1:8" s="243" customFormat="1" ht="18" customHeight="1" thickBot="1">
      <c r="A3" s="246" t="s">
        <v>2320</v>
      </c>
      <c r="B3" s="247">
        <f ca="1">ROUND(B2*10000/(IF(B1="",'数据-汇总表'!E3,INDIRECT("'数据-取费表'!k"&amp;$G$1))),0)</f>
        <v>4747</v>
      </c>
      <c r="C3" s="242" t="s">
        <v>2321</v>
      </c>
      <c r="D3" s="242"/>
      <c r="E3" s="242"/>
      <c r="F3" s="242"/>
      <c r="G3" s="242"/>
    </row>
    <row r="4" spans="1:8" s="251" customFormat="1" ht="15.75">
      <c r="A4" s="248" t="s">
        <v>2322</v>
      </c>
      <c r="B4" s="249"/>
      <c r="C4" s="249"/>
      <c r="D4" s="249"/>
      <c r="E4" s="249"/>
      <c r="F4" s="249"/>
      <c r="G4" s="250"/>
    </row>
    <row r="5" spans="1:8" s="257" customFormat="1" ht="13.5" customHeight="1">
      <c r="A5" s="298" t="s">
        <v>2323</v>
      </c>
      <c r="B5" s="253" t="s">
        <v>2324</v>
      </c>
      <c r="C5" s="254">
        <f ca="1">C6+C7+C8</f>
        <v>6817100</v>
      </c>
      <c r="D5" s="254" t="s">
        <v>2325</v>
      </c>
      <c r="E5" s="255" t="s">
        <v>2326</v>
      </c>
      <c r="F5" s="255" t="s">
        <v>2327</v>
      </c>
      <c r="G5" s="256"/>
    </row>
    <row r="6" spans="1:8" s="257" customFormat="1" ht="13.5" customHeight="1">
      <c r="A6" s="946" t="s">
        <v>2328</v>
      </c>
      <c r="B6" s="258" t="s">
        <v>2329</v>
      </c>
      <c r="C6" s="259"/>
      <c r="D6" s="260"/>
      <c r="E6" s="261"/>
      <c r="F6" s="261"/>
      <c r="G6" s="262"/>
    </row>
    <row r="7" spans="1:8" s="257" customFormat="1" ht="13.5" customHeight="1">
      <c r="A7" s="946" t="s">
        <v>2330</v>
      </c>
      <c r="B7" s="258" t="s">
        <v>2331</v>
      </c>
      <c r="C7" s="263">
        <f>ROUND(C6*F7,0)</f>
        <v>0</v>
      </c>
      <c r="D7" s="263"/>
      <c r="E7" s="261"/>
      <c r="F7" s="264">
        <f>'数据-取费表'!B48+'数据-取费表'!B49</f>
        <v>4.0500000000000001E-2</v>
      </c>
      <c r="G7" s="262"/>
    </row>
    <row r="8" spans="1:8" s="266" customFormat="1">
      <c r="A8" s="946" t="s">
        <v>2332</v>
      </c>
      <c r="B8" s="258" t="s">
        <v>2333</v>
      </c>
      <c r="C8" s="263">
        <f ca="1">IF(G8="已包含在土地购买价格中",0,C9+C10)</f>
        <v>6817100</v>
      </c>
      <c r="D8" s="265"/>
      <c r="E8" s="263"/>
      <c r="F8" s="264"/>
      <c r="G8" s="2545"/>
    </row>
    <row r="9" spans="1:8" s="257" customFormat="1" ht="13.5" customHeight="1">
      <c r="A9" s="947" t="s">
        <v>800</v>
      </c>
      <c r="B9" s="267" t="s">
        <v>2334</v>
      </c>
      <c r="C9" s="268">
        <f ca="1">ROUND(D9*E9,0)</f>
        <v>0</v>
      </c>
      <c r="D9" s="1029">
        <f ca="1">IF(B1="",'数据-汇总表'!E5,IF(INDIRECT("'数据-取费表'!c"&amp;$G$1)="住宅",INDIRECT("'数据-取费表'!k"&amp;$G$1),0))</f>
        <v>0</v>
      </c>
      <c r="E9" s="268">
        <f>'数据-取费表'!B27</f>
        <v>90</v>
      </c>
      <c r="F9" s="264"/>
      <c r="G9" s="269"/>
    </row>
    <row r="10" spans="1:8" s="257" customFormat="1" ht="13.5" customHeight="1">
      <c r="A10" s="947" t="s">
        <v>801</v>
      </c>
      <c r="B10" s="267" t="s">
        <v>2336</v>
      </c>
      <c r="C10" s="268">
        <f ca="1">ROUND(D10*E10,0)</f>
        <v>6817100</v>
      </c>
      <c r="D10" s="1029">
        <f ca="1">IF(B1="",'数据-汇总表'!E6,IF(INDIRECT("'数据-取费表'!c"&amp;$G$1)="住宅",INDIRECT("'数据-取费表'!s"&amp;$G$1),INDIRECT("'数据-取费表'!k"&amp;$G$1)+INDIRECT("'数据-取费表'!s"&amp;$G$1)))</f>
        <v>75745.560000000012</v>
      </c>
      <c r="E10" s="268">
        <f>'数据-取费表'!B28</f>
        <v>90</v>
      </c>
      <c r="F10" s="264"/>
      <c r="G10" s="269"/>
    </row>
    <row r="11" spans="1:8" s="257" customFormat="1" ht="13.5" hidden="1" customHeight="1">
      <c r="A11" s="270" t="s">
        <v>7</v>
      </c>
      <c r="B11" s="258" t="s">
        <v>2337</v>
      </c>
      <c r="C11" s="254"/>
      <c r="D11" s="1031"/>
      <c r="E11" s="261"/>
      <c r="F11" s="261"/>
      <c r="G11" s="262"/>
    </row>
    <row r="12" spans="1:8" s="257" customFormat="1" ht="13.5" hidden="1" customHeight="1">
      <c r="A12" s="270" t="s">
        <v>8</v>
      </c>
      <c r="B12" s="258" t="s">
        <v>2420</v>
      </c>
      <c r="C12" s="254">
        <v>0</v>
      </c>
      <c r="D12" s="1031"/>
      <c r="E12" s="271"/>
      <c r="F12" s="264">
        <v>3.0499999999999999E-2</v>
      </c>
      <c r="G12" s="262"/>
    </row>
    <row r="13" spans="1:8" s="257" customFormat="1" ht="13.5" hidden="1" customHeight="1">
      <c r="A13" s="270" t="s">
        <v>9</v>
      </c>
      <c r="B13" s="258" t="s">
        <v>2421</v>
      </c>
      <c r="C13" s="254"/>
      <c r="D13" s="1031"/>
      <c r="E13" s="261"/>
      <c r="F13" s="261"/>
      <c r="G13" s="262"/>
    </row>
    <row r="14" spans="1:8" s="257" customFormat="1" ht="13.5" hidden="1" customHeight="1">
      <c r="A14" s="270" t="s">
        <v>10</v>
      </c>
      <c r="B14" s="258" t="s">
        <v>2333</v>
      </c>
      <c r="C14" s="254"/>
      <c r="D14" s="1031"/>
      <c r="E14" s="261"/>
      <c r="F14" s="261"/>
      <c r="G14" s="262" t="s">
        <v>2422</v>
      </c>
    </row>
    <row r="15" spans="1:8" s="257" customFormat="1" ht="13.5" hidden="1" customHeight="1">
      <c r="A15" s="270" t="s">
        <v>11</v>
      </c>
      <c r="B15" s="258" t="s">
        <v>2423</v>
      </c>
      <c r="C15" s="263"/>
      <c r="D15" s="1031"/>
      <c r="E15" s="261"/>
      <c r="F15" s="261"/>
      <c r="G15" s="262" t="s">
        <v>2424</v>
      </c>
    </row>
    <row r="16" spans="1:8" s="257" customFormat="1" ht="13.5" hidden="1" customHeight="1">
      <c r="A16" s="270" t="s">
        <v>12</v>
      </c>
      <c r="B16" s="258" t="s">
        <v>2333</v>
      </c>
      <c r="C16" s="263"/>
      <c r="D16" s="1031"/>
      <c r="E16" s="261"/>
      <c r="F16" s="261"/>
      <c r="G16" s="262"/>
    </row>
    <row r="17" spans="1:7" s="257" customFormat="1" ht="13.5" hidden="1" customHeight="1">
      <c r="A17" s="270" t="s">
        <v>13</v>
      </c>
      <c r="B17" s="258" t="s">
        <v>2425</v>
      </c>
      <c r="C17" s="272"/>
      <c r="D17" s="1032"/>
      <c r="E17" s="272"/>
      <c r="F17" s="272"/>
      <c r="G17" s="262" t="s">
        <v>2424</v>
      </c>
    </row>
    <row r="18" spans="1:7" s="257" customFormat="1" ht="13.5" hidden="1" customHeight="1">
      <c r="A18" s="270" t="s">
        <v>14</v>
      </c>
      <c r="B18" s="258" t="s">
        <v>2426</v>
      </c>
      <c r="C18" s="263">
        <v>0</v>
      </c>
      <c r="D18" s="1031"/>
      <c r="E18" s="261"/>
      <c r="F18" s="264">
        <v>3.0499999999999999E-2</v>
      </c>
      <c r="G18" s="262" t="s">
        <v>2427</v>
      </c>
    </row>
    <row r="19" spans="1:7" s="266" customFormat="1" ht="13.5" customHeight="1">
      <c r="A19" s="298" t="s">
        <v>2428</v>
      </c>
      <c r="B19" s="253" t="s">
        <v>2429</v>
      </c>
      <c r="C19" s="254">
        <f ca="1">IF(G19="已包含在土地取得成本中","0",ROUND(D19*E19,0))</f>
        <v>15149112</v>
      </c>
      <c r="D19" s="1033">
        <f ca="1">D9+D10</f>
        <v>75745.560000000012</v>
      </c>
      <c r="E19" s="254">
        <f>'数据-取费表'!B31</f>
        <v>200</v>
      </c>
      <c r="F19" s="274"/>
      <c r="G19" s="2545"/>
    </row>
    <row r="20" spans="1:7" s="257" customFormat="1" ht="13.5" customHeight="1">
      <c r="A20" s="298" t="s">
        <v>2430</v>
      </c>
      <c r="B20" s="253" t="s">
        <v>2431</v>
      </c>
      <c r="C20" s="275">
        <f ca="1">ROUND((C5+C19)*F20,0)</f>
        <v>439324</v>
      </c>
      <c r="D20" s="275"/>
      <c r="E20" s="275"/>
      <c r="F20" s="276">
        <f>'数据-取费表'!B37</f>
        <v>0.02</v>
      </c>
      <c r="G20" s="277" t="s">
        <v>2432</v>
      </c>
    </row>
    <row r="21" spans="1:7" s="257" customFormat="1" ht="13.5" customHeight="1">
      <c r="A21" s="298" t="s">
        <v>2433</v>
      </c>
      <c r="B21" s="253" t="s">
        <v>2434</v>
      </c>
      <c r="C21" s="278">
        <f>F21</f>
        <v>0.03</v>
      </c>
      <c r="D21" s="279" t="s">
        <v>2435</v>
      </c>
      <c r="E21" s="275"/>
      <c r="F21" s="276">
        <f>'数据-取费表'!B38</f>
        <v>0.03</v>
      </c>
      <c r="G21" s="277" t="s">
        <v>2436</v>
      </c>
    </row>
    <row r="22" spans="1:7" s="257" customFormat="1" ht="13.5" customHeight="1">
      <c r="A22" s="298" t="s">
        <v>2437</v>
      </c>
      <c r="B22" s="253" t="s">
        <v>2438</v>
      </c>
      <c r="C22" s="1377">
        <f ca="1">ROUND(SUM(C23:C25),0)</f>
        <v>2157220</v>
      </c>
      <c r="D22" s="278">
        <f ca="1">C26</f>
        <v>1.4E-3</v>
      </c>
      <c r="E22" s="279" t="s">
        <v>2435</v>
      </c>
      <c r="F22" s="280">
        <f ca="1">'数据-取费表'!B40</f>
        <v>4.7500000000000001E-2</v>
      </c>
      <c r="G22" s="277" t="str">
        <f>IF('数据-取费表'!B22&lt;=1,"单利计息","复利计息")</f>
        <v>复利计息</v>
      </c>
    </row>
    <row r="23" spans="1:7" s="257" customFormat="1" ht="13.5" customHeight="1">
      <c r="A23" s="948" t="s">
        <v>2328</v>
      </c>
      <c r="B23" s="258" t="s">
        <v>2439</v>
      </c>
      <c r="C23" s="1378">
        <f ca="1">ROUND(IF('数据-取费表'!B22&lt;=1,C5*F22*'数据-取费表'!B22,C5*(POWER((1+F22),'数据-取费表'!B22)-1)),0)</f>
        <v>663006</v>
      </c>
      <c r="D23" s="281"/>
      <c r="E23" s="281"/>
      <c r="F23" s="282"/>
      <c r="G23" s="283" t="s">
        <v>2440</v>
      </c>
    </row>
    <row r="24" spans="1:7" s="257" customFormat="1" ht="13.5" customHeight="1">
      <c r="A24" s="948" t="s">
        <v>2330</v>
      </c>
      <c r="B24" s="258" t="s">
        <v>2441</v>
      </c>
      <c r="C24" s="1378">
        <f ca="1">ROUND(IF('数据-取费表'!B22&lt;=1,C19*F22*('数据-取费表'!B19/2+'数据-取费表'!B20),C19*(POWER((1+F22),('数据-取费表'!B19/2+'数据-取费表'!B20))-1)),0)</f>
        <v>1473346</v>
      </c>
      <c r="D24" s="281"/>
      <c r="E24" s="281"/>
      <c r="F24" s="282"/>
      <c r="G24" s="283" t="s">
        <v>2442</v>
      </c>
    </row>
    <row r="25" spans="1:7" s="257" customFormat="1" ht="24">
      <c r="A25" s="948" t="s">
        <v>2332</v>
      </c>
      <c r="B25" s="258" t="s">
        <v>2443</v>
      </c>
      <c r="C25" s="1378">
        <f ca="1">ROUND(IF('数据-取费表'!B22&lt;=1,C20*F22*'数据-取费表'!B22/2,C20*(POWER((1+F22),'数据-取费表'!B22/2)-1)),0)</f>
        <v>20868</v>
      </c>
      <c r="D25" s="281"/>
      <c r="E25" s="284"/>
      <c r="F25" s="282"/>
      <c r="G25" s="285" t="s">
        <v>2444</v>
      </c>
    </row>
    <row r="26" spans="1:7" s="257" customFormat="1">
      <c r="A26" s="948" t="s">
        <v>795</v>
      </c>
      <c r="B26" s="258" t="s">
        <v>2367</v>
      </c>
      <c r="C26" s="281">
        <f ca="1">ROUND(IF('数据-取费表'!B22&lt;=1,F21*F22*'数据-取费表'!B22/2,F21*(POWER((1+F22),'数据-取费表'!B22/2)-1)),4)</f>
        <v>1.4E-3</v>
      </c>
      <c r="D26" s="281"/>
      <c r="E26" s="284"/>
      <c r="F26" s="282"/>
      <c r="G26" s="286"/>
    </row>
    <row r="27" spans="1:7" s="257" customFormat="1" ht="24.75">
      <c r="A27" s="298" t="s">
        <v>2368</v>
      </c>
      <c r="B27" s="287" t="s">
        <v>2369</v>
      </c>
      <c r="C27" s="288">
        <f ca="1">C28</f>
        <v>2240554</v>
      </c>
      <c r="D27" s="278">
        <f ca="1">C29</f>
        <v>3.0000000000000001E-3</v>
      </c>
      <c r="E27" s="279" t="s">
        <v>2370</v>
      </c>
      <c r="F27" s="289">
        <f ca="1">IF(B1="",'数据-取费表'!Q16,INDIRECT("'数据-取费表'!q"&amp;$G$1))</f>
        <v>0.1</v>
      </c>
      <c r="G27" s="290" t="s">
        <v>2371</v>
      </c>
    </row>
    <row r="28" spans="1:7" s="257" customFormat="1" ht="13.5" customHeight="1">
      <c r="A28" s="948" t="s">
        <v>791</v>
      </c>
      <c r="B28" s="291" t="s">
        <v>2372</v>
      </c>
      <c r="C28" s="292">
        <f ca="1">ROUND((C5+C19+C20)*F27,0)</f>
        <v>2240554</v>
      </c>
      <c r="D28" s="278"/>
      <c r="E28" s="279"/>
      <c r="F28" s="289"/>
      <c r="G28" s="290"/>
    </row>
    <row r="29" spans="1:7" s="257" customFormat="1" ht="13.5" customHeight="1">
      <c r="A29" s="948" t="s">
        <v>792</v>
      </c>
      <c r="B29" s="291" t="s">
        <v>2373</v>
      </c>
      <c r="C29" s="281">
        <f ca="1">ROUND(C21*F27,4)</f>
        <v>3.0000000000000001E-3</v>
      </c>
      <c r="D29" s="278"/>
      <c r="E29" s="279"/>
      <c r="F29" s="289"/>
      <c r="G29" s="290"/>
    </row>
    <row r="30" spans="1:7" s="257" customFormat="1" ht="13.5" customHeight="1">
      <c r="A30" s="298" t="s">
        <v>2374</v>
      </c>
      <c r="B30" s="253" t="s">
        <v>2375</v>
      </c>
      <c r="C30" s="278">
        <f>ROUND(F30/(1+'数据-取费表'!C42),4)</f>
        <v>5.33E-2</v>
      </c>
      <c r="D30" s="279" t="s">
        <v>2370</v>
      </c>
      <c r="E30" s="284"/>
      <c r="F30" s="280">
        <f>'数据-取费表'!B41</f>
        <v>5.6000000000000001E-2</v>
      </c>
      <c r="G30" s="277" t="s">
        <v>2376</v>
      </c>
    </row>
    <row r="31" spans="1:7" ht="16.5" customHeight="1">
      <c r="A31" s="252">
        <v>1</v>
      </c>
      <c r="B31" s="253" t="s">
        <v>2377</v>
      </c>
      <c r="C31" s="254">
        <f ca="1">ROUND((C5+C19+C20+C22+C27)/(1-C21-D22-D27-C30),0)</f>
        <v>29379930</v>
      </c>
      <c r="D31" s="273"/>
      <c r="E31" s="254"/>
      <c r="F31" s="293"/>
      <c r="G31" s="277" t="s">
        <v>2378</v>
      </c>
    </row>
    <row r="32" spans="1:7" s="251" customFormat="1" ht="15.75">
      <c r="A32" s="295" t="s">
        <v>2445</v>
      </c>
      <c r="B32" s="296"/>
      <c r="C32" s="296"/>
      <c r="D32" s="296"/>
      <c r="E32" s="296"/>
      <c r="F32" s="296"/>
      <c r="G32" s="297"/>
    </row>
    <row r="33" spans="1:7" s="257" customFormat="1" ht="13.5" customHeight="1">
      <c r="A33" s="298" t="s">
        <v>782</v>
      </c>
      <c r="B33" s="253" t="s">
        <v>2446</v>
      </c>
      <c r="C33" s="299">
        <f ca="1">SUM(C34:C38)</f>
        <v>257330945</v>
      </c>
      <c r="D33" s="275"/>
      <c r="E33" s="255"/>
      <c r="F33" s="284"/>
      <c r="G33" s="277"/>
    </row>
    <row r="34" spans="1:7" s="301" customFormat="1" ht="13.5" customHeight="1">
      <c r="A34" s="948" t="s">
        <v>791</v>
      </c>
      <c r="B34" s="258" t="s">
        <v>2381</v>
      </c>
      <c r="C34" s="263">
        <f ca="1">ROUND(IF(B1="",SUMPRODUCT('数据-取费表'!K6:K14,'数据-取费表'!L6:L14),INDIRECT("'数据-取费表'!l"&amp;$G$1)*INDIRECT("'数据-取费表'!k"&amp;$G$1)+'数据-取费表'!L14*INDIRECT("'数据-取费表'!S"&amp;$G$1)),0)</f>
        <v>231752950</v>
      </c>
      <c r="D34" s="260"/>
      <c r="E34" s="263"/>
      <c r="F34" s="300"/>
      <c r="G34" s="262"/>
    </row>
    <row r="35" spans="1:7" ht="13.5" customHeight="1">
      <c r="A35" s="948" t="s">
        <v>796</v>
      </c>
      <c r="B35" s="258" t="s">
        <v>2383</v>
      </c>
      <c r="C35" s="263">
        <f ca="1">ROUND(C34*F35,0)</f>
        <v>6952589</v>
      </c>
      <c r="D35" s="263"/>
      <c r="E35" s="263"/>
      <c r="F35" s="302">
        <f>'数据-取费表'!B33</f>
        <v>0.03</v>
      </c>
      <c r="G35" s="262" t="s">
        <v>2384</v>
      </c>
    </row>
    <row r="36" spans="1:7" ht="24">
      <c r="A36" s="948" t="s">
        <v>797</v>
      </c>
      <c r="B36" s="258" t="s">
        <v>2385</v>
      </c>
      <c r="C36" s="263">
        <f ca="1">ROUND(IF(B1="",SUM('数据-取费表'!AP6:AP13)*F36,IF(INDIRECT("'数据-取费表'!c"&amp;$G$1)="住宅",INDIRECT("'数据-取费表'!k"&amp;$G$1)*INDIRECT("'数据-取费表'!l"&amp;$G$1)*F36,0)),0)</f>
        <v>0</v>
      </c>
      <c r="D36" s="263"/>
      <c r="E36" s="263"/>
      <c r="F36" s="302">
        <f>'数据-取费表'!B34</f>
        <v>0</v>
      </c>
      <c r="G36" s="303" t="s">
        <v>2386</v>
      </c>
    </row>
    <row r="37" spans="1:7" s="301" customFormat="1" ht="13.5" customHeight="1">
      <c r="A37" s="948" t="s">
        <v>798</v>
      </c>
      <c r="B37" s="258" t="s">
        <v>2387</v>
      </c>
      <c r="C37" s="292">
        <f ca="1">ROUND(E37*D37,0)</f>
        <v>15149112</v>
      </c>
      <c r="D37" s="260">
        <f ca="1">D19</f>
        <v>75745.560000000012</v>
      </c>
      <c r="E37" s="292">
        <f>'数据-取费表'!B35</f>
        <v>200</v>
      </c>
      <c r="F37" s="302"/>
      <c r="G37" s="304"/>
    </row>
    <row r="38" spans="1:7" ht="13.5" customHeight="1">
      <c r="A38" s="948" t="s">
        <v>799</v>
      </c>
      <c r="B38" s="258" t="s">
        <v>2389</v>
      </c>
      <c r="C38" s="263">
        <f ca="1">ROUND(C34*F38,0)</f>
        <v>3476294</v>
      </c>
      <c r="D38" s="263"/>
      <c r="E38" s="263"/>
      <c r="F38" s="302">
        <f>'数据-取费表'!B36</f>
        <v>1.4999999999999999E-2</v>
      </c>
      <c r="G38" s="262" t="s">
        <v>2384</v>
      </c>
    </row>
    <row r="39" spans="1:7" s="257" customFormat="1" ht="13.5" customHeight="1">
      <c r="A39" s="298" t="s">
        <v>2390</v>
      </c>
      <c r="B39" s="253" t="s">
        <v>2391</v>
      </c>
      <c r="C39" s="275">
        <f ca="1">ROUND(C33*F20,0)</f>
        <v>5146619</v>
      </c>
      <c r="D39" s="275"/>
      <c r="E39" s="275"/>
      <c r="F39" s="276"/>
      <c r="G39" s="277" t="s">
        <v>2392</v>
      </c>
    </row>
    <row r="40" spans="1:7" s="257" customFormat="1" ht="13.5" customHeight="1">
      <c r="A40" s="298" t="s">
        <v>2393</v>
      </c>
      <c r="B40" s="253" t="s">
        <v>2394</v>
      </c>
      <c r="C40" s="1724">
        <f>F21</f>
        <v>0.03</v>
      </c>
      <c r="D40" s="279" t="s">
        <v>2395</v>
      </c>
      <c r="E40" s="275"/>
      <c r="F40" s="276"/>
      <c r="G40" s="277" t="s">
        <v>2396</v>
      </c>
    </row>
    <row r="41" spans="1:7" s="257" customFormat="1" ht="13.5" customHeight="1">
      <c r="A41" s="298" t="s">
        <v>2397</v>
      </c>
      <c r="B41" s="253" t="s">
        <v>2398</v>
      </c>
      <c r="C41" s="275">
        <f ca="1">ROUND(SUM(C42:C43),0)</f>
        <v>12467684</v>
      </c>
      <c r="D41" s="278">
        <f ca="1">C44</f>
        <v>1.4E-3</v>
      </c>
      <c r="E41" s="279" t="s">
        <v>2395</v>
      </c>
      <c r="F41" s="280"/>
      <c r="G41" s="277" t="str">
        <f>IF('数据-取费表'!B22&lt;=1,"单利计息","复利计息")</f>
        <v>复利计息</v>
      </c>
    </row>
    <row r="42" spans="1:7" ht="13.5" customHeight="1">
      <c r="A42" s="948" t="s">
        <v>791</v>
      </c>
      <c r="B42" s="258" t="s">
        <v>2399</v>
      </c>
      <c r="C42" s="281">
        <f ca="1">ROUND(IF('数据-取费表'!B22&lt;=1,C33*F22*'数据-取费表'!B20/2,C33*(POWER((1+F22),'数据-取费表'!B20/2)-1)),0)</f>
        <v>12223220</v>
      </c>
      <c r="D42" s="281"/>
      <c r="E42" s="281"/>
      <c r="F42" s="282"/>
      <c r="G42" s="3242" t="s">
        <v>2447</v>
      </c>
    </row>
    <row r="43" spans="1:7" ht="13.5" customHeight="1">
      <c r="A43" s="948" t="s">
        <v>792</v>
      </c>
      <c r="B43" s="258" t="s">
        <v>2401</v>
      </c>
      <c r="C43" s="281">
        <f ca="1">ROUND(IF('数据-取费表'!B22&lt;=1,C39*F22*'数据-取费表'!B20/2,C39*(POWER((1+F22),'数据-取费表'!B20/2)-1)),0)</f>
        <v>244464</v>
      </c>
      <c r="D43" s="281"/>
      <c r="E43" s="281"/>
      <c r="F43" s="282"/>
      <c r="G43" s="3243"/>
    </row>
    <row r="44" spans="1:7" ht="13.5" customHeight="1">
      <c r="A44" s="948" t="s">
        <v>793</v>
      </c>
      <c r="B44" s="258" t="s">
        <v>2402</v>
      </c>
      <c r="C44" s="281">
        <f ca="1">ROUND(IF('数据-取费表'!B22&lt;=1,C40*F22*'数据-取费表'!B20/2,C40*(POWER((1+F22),'数据-取费表'!B20/2)-1)),4)</f>
        <v>1.4E-3</v>
      </c>
      <c r="D44" s="281"/>
      <c r="E44" s="281"/>
      <c r="F44" s="282"/>
      <c r="G44" s="3244"/>
    </row>
    <row r="45" spans="1:7" s="257" customFormat="1" ht="13.5" customHeight="1">
      <c r="A45" s="298" t="s">
        <v>2403</v>
      </c>
      <c r="B45" s="287" t="s">
        <v>2369</v>
      </c>
      <c r="C45" s="288">
        <f ca="1">C46</f>
        <v>26247756</v>
      </c>
      <c r="D45" s="278">
        <f ca="1">C47</f>
        <v>3.0000000000000001E-3</v>
      </c>
      <c r="E45" s="279" t="s">
        <v>2395</v>
      </c>
      <c r="F45" s="289"/>
      <c r="G45" s="290" t="s">
        <v>2404</v>
      </c>
    </row>
    <row r="46" spans="1:7" s="257" customFormat="1" ht="13.5" customHeight="1">
      <c r="A46" s="948" t="s">
        <v>791</v>
      </c>
      <c r="B46" s="291" t="s">
        <v>2405</v>
      </c>
      <c r="C46" s="292">
        <f ca="1">ROUND((C33+C39)*F27,0)</f>
        <v>26247756</v>
      </c>
      <c r="D46" s="306"/>
      <c r="E46" s="279"/>
      <c r="F46" s="289"/>
      <c r="G46" s="290"/>
    </row>
    <row r="47" spans="1:7" s="257" customFormat="1" ht="13.5" customHeight="1">
      <c r="A47" s="948" t="s">
        <v>792</v>
      </c>
      <c r="B47" s="291" t="s">
        <v>2406</v>
      </c>
      <c r="C47" s="281">
        <f ca="1">ROUND(C40*F27,4)</f>
        <v>3.0000000000000001E-3</v>
      </c>
      <c r="D47" s="306"/>
      <c r="E47" s="279"/>
      <c r="F47" s="289"/>
      <c r="G47" s="290"/>
    </row>
    <row r="48" spans="1:7" s="257" customFormat="1" ht="13.5" customHeight="1">
      <c r="A48" s="298" t="s">
        <v>2368</v>
      </c>
      <c r="B48" s="253" t="s">
        <v>2407</v>
      </c>
      <c r="C48" s="305">
        <f>ROUND(F30/(1+'数据-取费表'!C42),4)</f>
        <v>5.33E-2</v>
      </c>
      <c r="D48" s="279" t="s">
        <v>2395</v>
      </c>
      <c r="E48" s="275"/>
      <c r="F48" s="280"/>
      <c r="G48" s="277" t="s">
        <v>2408</v>
      </c>
    </row>
    <row r="49" spans="1:7" ht="16.5" customHeight="1">
      <c r="A49" s="298" t="s">
        <v>2374</v>
      </c>
      <c r="B49" s="253" t="s">
        <v>2448</v>
      </c>
      <c r="C49" s="275">
        <f ca="1">ROUND((C33+C39+C41+C45)/(1-C40-D41-D45-C48),0)</f>
        <v>330146886</v>
      </c>
      <c r="D49" s="275"/>
      <c r="E49" s="275"/>
      <c r="F49" s="307"/>
      <c r="G49" s="277" t="s">
        <v>2410</v>
      </c>
    </row>
    <row r="50" spans="1:7" s="301" customFormat="1">
      <c r="A50" s="298" t="s">
        <v>2411</v>
      </c>
      <c r="B50" s="253" t="s">
        <v>2412</v>
      </c>
      <c r="C50" s="275"/>
      <c r="D50" s="275"/>
      <c r="E50" s="275"/>
      <c r="F50" s="307">
        <f>IF('数据-取费表'!B24=0,'数据-取费表'!N16,1)</f>
        <v>1</v>
      </c>
      <c r="G50" s="290"/>
    </row>
    <row r="51" spans="1:7" ht="16.5" customHeight="1">
      <c r="A51" s="298" t="s">
        <v>2414</v>
      </c>
      <c r="B51" s="253" t="s">
        <v>2449</v>
      </c>
      <c r="C51" s="275">
        <f ca="1">ROUND(C49*F50,0)</f>
        <v>330146886</v>
      </c>
      <c r="D51" s="275"/>
      <c r="E51" s="275"/>
      <c r="F51" s="307"/>
      <c r="G51" s="277" t="s">
        <v>2416</v>
      </c>
    </row>
    <row r="52" spans="1:7" s="251" customFormat="1" ht="16.5" thickBot="1">
      <c r="A52" s="308" t="s">
        <v>2417</v>
      </c>
      <c r="B52" s="309"/>
      <c r="C52" s="310">
        <f ca="1">C31+C51</f>
        <v>359526816</v>
      </c>
      <c r="D52" s="309"/>
      <c r="E52" s="309"/>
      <c r="F52" s="309"/>
      <c r="G52" s="311"/>
    </row>
    <row r="55" spans="1:7" ht="15">
      <c r="B55" s="313" t="s">
        <v>2418</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8" zoomScale="80" zoomScaleNormal="80" workbookViewId="0">
      <selection activeCell="K17" sqref="K17"/>
    </sheetView>
  </sheetViews>
  <sheetFormatPr defaultColWidth="9" defaultRowHeight="14.25"/>
  <cols>
    <col min="1" max="1" width="14.375" style="402" customWidth="1"/>
    <col min="2" max="2" width="15.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2318</v>
      </c>
      <c r="B2" s="670">
        <f>F66</f>
        <v>11365</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2320</v>
      </c>
      <c r="B3" s="608">
        <f>ROUND(IF(D3="",B2*10000/'数据-汇总表'!E3,B2*10000/D3),0)</f>
        <v>1500</v>
      </c>
      <c r="C3" s="246" t="s">
        <v>2734</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2633</v>
      </c>
      <c r="B4" s="401"/>
      <c r="C4" s="3249" t="s">
        <v>2634</v>
      </c>
      <c r="D4" s="3262"/>
      <c r="E4" s="3263" t="s">
        <v>2635</v>
      </c>
      <c r="F4" s="3264"/>
      <c r="G4" s="3249" t="s">
        <v>2636</v>
      </c>
      <c r="H4" s="3262"/>
      <c r="I4" s="3249" t="s">
        <v>2637</v>
      </c>
      <c r="J4" s="3262"/>
      <c r="K4" s="609" t="s">
        <v>2638</v>
      </c>
      <c r="L4" s="1127"/>
      <c r="M4" s="1128"/>
      <c r="N4" s="1128"/>
      <c r="O4" s="1128"/>
      <c r="P4" s="3265" t="s">
        <v>2639</v>
      </c>
      <c r="Q4" s="3266"/>
      <c r="R4" s="3271" t="s">
        <v>2635</v>
      </c>
      <c r="S4" s="3272"/>
      <c r="T4" s="3271" t="s">
        <v>2636</v>
      </c>
      <c r="U4" s="3272"/>
      <c r="V4" s="3258" t="s">
        <v>2637</v>
      </c>
      <c r="W4" s="3258"/>
      <c r="X4" s="1809"/>
      <c r="Y4" s="3271" t="s">
        <v>2639</v>
      </c>
      <c r="Z4" s="3272"/>
      <c r="AA4" s="3259" t="s">
        <v>2635</v>
      </c>
      <c r="AB4" s="3260" t="s">
        <v>2636</v>
      </c>
      <c r="AC4" s="3259" t="s">
        <v>2637</v>
      </c>
    </row>
    <row r="5" spans="1:30" ht="15">
      <c r="A5" s="403"/>
      <c r="B5" s="404"/>
      <c r="C5" s="3279" t="s">
        <v>2530</v>
      </c>
      <c r="D5" s="3280"/>
      <c r="E5" s="3286" t="str">
        <f>土地案例!A13</f>
        <v>白云区艳山红镇原氧化铝厂片区</v>
      </c>
      <c r="F5" s="3287"/>
      <c r="G5" s="3279" t="str">
        <f>土地案例!A14</f>
        <v>白云区艳山红镇原氧化铝厂片区</v>
      </c>
      <c r="H5" s="3280"/>
      <c r="I5" s="3279" t="str">
        <f>土地案例!A15</f>
        <v>白云区艳山红镇原氧化铝厂片区</v>
      </c>
      <c r="J5" s="3280"/>
      <c r="K5" s="609"/>
      <c r="L5" s="1127"/>
      <c r="M5" s="1128"/>
      <c r="N5" s="1128"/>
      <c r="O5" s="1128"/>
      <c r="P5" s="3267"/>
      <c r="Q5" s="3268"/>
      <c r="R5" s="3273"/>
      <c r="S5" s="3274"/>
      <c r="T5" s="3273"/>
      <c r="U5" s="3274"/>
      <c r="V5" s="3258"/>
      <c r="W5" s="3258"/>
      <c r="X5" s="1809"/>
      <c r="Y5" s="3273"/>
      <c r="Z5" s="3274"/>
      <c r="AA5" s="3260"/>
      <c r="AB5" s="3260"/>
      <c r="AC5" s="3260"/>
    </row>
    <row r="6" spans="1:30" ht="15.75" thickBot="1">
      <c r="A6" s="405"/>
      <c r="B6" s="406"/>
      <c r="C6" s="3277" t="s">
        <v>2534</v>
      </c>
      <c r="D6" s="3278"/>
      <c r="E6" s="3284" t="str">
        <f>土地案例!G13</f>
        <v>G(17)066</v>
      </c>
      <c r="F6" s="3285"/>
      <c r="G6" s="3277" t="str">
        <f>土地案例!G14</f>
        <v>G(17)065</v>
      </c>
      <c r="H6" s="3278"/>
      <c r="I6" s="3277" t="str">
        <f>土地案例!G15</f>
        <v>G(17)067</v>
      </c>
      <c r="J6" s="3278"/>
      <c r="K6" s="609" t="s">
        <v>2535</v>
      </c>
      <c r="L6" s="1127"/>
      <c r="M6" s="1128"/>
      <c r="N6" s="1128"/>
      <c r="O6" s="1128"/>
      <c r="P6" s="3269"/>
      <c r="Q6" s="3270"/>
      <c r="R6" s="3273"/>
      <c r="S6" s="3274"/>
      <c r="T6" s="3275"/>
      <c r="U6" s="3276"/>
      <c r="V6" s="3258"/>
      <c r="W6" s="3258"/>
      <c r="X6" s="1809"/>
      <c r="Y6" s="3275"/>
      <c r="Z6" s="3276"/>
      <c r="AA6" s="3261"/>
      <c r="AB6" s="3261"/>
      <c r="AC6" s="3261"/>
    </row>
    <row r="7" spans="1:30" s="117" customFormat="1" ht="15.75" thickBot="1">
      <c r="A7" s="407" t="s">
        <v>2536</v>
      </c>
      <c r="B7" s="408"/>
      <c r="C7" s="409">
        <f>'数据-取费表'!B2</f>
        <v>43525</v>
      </c>
      <c r="D7" s="410">
        <v>100</v>
      </c>
      <c r="E7" s="411" t="str">
        <f>土地案例!L12</f>
        <v>2017-12-11</v>
      </c>
      <c r="F7" s="412">
        <f>SUMIF(70:70,YEAR(E7)&amp;"-"&amp;INT((MONTH(E7)+2)/3),71:71)</f>
        <v>97.5</v>
      </c>
      <c r="G7" s="2688" t="str">
        <f>土地案例!L13</f>
        <v>2017-12-11</v>
      </c>
      <c r="H7" s="410">
        <f>SUMIF(70:70,YEAR(G7)&amp;"-"&amp;INT((MONTH(G7)+2)/3),71:71)</f>
        <v>97.5</v>
      </c>
      <c r="I7" s="2688" t="str">
        <f>土地案例!L15</f>
        <v>2017-12-11</v>
      </c>
      <c r="J7" s="410">
        <f>SUMIF(70:70,YEAR(I7)&amp;"-"&amp;INT((MONTH(I7)+2)/3),71:71)</f>
        <v>97.5</v>
      </c>
      <c r="K7" s="610"/>
      <c r="L7" s="1129"/>
      <c r="M7" s="1130"/>
      <c r="N7" s="1130"/>
      <c r="O7" s="1130"/>
      <c r="P7" s="3281" t="s">
        <v>2537</v>
      </c>
      <c r="Q7" s="3283"/>
      <c r="R7" s="769" t="s">
        <v>17</v>
      </c>
      <c r="S7" s="770">
        <f t="shared" ref="S7:S15" si="0">F7</f>
        <v>97.5</v>
      </c>
      <c r="T7" s="769" t="s">
        <v>17</v>
      </c>
      <c r="U7" s="770">
        <f t="shared" ref="U7:U15" si="1">H7</f>
        <v>97.5</v>
      </c>
      <c r="V7" s="769" t="s">
        <v>17</v>
      </c>
      <c r="W7" s="770">
        <f t="shared" ref="W7:W15" si="2">J7</f>
        <v>97.5</v>
      </c>
      <c r="X7" s="771"/>
      <c r="Y7" s="3281" t="s">
        <v>2537</v>
      </c>
      <c r="Z7" s="3282"/>
      <c r="AA7" s="772">
        <f>D7/F7</f>
        <v>1.0256410256410255</v>
      </c>
      <c r="AB7" s="772">
        <f>D7/H7</f>
        <v>1.0256410256410255</v>
      </c>
      <c r="AC7" s="772">
        <f>D7/J7</f>
        <v>1.0256410256410255</v>
      </c>
    </row>
    <row r="8" spans="1:30" s="117" customFormat="1" ht="15.75" thickBot="1">
      <c r="A8" s="407" t="s">
        <v>2538</v>
      </c>
      <c r="B8" s="408"/>
      <c r="C8" s="413" t="s">
        <v>2539</v>
      </c>
      <c r="D8" s="410">
        <v>100</v>
      </c>
      <c r="E8" s="413" t="s">
        <v>3304</v>
      </c>
      <c r="F8" s="412">
        <f>SUMIF(73:73,E8,74:74)-SUMIF(73:73,C8,74:74)+100</f>
        <v>100</v>
      </c>
      <c r="G8" s="413" t="s">
        <v>3304</v>
      </c>
      <c r="H8" s="410">
        <f>SUMIF(73:73,G8,74:74)-SUMIF(73:73,C8,74:74)+100</f>
        <v>100</v>
      </c>
      <c r="I8" s="413" t="s">
        <v>3304</v>
      </c>
      <c r="J8" s="410">
        <f>SUMIF(73:73,I8,74:74)-SUMIF(73:73,C8,74:74)+100</f>
        <v>100</v>
      </c>
      <c r="K8" s="610"/>
      <c r="L8" s="1129"/>
      <c r="M8" s="1130"/>
      <c r="N8" s="1130"/>
      <c r="O8" s="1130"/>
      <c r="P8" s="3281" t="s">
        <v>2540</v>
      </c>
      <c r="Q8" s="3282"/>
      <c r="R8" s="769" t="s">
        <v>17</v>
      </c>
      <c r="S8" s="770">
        <f t="shared" si="0"/>
        <v>100</v>
      </c>
      <c r="T8" s="769" t="s">
        <v>17</v>
      </c>
      <c r="U8" s="770">
        <f t="shared" si="1"/>
        <v>100</v>
      </c>
      <c r="V8" s="769" t="s">
        <v>17</v>
      </c>
      <c r="W8" s="770">
        <f t="shared" si="2"/>
        <v>100</v>
      </c>
      <c r="X8" s="771"/>
      <c r="Y8" s="3281" t="s">
        <v>2540</v>
      </c>
      <c r="Z8" s="3282"/>
      <c r="AA8" s="772">
        <f t="shared" ref="AA8:AA45" si="3">D8/F8</f>
        <v>1</v>
      </c>
      <c r="AB8" s="772">
        <f t="shared" ref="AB8:AB45" si="4">D8/H8</f>
        <v>1</v>
      </c>
      <c r="AC8" s="772">
        <f t="shared" ref="AC8:AC45" si="5">D8/J8</f>
        <v>1</v>
      </c>
    </row>
    <row r="9" spans="1:30" s="117" customFormat="1">
      <c r="A9" s="414" t="s">
        <v>2541</v>
      </c>
      <c r="B9" s="71" t="s">
        <v>2542</v>
      </c>
      <c r="C9" s="2691" t="s">
        <v>3335</v>
      </c>
      <c r="D9" s="134">
        <v>100</v>
      </c>
      <c r="E9" s="2691" t="s">
        <v>3188</v>
      </c>
      <c r="F9" s="134">
        <f>SUMIF(75:75,E9,76:76)-SUMIF(75:75,C9,76:76)+100</f>
        <v>100</v>
      </c>
      <c r="G9" s="2691" t="s">
        <v>3188</v>
      </c>
      <c r="H9" s="134">
        <f>SUMIF(75:75,G9,76:76)-SUMIF(75:75,C9,76:76)+100</f>
        <v>100</v>
      </c>
      <c r="I9" s="2691" t="s">
        <v>3188</v>
      </c>
      <c r="J9" s="134">
        <f>SUMIF(75:75,I9,76:76)-SUMIF(75:75,C9,76:76)+100</f>
        <v>100</v>
      </c>
      <c r="K9" s="610"/>
      <c r="L9" s="1129"/>
      <c r="M9" s="1130"/>
      <c r="N9" s="1130"/>
      <c r="O9" s="1131"/>
      <c r="P9" s="3252" t="s">
        <v>2543</v>
      </c>
      <c r="Q9" s="1791" t="str">
        <f t="shared" ref="Q9:Q15" si="6">B9</f>
        <v>用途</v>
      </c>
      <c r="R9" s="769" t="s">
        <v>17</v>
      </c>
      <c r="S9" s="770">
        <f t="shared" si="0"/>
        <v>100</v>
      </c>
      <c r="T9" s="769" t="s">
        <v>17</v>
      </c>
      <c r="U9" s="770">
        <f t="shared" si="1"/>
        <v>100</v>
      </c>
      <c r="V9" s="769" t="s">
        <v>17</v>
      </c>
      <c r="W9" s="770">
        <f t="shared" si="2"/>
        <v>100</v>
      </c>
      <c r="X9" s="771"/>
      <c r="Y9" s="3075" t="s">
        <v>2544</v>
      </c>
      <c r="Z9" s="55" t="str">
        <f t="shared" ref="Z9:Z15" si="7">Q9</f>
        <v>用途</v>
      </c>
      <c r="AA9" s="772">
        <f t="shared" si="3"/>
        <v>1</v>
      </c>
      <c r="AB9" s="772">
        <f t="shared" si="4"/>
        <v>1</v>
      </c>
      <c r="AC9" s="772">
        <f t="shared" si="5"/>
        <v>1</v>
      </c>
    </row>
    <row r="10" spans="1:30" s="426" customFormat="1" ht="27">
      <c r="A10" s="420"/>
      <c r="B10" s="421" t="s">
        <v>2545</v>
      </c>
      <c r="C10" s="431"/>
      <c r="D10" s="135">
        <v>100</v>
      </c>
      <c r="E10" s="464"/>
      <c r="F10" s="135">
        <f>ROUND(100/'数据-取费表'!G16,0)</f>
        <v>102</v>
      </c>
      <c r="G10" s="462"/>
      <c r="H10" s="135">
        <f>ROUND(100/'数据-取费表'!G16,0)</f>
        <v>102</v>
      </c>
      <c r="I10" s="462"/>
      <c r="J10" s="135">
        <f>ROUND(100/'数据-取费表'!G16,0)</f>
        <v>102</v>
      </c>
      <c r="K10" s="671"/>
      <c r="L10" s="1132"/>
      <c r="M10" s="1133"/>
      <c r="N10" s="1133"/>
      <c r="O10" s="1134"/>
      <c r="P10" s="3252"/>
      <c r="Q10" s="1791" t="str">
        <f t="shared" si="6"/>
        <v>土地使用年限（年）</v>
      </c>
      <c r="R10" s="769" t="s">
        <v>17</v>
      </c>
      <c r="S10" s="770">
        <f t="shared" si="0"/>
        <v>102</v>
      </c>
      <c r="T10" s="769" t="s">
        <v>17</v>
      </c>
      <c r="U10" s="770">
        <f t="shared" si="1"/>
        <v>102</v>
      </c>
      <c r="V10" s="769" t="s">
        <v>17</v>
      </c>
      <c r="W10" s="770">
        <f t="shared" si="2"/>
        <v>102</v>
      </c>
      <c r="X10" s="771"/>
      <c r="Y10" s="3075"/>
      <c r="Z10" s="55" t="str">
        <f t="shared" si="7"/>
        <v>土地使用年限（年）</v>
      </c>
      <c r="AA10" s="772">
        <f t="shared" si="3"/>
        <v>0.98039215686274506</v>
      </c>
      <c r="AB10" s="772">
        <f t="shared" si="4"/>
        <v>0.98039215686274506</v>
      </c>
      <c r="AC10" s="772">
        <f t="shared" si="5"/>
        <v>0.98039215686274506</v>
      </c>
    </row>
    <row r="11" spans="1:30" ht="15">
      <c r="A11" s="427"/>
      <c r="B11" s="421" t="s">
        <v>2546</v>
      </c>
      <c r="C11" s="428">
        <f>'数据-汇总表'!I6</f>
        <v>1.06</v>
      </c>
      <c r="D11" s="135">
        <v>100</v>
      </c>
      <c r="E11" s="428">
        <v>3</v>
      </c>
      <c r="F11" s="135">
        <f>LOOKUP(E11,80:80,81:81)-LOOKUP(C11,80:80,81:81)+100</f>
        <v>90</v>
      </c>
      <c r="G11" s="429">
        <v>3.5</v>
      </c>
      <c r="H11" s="135">
        <f>LOOKUP(G11,80:80,81:81)-LOOKUP(C11,80:80,81:81)+100</f>
        <v>90</v>
      </c>
      <c r="I11" s="428">
        <v>3</v>
      </c>
      <c r="J11" s="135">
        <f>LOOKUP(I11,80:80,81:81)-LOOKUP(C11,80:80,81:81)+100</f>
        <v>90</v>
      </c>
      <c r="K11" s="672">
        <v>5</v>
      </c>
      <c r="L11" s="1135"/>
      <c r="M11" s="1128"/>
      <c r="N11" s="1128"/>
      <c r="O11" s="1136"/>
      <c r="P11" s="3252"/>
      <c r="Q11" s="1791" t="str">
        <f t="shared" si="6"/>
        <v>容积率</v>
      </c>
      <c r="R11" s="769" t="s">
        <v>17</v>
      </c>
      <c r="S11" s="770">
        <f t="shared" si="0"/>
        <v>90</v>
      </c>
      <c r="T11" s="769" t="s">
        <v>17</v>
      </c>
      <c r="U11" s="770">
        <f t="shared" si="1"/>
        <v>90</v>
      </c>
      <c r="V11" s="769" t="s">
        <v>17</v>
      </c>
      <c r="W11" s="770">
        <f t="shared" si="2"/>
        <v>90</v>
      </c>
      <c r="X11" s="771"/>
      <c r="Y11" s="3075"/>
      <c r="Z11" s="55" t="str">
        <f t="shared" si="7"/>
        <v>容积率</v>
      </c>
      <c r="AA11" s="772">
        <f t="shared" si="3"/>
        <v>1.1111111111111112</v>
      </c>
      <c r="AB11" s="772">
        <f t="shared" si="4"/>
        <v>1.1111111111111112</v>
      </c>
      <c r="AC11" s="772">
        <f t="shared" si="5"/>
        <v>1.1111111111111112</v>
      </c>
    </row>
    <row r="12" spans="1:30" s="117" customFormat="1" ht="15" hidden="1">
      <c r="A12" s="430"/>
      <c r="B12" s="2592"/>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52"/>
      <c r="Q12" s="1791">
        <f t="shared" si="6"/>
        <v>0</v>
      </c>
      <c r="R12" s="769" t="s">
        <v>17</v>
      </c>
      <c r="S12" s="770">
        <f t="shared" si="0"/>
        <v>100</v>
      </c>
      <c r="T12" s="769" t="s">
        <v>17</v>
      </c>
      <c r="U12" s="770">
        <f t="shared" si="1"/>
        <v>100</v>
      </c>
      <c r="V12" s="769" t="s">
        <v>17</v>
      </c>
      <c r="W12" s="770">
        <f t="shared" si="2"/>
        <v>100</v>
      </c>
      <c r="X12" s="771"/>
      <c r="Y12" s="3075"/>
      <c r="Z12" s="55">
        <f t="shared" si="7"/>
        <v>0</v>
      </c>
      <c r="AA12" s="772">
        <f>D12/F12</f>
        <v>1</v>
      </c>
      <c r="AB12" s="772">
        <f>D12/H12</f>
        <v>1</v>
      </c>
      <c r="AC12" s="772">
        <f>D12/J12</f>
        <v>1</v>
      </c>
    </row>
    <row r="13" spans="1:30" ht="15" hidden="1">
      <c r="A13" s="427"/>
      <c r="B13" s="2592"/>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52"/>
      <c r="Q13" s="1791">
        <f t="shared" si="6"/>
        <v>0</v>
      </c>
      <c r="R13" s="769" t="s">
        <v>17</v>
      </c>
      <c r="S13" s="770">
        <f t="shared" si="0"/>
        <v>100</v>
      </c>
      <c r="T13" s="769" t="s">
        <v>17</v>
      </c>
      <c r="U13" s="770">
        <f t="shared" si="1"/>
        <v>100</v>
      </c>
      <c r="V13" s="769" t="s">
        <v>17</v>
      </c>
      <c r="W13" s="770">
        <f t="shared" si="2"/>
        <v>100</v>
      </c>
      <c r="X13" s="771"/>
      <c r="Y13" s="3075"/>
      <c r="Z13" s="55">
        <f t="shared" si="7"/>
        <v>0</v>
      </c>
      <c r="AA13" s="772">
        <f>D13/F13</f>
        <v>1</v>
      </c>
      <c r="AB13" s="772">
        <f>D13/H13</f>
        <v>1</v>
      </c>
      <c r="AC13" s="772">
        <f>D13/J13</f>
        <v>1</v>
      </c>
    </row>
    <row r="14" spans="1:30" ht="15.75" hidden="1"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52"/>
      <c r="Q14" s="1791">
        <f t="shared" si="6"/>
        <v>0</v>
      </c>
      <c r="R14" s="769" t="s">
        <v>17</v>
      </c>
      <c r="S14" s="770">
        <f t="shared" si="0"/>
        <v>100</v>
      </c>
      <c r="T14" s="769" t="s">
        <v>17</v>
      </c>
      <c r="U14" s="770">
        <f t="shared" si="1"/>
        <v>100</v>
      </c>
      <c r="V14" s="769" t="s">
        <v>17</v>
      </c>
      <c r="W14" s="770">
        <f t="shared" si="2"/>
        <v>100</v>
      </c>
      <c r="X14" s="771"/>
      <c r="Y14" s="3075"/>
      <c r="Z14" s="55">
        <f t="shared" si="7"/>
        <v>0</v>
      </c>
      <c r="AA14" s="772">
        <f>D14/F14</f>
        <v>1</v>
      </c>
      <c r="AB14" s="772">
        <f>D14/H14</f>
        <v>1</v>
      </c>
      <c r="AC14" s="772">
        <f>D14/J14</f>
        <v>1</v>
      </c>
    </row>
    <row r="15" spans="1:30" ht="57" hidden="1">
      <c r="A15" s="439" t="s">
        <v>2547</v>
      </c>
      <c r="B15" s="69" t="s">
        <v>2078</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54" t="s">
        <v>2548</v>
      </c>
      <c r="Q15" s="1806" t="str">
        <f t="shared" si="6"/>
        <v>居住社区成熟度</v>
      </c>
      <c r="R15" s="773" t="s">
        <v>17</v>
      </c>
      <c r="S15" s="774">
        <f t="shared" si="0"/>
        <v>100</v>
      </c>
      <c r="T15" s="773" t="s">
        <v>17</v>
      </c>
      <c r="U15" s="774">
        <f t="shared" si="1"/>
        <v>100</v>
      </c>
      <c r="V15" s="773" t="s">
        <v>17</v>
      </c>
      <c r="W15" s="774">
        <f t="shared" si="2"/>
        <v>100</v>
      </c>
      <c r="X15" s="1809"/>
      <c r="Y15" s="3254" t="s">
        <v>2548</v>
      </c>
      <c r="Z15" s="1810" t="str">
        <f t="shared" si="7"/>
        <v>居住社区成熟度</v>
      </c>
      <c r="AA15" s="1807">
        <f t="shared" si="3"/>
        <v>1</v>
      </c>
      <c r="AB15" s="1807">
        <f t="shared" si="4"/>
        <v>1</v>
      </c>
      <c r="AC15" s="1807">
        <f t="shared" si="5"/>
        <v>1</v>
      </c>
    </row>
    <row r="16" spans="1:30" ht="15" hidden="1">
      <c r="A16" s="427"/>
      <c r="B16" s="445"/>
      <c r="C16" s="446"/>
      <c r="D16" s="447"/>
      <c r="E16" s="2597"/>
      <c r="F16" s="447"/>
      <c r="G16" s="2597"/>
      <c r="H16" s="449"/>
      <c r="I16" s="2596"/>
      <c r="J16" s="447"/>
      <c r="K16" s="671"/>
      <c r="L16" s="1137"/>
      <c r="M16" s="1128"/>
      <c r="N16" s="1128"/>
      <c r="O16" s="1136"/>
      <c r="P16" s="3255"/>
      <c r="Q16" s="1806"/>
      <c r="R16" s="773"/>
      <c r="S16" s="774"/>
      <c r="T16" s="773"/>
      <c r="U16" s="774"/>
      <c r="V16" s="773"/>
      <c r="W16" s="774"/>
      <c r="X16" s="1809"/>
      <c r="Y16" s="3255"/>
      <c r="Z16" s="1810"/>
      <c r="AA16" s="1807">
        <v>1</v>
      </c>
      <c r="AB16" s="1807">
        <v>1</v>
      </c>
      <c r="AC16" s="1807">
        <v>1</v>
      </c>
    </row>
    <row r="17" spans="1:29" ht="42.75">
      <c r="A17" s="427"/>
      <c r="B17" s="450" t="s">
        <v>2641</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37"/>
      <c r="M17" s="1128"/>
      <c r="N17" s="1128"/>
      <c r="O17" s="1136"/>
      <c r="P17" s="3255"/>
      <c r="Q17" s="1806" t="str">
        <f>B17</f>
        <v>商业繁华度</v>
      </c>
      <c r="R17" s="773" t="s">
        <v>17</v>
      </c>
      <c r="S17" s="774">
        <f>F17</f>
        <v>100</v>
      </c>
      <c r="T17" s="773" t="s">
        <v>17</v>
      </c>
      <c r="U17" s="774">
        <f>H17</f>
        <v>100</v>
      </c>
      <c r="V17" s="773" t="s">
        <v>17</v>
      </c>
      <c r="W17" s="774">
        <f>J17</f>
        <v>100</v>
      </c>
      <c r="X17" s="1809"/>
      <c r="Y17" s="3255"/>
      <c r="Z17" s="1810" t="str">
        <f>Q17</f>
        <v>商业繁华度</v>
      </c>
      <c r="AA17" s="1807">
        <f t="shared" si="3"/>
        <v>1</v>
      </c>
      <c r="AB17" s="1807">
        <f t="shared" si="4"/>
        <v>1</v>
      </c>
      <c r="AC17" s="1807">
        <f t="shared" si="5"/>
        <v>1</v>
      </c>
    </row>
    <row r="18" spans="1:29" ht="15">
      <c r="A18" s="427"/>
      <c r="B18" s="455"/>
      <c r="C18" s="2600" t="s">
        <v>3324</v>
      </c>
      <c r="D18" s="449"/>
      <c r="E18" s="2600" t="s">
        <v>3324</v>
      </c>
      <c r="F18" s="449"/>
      <c r="G18" s="2600" t="s">
        <v>3324</v>
      </c>
      <c r="H18" s="447"/>
      <c r="I18" s="2600" t="s">
        <v>3324</v>
      </c>
      <c r="J18" s="447"/>
      <c r="K18" s="671"/>
      <c r="L18" s="1137"/>
      <c r="M18" s="1128"/>
      <c r="N18" s="1128"/>
      <c r="O18" s="1136"/>
      <c r="P18" s="3255"/>
      <c r="Q18" s="1806"/>
      <c r="R18" s="773"/>
      <c r="S18" s="774"/>
      <c r="T18" s="773"/>
      <c r="U18" s="774"/>
      <c r="V18" s="773"/>
      <c r="W18" s="774"/>
      <c r="X18" s="1809"/>
      <c r="Y18" s="3255"/>
      <c r="Z18" s="1810"/>
      <c r="AA18" s="1807">
        <v>1</v>
      </c>
      <c r="AB18" s="1807">
        <v>1</v>
      </c>
      <c r="AC18" s="1807">
        <v>1</v>
      </c>
    </row>
    <row r="19" spans="1:29" ht="42.75">
      <c r="A19" s="427"/>
      <c r="B19" s="450" t="s">
        <v>2675</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7"/>
      <c r="M19" s="1128"/>
      <c r="N19" s="1128"/>
      <c r="O19" s="1136"/>
      <c r="P19" s="3255"/>
      <c r="Q19" s="1806" t="str">
        <f>B19</f>
        <v>办公集聚程度</v>
      </c>
      <c r="R19" s="773" t="s">
        <v>17</v>
      </c>
      <c r="S19" s="774">
        <f>F19</f>
        <v>100</v>
      </c>
      <c r="T19" s="773" t="s">
        <v>17</v>
      </c>
      <c r="U19" s="774">
        <f>H19</f>
        <v>100</v>
      </c>
      <c r="V19" s="773" t="s">
        <v>17</v>
      </c>
      <c r="W19" s="774">
        <f>J19</f>
        <v>100</v>
      </c>
      <c r="X19" s="1809"/>
      <c r="Y19" s="3255"/>
      <c r="Z19" s="1810" t="str">
        <f>Q19</f>
        <v>办公集聚程度</v>
      </c>
      <c r="AA19" s="1807">
        <f t="shared" si="3"/>
        <v>1</v>
      </c>
      <c r="AB19" s="1807">
        <f t="shared" si="4"/>
        <v>1</v>
      </c>
      <c r="AC19" s="1807">
        <f t="shared" si="5"/>
        <v>1</v>
      </c>
    </row>
    <row r="20" spans="1:29" ht="15">
      <c r="A20" s="427"/>
      <c r="B20" s="455"/>
      <c r="C20" s="2600" t="s">
        <v>3324</v>
      </c>
      <c r="D20" s="447"/>
      <c r="E20" s="2600" t="s">
        <v>3324</v>
      </c>
      <c r="F20" s="447"/>
      <c r="G20" s="2600" t="s">
        <v>3324</v>
      </c>
      <c r="H20" s="447"/>
      <c r="I20" s="2600" t="s">
        <v>3324</v>
      </c>
      <c r="J20" s="447"/>
      <c r="K20" s="671"/>
      <c r="L20" s="1137"/>
      <c r="M20" s="1128"/>
      <c r="N20" s="1128"/>
      <c r="O20" s="1136"/>
      <c r="P20" s="3255"/>
      <c r="Q20" s="1806"/>
      <c r="R20" s="773"/>
      <c r="S20" s="774"/>
      <c r="T20" s="773"/>
      <c r="U20" s="774"/>
      <c r="V20" s="773"/>
      <c r="W20" s="774"/>
      <c r="X20" s="1809"/>
      <c r="Y20" s="3255"/>
      <c r="Z20" s="1810"/>
      <c r="AA20" s="1807">
        <v>1</v>
      </c>
      <c r="AB20" s="1807">
        <v>1</v>
      </c>
      <c r="AC20" s="1807">
        <v>1</v>
      </c>
    </row>
    <row r="21" spans="1:29" ht="57">
      <c r="A21" s="427"/>
      <c r="B21" s="450" t="s">
        <v>2697</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7"/>
      <c r="M21" s="1128"/>
      <c r="N21" s="1128"/>
      <c r="O21" s="1136"/>
      <c r="P21" s="3255"/>
      <c r="Q21" s="1806" t="str">
        <f>B21</f>
        <v>交通便捷度</v>
      </c>
      <c r="R21" s="773" t="s">
        <v>17</v>
      </c>
      <c r="S21" s="774">
        <f>F21</f>
        <v>100</v>
      </c>
      <c r="T21" s="773" t="s">
        <v>17</v>
      </c>
      <c r="U21" s="774">
        <f>H21</f>
        <v>100</v>
      </c>
      <c r="V21" s="773" t="s">
        <v>17</v>
      </c>
      <c r="W21" s="774">
        <f>J21</f>
        <v>100</v>
      </c>
      <c r="X21" s="1809"/>
      <c r="Y21" s="3255"/>
      <c r="Z21" s="1810" t="str">
        <f>Q21</f>
        <v>交通便捷度</v>
      </c>
      <c r="AA21" s="1807">
        <f t="shared" si="3"/>
        <v>1</v>
      </c>
      <c r="AB21" s="1807">
        <f t="shared" si="4"/>
        <v>1</v>
      </c>
      <c r="AC21" s="1807">
        <f t="shared" si="5"/>
        <v>1</v>
      </c>
    </row>
    <row r="22" spans="1:29" ht="15">
      <c r="A22" s="427"/>
      <c r="B22" s="1381"/>
      <c r="C22" s="2600" t="s">
        <v>3324</v>
      </c>
      <c r="D22" s="449"/>
      <c r="E22" s="2600" t="s">
        <v>3324</v>
      </c>
      <c r="F22" s="447"/>
      <c r="G22" s="2600" t="s">
        <v>3324</v>
      </c>
      <c r="H22" s="447"/>
      <c r="I22" s="2600" t="s">
        <v>3324</v>
      </c>
      <c r="J22" s="447"/>
      <c r="K22" s="671"/>
      <c r="L22" s="1137"/>
      <c r="M22" s="1128"/>
      <c r="N22" s="1128"/>
      <c r="O22" s="1136"/>
      <c r="P22" s="3255"/>
      <c r="Q22" s="1806"/>
      <c r="R22" s="773"/>
      <c r="S22" s="774"/>
      <c r="T22" s="773"/>
      <c r="U22" s="774"/>
      <c r="V22" s="773"/>
      <c r="W22" s="774"/>
      <c r="X22" s="1809"/>
      <c r="Y22" s="3255"/>
      <c r="Z22" s="1810"/>
      <c r="AA22" s="1807">
        <v>1</v>
      </c>
      <c r="AB22" s="1807">
        <v>1</v>
      </c>
      <c r="AC22" s="1807">
        <v>1</v>
      </c>
    </row>
    <row r="23" spans="1:29" ht="15">
      <c r="A23" s="403"/>
      <c r="B23" s="450" t="s">
        <v>2735</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7"/>
      <c r="M23" s="1128"/>
      <c r="N23" s="1128"/>
      <c r="O23" s="1136"/>
      <c r="P23" s="3255"/>
      <c r="Q23" s="1806" t="str">
        <f t="shared" ref="Q23:Q37" si="8">B23</f>
        <v>区域土地利用方向</v>
      </c>
      <c r="R23" s="773" t="s">
        <v>17</v>
      </c>
      <c r="S23" s="774">
        <f>F23</f>
        <v>100</v>
      </c>
      <c r="T23" s="773" t="s">
        <v>17</v>
      </c>
      <c r="U23" s="774">
        <f>H23</f>
        <v>100</v>
      </c>
      <c r="V23" s="773" t="s">
        <v>17</v>
      </c>
      <c r="W23" s="774">
        <f>J23</f>
        <v>100</v>
      </c>
      <c r="X23" s="1809"/>
      <c r="Y23" s="3255"/>
      <c r="Z23" s="1810" t="str">
        <f>Q23</f>
        <v>区域土地利用方向</v>
      </c>
      <c r="AA23" s="1807">
        <f t="shared" si="3"/>
        <v>1</v>
      </c>
      <c r="AB23" s="1807">
        <f t="shared" si="4"/>
        <v>1</v>
      </c>
      <c r="AC23" s="1807">
        <f t="shared" si="5"/>
        <v>1</v>
      </c>
    </row>
    <row r="24" spans="1:29" ht="15">
      <c r="A24" s="403"/>
      <c r="B24" s="455"/>
      <c r="C24" s="615" t="s">
        <v>3311</v>
      </c>
      <c r="D24" s="447"/>
      <c r="E24" s="2597" t="s">
        <v>3311</v>
      </c>
      <c r="F24" s="447"/>
      <c r="G24" s="2596" t="s">
        <v>3311</v>
      </c>
      <c r="H24" s="447"/>
      <c r="I24" s="2596" t="s">
        <v>3311</v>
      </c>
      <c r="J24" s="447"/>
      <c r="K24" s="806"/>
      <c r="L24" s="1137"/>
      <c r="M24" s="1128"/>
      <c r="N24" s="1128"/>
      <c r="O24" s="1136"/>
      <c r="P24" s="3255"/>
      <c r="Q24" s="1806"/>
      <c r="R24" s="773"/>
      <c r="S24" s="774"/>
      <c r="T24" s="773"/>
      <c r="U24" s="774"/>
      <c r="V24" s="773"/>
      <c r="W24" s="774"/>
      <c r="X24" s="1809"/>
      <c r="Y24" s="3255"/>
      <c r="Z24" s="1810"/>
      <c r="AA24" s="1807"/>
      <c r="AB24" s="1807"/>
      <c r="AC24" s="1807"/>
    </row>
    <row r="25" spans="1:29" ht="28.5">
      <c r="A25" s="403"/>
      <c r="B25" s="1381" t="s">
        <v>2736</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7"/>
      <c r="M25" s="1128"/>
      <c r="N25" s="1128"/>
      <c r="O25" s="1136"/>
      <c r="P25" s="3255"/>
      <c r="Q25" s="1806" t="str">
        <f t="shared" si="8"/>
        <v>自然及人文环境状况</v>
      </c>
      <c r="R25" s="773" t="s">
        <v>17</v>
      </c>
      <c r="S25" s="774">
        <f>F25</f>
        <v>100</v>
      </c>
      <c r="T25" s="773" t="s">
        <v>17</v>
      </c>
      <c r="U25" s="774">
        <f>H25</f>
        <v>100</v>
      </c>
      <c r="V25" s="773" t="s">
        <v>17</v>
      </c>
      <c r="W25" s="774">
        <f>J25</f>
        <v>100</v>
      </c>
      <c r="X25" s="1809"/>
      <c r="Y25" s="3255"/>
      <c r="Z25" s="1810" t="str">
        <f>Q25</f>
        <v>自然及人文环境状况</v>
      </c>
      <c r="AA25" s="1807">
        <f t="shared" si="3"/>
        <v>1</v>
      </c>
      <c r="AB25" s="1807">
        <f t="shared" si="4"/>
        <v>1</v>
      </c>
      <c r="AC25" s="1807">
        <f t="shared" si="5"/>
        <v>1</v>
      </c>
    </row>
    <row r="26" spans="1:29" ht="15">
      <c r="A26" s="403"/>
      <c r="B26" s="455"/>
      <c r="C26" s="446" t="s">
        <v>3324</v>
      </c>
      <c r="D26" s="447"/>
      <c r="E26" s="446" t="s">
        <v>3324</v>
      </c>
      <c r="F26" s="447"/>
      <c r="G26" s="446" t="s">
        <v>3324</v>
      </c>
      <c r="H26" s="447"/>
      <c r="I26" s="446" t="s">
        <v>3324</v>
      </c>
      <c r="J26" s="447"/>
      <c r="K26" s="671"/>
      <c r="L26" s="1137"/>
      <c r="M26" s="1128"/>
      <c r="N26" s="1128"/>
      <c r="O26" s="1136"/>
      <c r="P26" s="3255"/>
      <c r="Q26" s="1806"/>
      <c r="R26" s="773"/>
      <c r="S26" s="774"/>
      <c r="T26" s="773"/>
      <c r="U26" s="774"/>
      <c r="V26" s="773"/>
      <c r="W26" s="774"/>
      <c r="X26" s="1809"/>
      <c r="Y26" s="3255"/>
      <c r="Z26" s="1810"/>
      <c r="AA26" s="1807">
        <v>1</v>
      </c>
      <c r="AB26" s="1807">
        <v>1</v>
      </c>
      <c r="AC26" s="1807">
        <v>1</v>
      </c>
    </row>
    <row r="27" spans="1:29" s="117" customFormat="1" ht="28.5">
      <c r="A27" s="648"/>
      <c r="B27" s="1381" t="s">
        <v>2642</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29"/>
      <c r="M27" s="1130"/>
      <c r="N27" s="1130"/>
      <c r="O27" s="1131"/>
      <c r="P27" s="3255"/>
      <c r="Q27" s="1791" t="str">
        <f t="shared" si="8"/>
        <v>公共配套设施</v>
      </c>
      <c r="R27" s="769" t="s">
        <v>17</v>
      </c>
      <c r="S27" s="770">
        <f>F27</f>
        <v>100</v>
      </c>
      <c r="T27" s="769" t="s">
        <v>17</v>
      </c>
      <c r="U27" s="770">
        <f>H27</f>
        <v>100</v>
      </c>
      <c r="V27" s="769" t="s">
        <v>17</v>
      </c>
      <c r="W27" s="770">
        <f>J27</f>
        <v>100</v>
      </c>
      <c r="X27" s="771"/>
      <c r="Y27" s="3255"/>
      <c r="Z27" s="55" t="str">
        <f>Q27</f>
        <v>公共配套设施</v>
      </c>
      <c r="AA27" s="1807">
        <f>D27/F27</f>
        <v>1</v>
      </c>
      <c r="AB27" s="1807">
        <f>D27/H27</f>
        <v>1</v>
      </c>
      <c r="AC27" s="1807">
        <f>D27/J27</f>
        <v>1</v>
      </c>
    </row>
    <row r="28" spans="1:29" s="117" customFormat="1" ht="15">
      <c r="A28" s="648"/>
      <c r="B28" s="455"/>
      <c r="C28" s="2692" t="s">
        <v>3324</v>
      </c>
      <c r="D28" s="447"/>
      <c r="E28" s="2692" t="s">
        <v>3324</v>
      </c>
      <c r="F28" s="447"/>
      <c r="G28" s="2692" t="s">
        <v>3324</v>
      </c>
      <c r="H28" s="447"/>
      <c r="I28" s="2692" t="s">
        <v>3324</v>
      </c>
      <c r="J28" s="447"/>
      <c r="K28" s="671"/>
      <c r="L28" s="1129"/>
      <c r="M28" s="1130"/>
      <c r="N28" s="1130"/>
      <c r="O28" s="1131"/>
      <c r="P28" s="3255"/>
      <c r="Q28" s="1791"/>
      <c r="R28" s="769"/>
      <c r="S28" s="770"/>
      <c r="T28" s="769"/>
      <c r="U28" s="770"/>
      <c r="V28" s="769"/>
      <c r="W28" s="770"/>
      <c r="X28" s="771"/>
      <c r="Y28" s="3255"/>
      <c r="Z28" s="55"/>
      <c r="AA28" s="1807">
        <v>1</v>
      </c>
      <c r="AB28" s="1807">
        <v>1</v>
      </c>
      <c r="AC28" s="1807">
        <v>1</v>
      </c>
    </row>
    <row r="29" spans="1:29" s="117" customFormat="1" ht="28.5">
      <c r="A29" s="648"/>
      <c r="B29" s="1381" t="s">
        <v>2643</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29"/>
      <c r="M29" s="1130"/>
      <c r="N29" s="1130"/>
      <c r="O29" s="1131"/>
      <c r="P29" s="3255"/>
      <c r="Q29" s="1791" t="str">
        <f t="shared" ref="Q29" si="9">B29</f>
        <v>基础设施水平</v>
      </c>
      <c r="R29" s="769" t="s">
        <v>17</v>
      </c>
      <c r="S29" s="770">
        <f>F29</f>
        <v>100</v>
      </c>
      <c r="T29" s="769" t="s">
        <v>17</v>
      </c>
      <c r="U29" s="770">
        <f>H29</f>
        <v>100</v>
      </c>
      <c r="V29" s="769" t="s">
        <v>17</v>
      </c>
      <c r="W29" s="770">
        <f>J29</f>
        <v>100</v>
      </c>
      <c r="X29" s="771"/>
      <c r="Y29" s="3255"/>
      <c r="Z29" s="55" t="str">
        <f>Q29</f>
        <v>基础设施水平</v>
      </c>
      <c r="AA29" s="1807">
        <f>D29/F29</f>
        <v>1</v>
      </c>
      <c r="AB29" s="1807">
        <f>D29/H29</f>
        <v>1</v>
      </c>
      <c r="AC29" s="1807">
        <f>D29/J29</f>
        <v>1</v>
      </c>
    </row>
    <row r="30" spans="1:29" s="117" customFormat="1" ht="15">
      <c r="A30" s="648"/>
      <c r="B30" s="455"/>
      <c r="C30" s="2692" t="s">
        <v>3325</v>
      </c>
      <c r="D30" s="447"/>
      <c r="E30" s="2692" t="s">
        <v>3325</v>
      </c>
      <c r="F30" s="447"/>
      <c r="G30" s="2692" t="s">
        <v>3325</v>
      </c>
      <c r="H30" s="447"/>
      <c r="I30" s="2692" t="s">
        <v>3325</v>
      </c>
      <c r="J30" s="447"/>
      <c r="K30" s="671"/>
      <c r="L30" s="1129"/>
      <c r="M30" s="1130"/>
      <c r="N30" s="1130"/>
      <c r="O30" s="1131"/>
      <c r="P30" s="3255"/>
      <c r="Q30" s="1791"/>
      <c r="R30" s="769"/>
      <c r="S30" s="770"/>
      <c r="T30" s="769"/>
      <c r="U30" s="770"/>
      <c r="V30" s="769"/>
      <c r="W30" s="770"/>
      <c r="X30" s="771"/>
      <c r="Y30" s="3255"/>
      <c r="Z30" s="55"/>
      <c r="AA30" s="1807">
        <v>1</v>
      </c>
      <c r="AB30" s="1807">
        <v>1</v>
      </c>
      <c r="AC30" s="1807">
        <v>1</v>
      </c>
    </row>
    <row r="31" spans="1:29" ht="15" hidden="1">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55"/>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55"/>
      <c r="Z31" s="1810" t="str">
        <f t="shared" ref="Z31:Z45" si="13">Q31</f>
        <v>临街状况</v>
      </c>
      <c r="AA31" s="1807">
        <f t="shared" si="3"/>
        <v>1</v>
      </c>
      <c r="AB31" s="1807">
        <f t="shared" si="4"/>
        <v>1</v>
      </c>
      <c r="AC31" s="1807">
        <f t="shared" si="5"/>
        <v>1</v>
      </c>
    </row>
    <row r="32" spans="1:29" ht="27">
      <c r="A32" s="427"/>
      <c r="B32" s="1381"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7"/>
      <c r="M32" s="1128"/>
      <c r="N32" s="1128"/>
      <c r="O32" s="1136"/>
      <c r="P32" s="3255"/>
      <c r="Q32" s="1806" t="str">
        <f t="shared" si="8"/>
        <v>毗邻道路的类型与等级</v>
      </c>
      <c r="R32" s="773" t="s">
        <v>17</v>
      </c>
      <c r="S32" s="774">
        <f t="shared" si="10"/>
        <v>100</v>
      </c>
      <c r="T32" s="773" t="s">
        <v>17</v>
      </c>
      <c r="U32" s="774">
        <f t="shared" si="11"/>
        <v>100</v>
      </c>
      <c r="V32" s="773" t="s">
        <v>17</v>
      </c>
      <c r="W32" s="774">
        <f t="shared" si="12"/>
        <v>100</v>
      </c>
      <c r="X32" s="1809"/>
      <c r="Y32" s="3255"/>
      <c r="Z32" s="1810" t="str">
        <f t="shared" si="13"/>
        <v>毗邻道路的类型与等级</v>
      </c>
      <c r="AA32" s="1807">
        <f t="shared" si="3"/>
        <v>1</v>
      </c>
      <c r="AB32" s="1807">
        <f t="shared" si="4"/>
        <v>1</v>
      </c>
      <c r="AC32" s="1807">
        <f t="shared" si="5"/>
        <v>1</v>
      </c>
    </row>
    <row r="33" spans="1:29" ht="15.75" thickBot="1">
      <c r="A33" s="427"/>
      <c r="B33" s="455"/>
      <c r="C33" s="446" t="s">
        <v>3326</v>
      </c>
      <c r="D33" s="447"/>
      <c r="E33" s="446" t="s">
        <v>3326</v>
      </c>
      <c r="F33" s="447"/>
      <c r="G33" s="446" t="s">
        <v>3326</v>
      </c>
      <c r="H33" s="447"/>
      <c r="I33" s="446" t="s">
        <v>3326</v>
      </c>
      <c r="J33" s="447"/>
      <c r="K33" s="612"/>
      <c r="L33" s="1137"/>
      <c r="M33" s="1128"/>
      <c r="N33" s="1128"/>
      <c r="O33" s="1136"/>
      <c r="P33" s="3255"/>
      <c r="Q33" s="1806"/>
      <c r="R33" s="773"/>
      <c r="S33" s="774"/>
      <c r="T33" s="773"/>
      <c r="U33" s="774"/>
      <c r="V33" s="773"/>
      <c r="W33" s="774"/>
      <c r="X33" s="1809"/>
      <c r="Y33" s="3255"/>
      <c r="Z33" s="1810"/>
      <c r="AA33" s="1807">
        <v>1</v>
      </c>
      <c r="AB33" s="1807">
        <v>1</v>
      </c>
      <c r="AC33" s="1807">
        <v>1</v>
      </c>
    </row>
    <row r="34" spans="1:29" ht="15" hidden="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55"/>
      <c r="Q34" s="1806" t="str">
        <f t="shared" si="8"/>
        <v>土地级别</v>
      </c>
      <c r="R34" s="773" t="s">
        <v>17</v>
      </c>
      <c r="S34" s="774">
        <f t="shared" si="10"/>
        <v>100</v>
      </c>
      <c r="T34" s="773" t="s">
        <v>17</v>
      </c>
      <c r="U34" s="774">
        <f t="shared" si="11"/>
        <v>100</v>
      </c>
      <c r="V34" s="773" t="s">
        <v>17</v>
      </c>
      <c r="W34" s="774">
        <f t="shared" si="12"/>
        <v>100</v>
      </c>
      <c r="X34" s="1809"/>
      <c r="Y34" s="3255"/>
      <c r="Z34" s="1810" t="str">
        <f t="shared" si="13"/>
        <v>土地级别</v>
      </c>
      <c r="AA34" s="1807">
        <f t="shared" si="3"/>
        <v>1</v>
      </c>
      <c r="AB34" s="1807">
        <f t="shared" si="4"/>
        <v>1</v>
      </c>
      <c r="AC34" s="1807">
        <f t="shared" si="5"/>
        <v>1</v>
      </c>
    </row>
    <row r="35" spans="1:29" ht="15" hidden="1">
      <c r="A35" s="403"/>
      <c r="B35" s="1383"/>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55"/>
      <c r="Q35" s="1806">
        <f t="shared" si="8"/>
        <v>0</v>
      </c>
      <c r="R35" s="773" t="s">
        <v>17</v>
      </c>
      <c r="S35" s="774">
        <f t="shared" si="10"/>
        <v>100</v>
      </c>
      <c r="T35" s="773" t="s">
        <v>17</v>
      </c>
      <c r="U35" s="774">
        <f t="shared" si="11"/>
        <v>100</v>
      </c>
      <c r="V35" s="773" t="s">
        <v>17</v>
      </c>
      <c r="W35" s="774">
        <f t="shared" si="12"/>
        <v>100</v>
      </c>
      <c r="X35" s="1809"/>
      <c r="Y35" s="3255"/>
      <c r="Z35" s="1810">
        <f t="shared" si="13"/>
        <v>0</v>
      </c>
      <c r="AA35" s="1807">
        <f t="shared" si="3"/>
        <v>1</v>
      </c>
      <c r="AB35" s="1807">
        <f t="shared" si="4"/>
        <v>1</v>
      </c>
      <c r="AC35" s="1807">
        <f t="shared" si="5"/>
        <v>1</v>
      </c>
    </row>
    <row r="36" spans="1:29" ht="15" hidden="1">
      <c r="A36" s="674"/>
      <c r="B36" s="1384"/>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56" t="s">
        <v>2553</v>
      </c>
      <c r="Q36" s="1806">
        <f t="shared" si="8"/>
        <v>0</v>
      </c>
      <c r="R36" s="773" t="s">
        <v>17</v>
      </c>
      <c r="S36" s="774">
        <f t="shared" si="10"/>
        <v>100</v>
      </c>
      <c r="T36" s="773" t="s">
        <v>17</v>
      </c>
      <c r="U36" s="774">
        <f t="shared" si="11"/>
        <v>100</v>
      </c>
      <c r="V36" s="773" t="s">
        <v>17</v>
      </c>
      <c r="W36" s="774">
        <f t="shared" si="12"/>
        <v>100</v>
      </c>
      <c r="X36" s="1809"/>
      <c r="Y36" s="3257" t="s">
        <v>2553</v>
      </c>
      <c r="Z36" s="1810">
        <f t="shared" si="13"/>
        <v>0</v>
      </c>
      <c r="AA36" s="1807">
        <f t="shared" si="3"/>
        <v>1</v>
      </c>
      <c r="AB36" s="1807">
        <f t="shared" si="4"/>
        <v>1</v>
      </c>
      <c r="AC36" s="1807">
        <f t="shared" si="5"/>
        <v>1</v>
      </c>
    </row>
    <row r="37" spans="1:29" s="470" customFormat="1" ht="15.75" hidden="1" thickBot="1">
      <c r="A37" s="675"/>
      <c r="B37" s="1385"/>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57"/>
      <c r="Q37" s="1806">
        <f t="shared" si="8"/>
        <v>0</v>
      </c>
      <c r="R37" s="776" t="s">
        <v>17</v>
      </c>
      <c r="S37" s="777">
        <f t="shared" si="10"/>
        <v>100</v>
      </c>
      <c r="T37" s="776" t="s">
        <v>17</v>
      </c>
      <c r="U37" s="777">
        <f t="shared" si="11"/>
        <v>100</v>
      </c>
      <c r="V37" s="776" t="s">
        <v>17</v>
      </c>
      <c r="W37" s="777">
        <f t="shared" si="12"/>
        <v>100</v>
      </c>
      <c r="X37" s="778"/>
      <c r="Y37" s="3257"/>
      <c r="Z37" s="779">
        <f t="shared" si="13"/>
        <v>0</v>
      </c>
      <c r="AA37" s="1807">
        <f t="shared" si="3"/>
        <v>1</v>
      </c>
      <c r="AB37" s="1807">
        <f t="shared" si="4"/>
        <v>1</v>
      </c>
      <c r="AC37" s="1807">
        <f t="shared" si="5"/>
        <v>1</v>
      </c>
    </row>
    <row r="38" spans="1:29" ht="15">
      <c r="A38" s="471" t="s">
        <v>2551</v>
      </c>
      <c r="B38" s="455" t="s">
        <v>2738</v>
      </c>
      <c r="C38" s="678">
        <f>'数据-汇总表'!D3</f>
        <v>40729.97</v>
      </c>
      <c r="D38" s="466">
        <v>100</v>
      </c>
      <c r="E38" s="678">
        <f>土地案例!I13</f>
        <v>8456.9</v>
      </c>
      <c r="F38" s="466">
        <f>LOOKUP(E38,117:117,118:118)-LOOKUP(C38,117:117,118:118)+100</f>
        <v>100</v>
      </c>
      <c r="G38" s="678">
        <f>土地案例!I14</f>
        <v>84475.6</v>
      </c>
      <c r="H38" s="466">
        <f>LOOKUP(G38,117:117,118:118)-LOOKUP(C38,117:117,118:118)+100</f>
        <v>100</v>
      </c>
      <c r="I38" s="529">
        <f>土地案例!I15</f>
        <v>12324.9</v>
      </c>
      <c r="J38" s="466">
        <f>LOOKUP(I38,117:117,118:118)-LOOKUP(C38,117:117,118:118)+100</f>
        <v>100</v>
      </c>
      <c r="K38" s="612"/>
      <c r="L38" s="1137"/>
      <c r="M38" s="1128"/>
      <c r="N38" s="1128"/>
      <c r="O38" s="1136"/>
      <c r="P38" s="3257"/>
      <c r="Q38" s="1806" t="str">
        <f>B38</f>
        <v>宗地面积</v>
      </c>
      <c r="R38" s="773" t="s">
        <v>17</v>
      </c>
      <c r="S38" s="774">
        <f t="shared" si="10"/>
        <v>100</v>
      </c>
      <c r="T38" s="773" t="s">
        <v>17</v>
      </c>
      <c r="U38" s="774">
        <f t="shared" si="11"/>
        <v>100</v>
      </c>
      <c r="V38" s="773" t="s">
        <v>17</v>
      </c>
      <c r="W38" s="774">
        <f t="shared" si="12"/>
        <v>100</v>
      </c>
      <c r="X38" s="1809"/>
      <c r="Y38" s="3257"/>
      <c r="Z38" s="1810" t="str">
        <f t="shared" si="13"/>
        <v>宗地面积</v>
      </c>
      <c r="AA38" s="1807">
        <f t="shared" si="3"/>
        <v>1</v>
      </c>
      <c r="AB38" s="1807">
        <f t="shared" si="4"/>
        <v>1</v>
      </c>
      <c r="AC38" s="1807">
        <f t="shared" si="5"/>
        <v>1</v>
      </c>
    </row>
    <row r="39" spans="1:29" ht="15">
      <c r="A39" s="471"/>
      <c r="B39" s="421" t="s">
        <v>2739</v>
      </c>
      <c r="C39" s="2605" t="s">
        <v>3305</v>
      </c>
      <c r="D39" s="434">
        <v>100</v>
      </c>
      <c r="E39" s="2605" t="s">
        <v>3305</v>
      </c>
      <c r="F39" s="434">
        <f>SUMIF(119:119,E39,120:120)-SUMIF(119:119,C39,120:120)+100</f>
        <v>100</v>
      </c>
      <c r="G39" s="2605" t="s">
        <v>3305</v>
      </c>
      <c r="H39" s="434">
        <f>SUMIF(119:119,G39,120:120)-SUMIF(119:119,C39,120:120)+100</f>
        <v>100</v>
      </c>
      <c r="I39" s="2605" t="s">
        <v>3305</v>
      </c>
      <c r="J39" s="434">
        <f>SUMIF(119:119,I39,120:120)-SUMIF(119:119,C39,120:120)+100</f>
        <v>100</v>
      </c>
      <c r="K39" s="611">
        <v>2</v>
      </c>
      <c r="L39" s="1137"/>
      <c r="M39" s="1128"/>
      <c r="N39" s="1128"/>
      <c r="O39" s="1136"/>
      <c r="P39" s="3257"/>
      <c r="Q39" s="1806" t="str">
        <f t="shared" ref="Q39:Q45" si="14">B39</f>
        <v>宗地形状</v>
      </c>
      <c r="R39" s="773" t="s">
        <v>17</v>
      </c>
      <c r="S39" s="774">
        <f t="shared" si="10"/>
        <v>100</v>
      </c>
      <c r="T39" s="773" t="s">
        <v>17</v>
      </c>
      <c r="U39" s="774">
        <f t="shared" si="11"/>
        <v>100</v>
      </c>
      <c r="V39" s="773" t="s">
        <v>17</v>
      </c>
      <c r="W39" s="774">
        <f t="shared" si="12"/>
        <v>100</v>
      </c>
      <c r="X39" s="1809"/>
      <c r="Y39" s="3257"/>
      <c r="Z39" s="1810" t="str">
        <f t="shared" si="13"/>
        <v>宗地形状</v>
      </c>
      <c r="AA39" s="1807">
        <f t="shared" si="3"/>
        <v>1</v>
      </c>
      <c r="AB39" s="1807">
        <f t="shared" si="4"/>
        <v>1</v>
      </c>
      <c r="AC39" s="1807">
        <f t="shared" si="5"/>
        <v>1</v>
      </c>
    </row>
    <row r="40" spans="1:29" ht="15">
      <c r="A40" s="471"/>
      <c r="B40" s="421" t="s">
        <v>2740</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v>2</v>
      </c>
      <c r="L40" s="1137"/>
      <c r="M40" s="1128"/>
      <c r="N40" s="1128"/>
      <c r="O40" s="1136"/>
      <c r="P40" s="3257"/>
      <c r="Q40" s="1806" t="str">
        <f t="shared" si="14"/>
        <v>临街宽度及深度</v>
      </c>
      <c r="R40" s="773" t="s">
        <v>17</v>
      </c>
      <c r="S40" s="774">
        <f t="shared" si="10"/>
        <v>100</v>
      </c>
      <c r="T40" s="773" t="s">
        <v>17</v>
      </c>
      <c r="U40" s="774">
        <f t="shared" si="11"/>
        <v>100</v>
      </c>
      <c r="V40" s="773" t="s">
        <v>17</v>
      </c>
      <c r="W40" s="774">
        <f t="shared" si="12"/>
        <v>100</v>
      </c>
      <c r="X40" s="1809"/>
      <c r="Y40" s="3257"/>
      <c r="Z40" s="1810" t="str">
        <f t="shared" si="13"/>
        <v>临街宽度及深度</v>
      </c>
      <c r="AA40" s="1807">
        <f t="shared" si="3"/>
        <v>1</v>
      </c>
      <c r="AB40" s="1807">
        <f t="shared" si="4"/>
        <v>1</v>
      </c>
      <c r="AC40" s="1807">
        <f t="shared" si="5"/>
        <v>1</v>
      </c>
    </row>
    <row r="41" spans="1:29" s="117" customFormat="1" ht="15">
      <c r="A41" s="472"/>
      <c r="B41" s="421" t="s">
        <v>2741</v>
      </c>
      <c r="C41" s="2694" t="s">
        <v>3307</v>
      </c>
      <c r="D41" s="135">
        <v>100</v>
      </c>
      <c r="E41" s="2694" t="s">
        <v>3307</v>
      </c>
      <c r="F41" s="434">
        <f>SUMIF(123:123,E41,124:124)-SUMIF(123:123,C41,124:124)+100</f>
        <v>100</v>
      </c>
      <c r="G41" s="2694" t="s">
        <v>3307</v>
      </c>
      <c r="H41" s="434">
        <f>SUMIF(123:123,G41,124:124)-SUMIF(123:123,C41,124:124)+100</f>
        <v>100</v>
      </c>
      <c r="I41" s="2694" t="s">
        <v>3307</v>
      </c>
      <c r="J41" s="434">
        <f>SUMIF(123:123,I41,124:124)-SUMIF(123:123,C41,124:124)+100</f>
        <v>100</v>
      </c>
      <c r="K41" s="611">
        <v>2</v>
      </c>
      <c r="L41" s="1129"/>
      <c r="M41" s="1130"/>
      <c r="N41" s="1130"/>
      <c r="O41" s="1131"/>
      <c r="P41" s="3257"/>
      <c r="Q41" s="1806" t="str">
        <f t="shared" si="14"/>
        <v>宗地开发程度</v>
      </c>
      <c r="R41" s="769" t="s">
        <v>17</v>
      </c>
      <c r="S41" s="770">
        <f t="shared" si="10"/>
        <v>100</v>
      </c>
      <c r="T41" s="769" t="s">
        <v>17</v>
      </c>
      <c r="U41" s="770">
        <f t="shared" si="11"/>
        <v>100</v>
      </c>
      <c r="V41" s="769" t="s">
        <v>17</v>
      </c>
      <c r="W41" s="770">
        <f t="shared" si="12"/>
        <v>100</v>
      </c>
      <c r="X41" s="771"/>
      <c r="Y41" s="3257"/>
      <c r="Z41" s="55" t="str">
        <f t="shared" si="13"/>
        <v>宗地开发程度</v>
      </c>
      <c r="AA41" s="772">
        <f t="shared" si="3"/>
        <v>1</v>
      </c>
      <c r="AB41" s="772">
        <f t="shared" si="4"/>
        <v>1</v>
      </c>
      <c r="AC41" s="772">
        <f t="shared" si="5"/>
        <v>1</v>
      </c>
    </row>
    <row r="42" spans="1:29" ht="15.75" thickBot="1">
      <c r="A42" s="471"/>
      <c r="B42" s="421" t="s">
        <v>2742</v>
      </c>
      <c r="C42" s="2605" t="s">
        <v>3311</v>
      </c>
      <c r="D42" s="434">
        <v>100</v>
      </c>
      <c r="E42" s="2605" t="s">
        <v>3311</v>
      </c>
      <c r="F42" s="434">
        <f>SUMIF(125:125,E42,126:126)-SUMIF(125:125,C42,126:126)+100</f>
        <v>100</v>
      </c>
      <c r="G42" s="2605" t="s">
        <v>3311</v>
      </c>
      <c r="H42" s="434">
        <f>SUMIF(125:125,G42,126:126)-SUMIF(125:125,C42,126:126)+100</f>
        <v>100</v>
      </c>
      <c r="I42" s="2605" t="s">
        <v>3311</v>
      </c>
      <c r="J42" s="434">
        <f>SUMIF(125:125,I42,126:126)-SUMIF(125:125,C42,126:126)+100</f>
        <v>100</v>
      </c>
      <c r="K42" s="611">
        <v>2</v>
      </c>
      <c r="L42" s="1137"/>
      <c r="M42" s="1128"/>
      <c r="N42" s="1128"/>
      <c r="O42" s="1136"/>
      <c r="P42" s="3257" t="s">
        <v>2553</v>
      </c>
      <c r="Q42" s="1806" t="str">
        <f t="shared" si="14"/>
        <v>工程地质条件</v>
      </c>
      <c r="R42" s="773" t="s">
        <v>17</v>
      </c>
      <c r="S42" s="774">
        <f t="shared" si="10"/>
        <v>100</v>
      </c>
      <c r="T42" s="773" t="s">
        <v>17</v>
      </c>
      <c r="U42" s="774">
        <f t="shared" si="11"/>
        <v>100</v>
      </c>
      <c r="V42" s="773" t="s">
        <v>17</v>
      </c>
      <c r="W42" s="774">
        <f t="shared" si="12"/>
        <v>100</v>
      </c>
      <c r="X42" s="1809"/>
      <c r="Y42" s="3257" t="s">
        <v>2553</v>
      </c>
      <c r="Z42" s="1810" t="str">
        <f t="shared" si="13"/>
        <v>工程地质条件</v>
      </c>
      <c r="AA42" s="1807">
        <f t="shared" si="3"/>
        <v>1</v>
      </c>
      <c r="AB42" s="1807">
        <f t="shared" si="4"/>
        <v>1</v>
      </c>
      <c r="AC42" s="1807">
        <f t="shared" si="5"/>
        <v>1</v>
      </c>
    </row>
    <row r="43" spans="1:29" ht="15" hidden="1">
      <c r="A43" s="471"/>
      <c r="B43" s="1384"/>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57"/>
      <c r="Q43" s="1806">
        <f t="shared" si="14"/>
        <v>0</v>
      </c>
      <c r="R43" s="773" t="s">
        <v>17</v>
      </c>
      <c r="S43" s="774">
        <f t="shared" si="10"/>
        <v>100</v>
      </c>
      <c r="T43" s="773" t="s">
        <v>17</v>
      </c>
      <c r="U43" s="774">
        <f t="shared" si="11"/>
        <v>100</v>
      </c>
      <c r="V43" s="773" t="s">
        <v>17</v>
      </c>
      <c r="W43" s="774">
        <f t="shared" si="12"/>
        <v>100</v>
      </c>
      <c r="X43" s="1809"/>
      <c r="Y43" s="3257"/>
      <c r="Z43" s="1810">
        <f t="shared" si="13"/>
        <v>0</v>
      </c>
      <c r="AA43" s="1807">
        <f t="shared" si="3"/>
        <v>1</v>
      </c>
      <c r="AB43" s="1807">
        <f t="shared" si="4"/>
        <v>1</v>
      </c>
      <c r="AC43" s="1807">
        <f t="shared" si="5"/>
        <v>1</v>
      </c>
    </row>
    <row r="44" spans="1:29" ht="15" hidden="1">
      <c r="A44" s="471"/>
      <c r="B44" s="1384"/>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57"/>
      <c r="Q44" s="1806">
        <f t="shared" si="14"/>
        <v>0</v>
      </c>
      <c r="R44" s="773" t="s">
        <v>17</v>
      </c>
      <c r="S44" s="774">
        <f t="shared" si="10"/>
        <v>100</v>
      </c>
      <c r="T44" s="773" t="s">
        <v>17</v>
      </c>
      <c r="U44" s="774">
        <f t="shared" si="11"/>
        <v>100</v>
      </c>
      <c r="V44" s="773" t="s">
        <v>17</v>
      </c>
      <c r="W44" s="774">
        <f t="shared" si="12"/>
        <v>100</v>
      </c>
      <c r="X44" s="1809"/>
      <c r="Y44" s="3257"/>
      <c r="Z44" s="1810">
        <f t="shared" si="13"/>
        <v>0</v>
      </c>
      <c r="AA44" s="1807">
        <f t="shared" si="3"/>
        <v>1</v>
      </c>
      <c r="AB44" s="1807">
        <f t="shared" si="4"/>
        <v>1</v>
      </c>
      <c r="AC44" s="1807">
        <f t="shared" si="5"/>
        <v>1</v>
      </c>
    </row>
    <row r="45" spans="1:29" s="470" customFormat="1" ht="15.75" hidden="1" thickBot="1">
      <c r="A45" s="467"/>
      <c r="B45" s="1384"/>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57"/>
      <c r="Q45" s="1806">
        <f t="shared" si="14"/>
        <v>0</v>
      </c>
      <c r="R45" s="776" t="s">
        <v>17</v>
      </c>
      <c r="S45" s="777">
        <f t="shared" si="10"/>
        <v>100</v>
      </c>
      <c r="T45" s="776" t="s">
        <v>17</v>
      </c>
      <c r="U45" s="777">
        <f t="shared" si="11"/>
        <v>100</v>
      </c>
      <c r="V45" s="776" t="s">
        <v>17</v>
      </c>
      <c r="W45" s="777">
        <f t="shared" si="12"/>
        <v>100</v>
      </c>
      <c r="X45" s="778"/>
      <c r="Y45" s="3257"/>
      <c r="Z45" s="779">
        <f t="shared" si="13"/>
        <v>0</v>
      </c>
      <c r="AA45" s="1807">
        <f t="shared" si="3"/>
        <v>1</v>
      </c>
      <c r="AB45" s="1807">
        <f t="shared" si="4"/>
        <v>1</v>
      </c>
      <c r="AC45" s="1807">
        <f t="shared" si="5"/>
        <v>1</v>
      </c>
    </row>
    <row r="46" spans="1:29" ht="15">
      <c r="A46" s="478" t="s">
        <v>2708</v>
      </c>
      <c r="B46" s="2696" t="s">
        <v>2743</v>
      </c>
      <c r="C46" s="681" t="s">
        <v>1</v>
      </c>
      <c r="D46" s="480"/>
      <c r="E46" s="481">
        <f>土地案例!Q13</f>
        <v>2620</v>
      </c>
      <c r="F46" s="482"/>
      <c r="G46" s="483">
        <f>土地案例!Q14</f>
        <v>2209</v>
      </c>
      <c r="H46" s="484"/>
      <c r="I46" s="481">
        <f>土地案例!Q15</f>
        <v>2369</v>
      </c>
      <c r="J46" s="484"/>
      <c r="K46" s="782"/>
      <c r="L46" s="1140"/>
      <c r="M46" s="1141"/>
      <c r="N46" s="1128"/>
      <c r="O46" s="1141"/>
      <c r="P46" s="3252" t="str">
        <f>A46</f>
        <v>成交单价</v>
      </c>
      <c r="Q46" s="3252"/>
      <c r="R46" s="3258">
        <f>E46</f>
        <v>2620</v>
      </c>
      <c r="S46" s="3258"/>
      <c r="T46" s="3258">
        <f>G46</f>
        <v>2209</v>
      </c>
      <c r="U46" s="3258"/>
      <c r="V46" s="3258">
        <f>I46</f>
        <v>2369</v>
      </c>
      <c r="W46" s="3258"/>
      <c r="X46" s="758"/>
      <c r="Y46" s="780"/>
      <c r="Z46" s="758"/>
      <c r="AA46" s="758"/>
      <c r="AB46" s="758"/>
      <c r="AC46" s="758"/>
    </row>
    <row r="47" spans="1:29" ht="15.75" thickBot="1">
      <c r="A47" s="485" t="s">
        <v>2657</v>
      </c>
      <c r="B47" s="682"/>
      <c r="C47" s="489">
        <f>R48</f>
        <v>2681</v>
      </c>
      <c r="D47" s="488"/>
      <c r="E47" s="489">
        <f>R47</f>
        <v>2927</v>
      </c>
      <c r="F47" s="490"/>
      <c r="G47" s="487">
        <f>T47</f>
        <v>2468</v>
      </c>
      <c r="H47" s="488"/>
      <c r="I47" s="489">
        <f>V47</f>
        <v>2647</v>
      </c>
      <c r="J47" s="488"/>
      <c r="K47" s="783"/>
      <c r="L47" s="1140"/>
      <c r="M47" s="1141"/>
      <c r="N47" s="1141"/>
      <c r="O47" s="1141"/>
      <c r="P47" s="3252" t="str">
        <f>A47</f>
        <v>比较价值（元/平方米）</v>
      </c>
      <c r="Q47" s="3252"/>
      <c r="R47" s="3245">
        <f>ROUND(PRODUCT(R46,AA7:AA45),0)</f>
        <v>2927</v>
      </c>
      <c r="S47" s="3245"/>
      <c r="T47" s="3245">
        <f>ROUND(PRODUCT(T46,AB7:AB45),0)</f>
        <v>2468</v>
      </c>
      <c r="U47" s="3245"/>
      <c r="V47" s="3245">
        <f>ROUND(PRODUCT(V46,AC7:AC45),0)</f>
        <v>2647</v>
      </c>
      <c r="W47" s="3245"/>
      <c r="X47" s="758"/>
      <c r="Y47" s="758"/>
      <c r="Z47" s="758"/>
      <c r="AA47" s="758"/>
      <c r="AB47" s="758"/>
      <c r="AC47" s="758"/>
    </row>
    <row r="48" spans="1:29" ht="15.75" thickBot="1">
      <c r="A48" s="491" t="s">
        <v>2744</v>
      </c>
      <c r="B48" s="492"/>
      <c r="C48" s="493">
        <f>R48</f>
        <v>2681</v>
      </c>
      <c r="D48" s="493"/>
      <c r="E48" s="493"/>
      <c r="F48" s="493"/>
      <c r="G48" s="493"/>
      <c r="H48" s="493"/>
      <c r="I48" s="493"/>
      <c r="J48" s="493"/>
      <c r="K48" s="784"/>
      <c r="L48" s="1140"/>
      <c r="M48" s="1141"/>
      <c r="N48" s="1141"/>
      <c r="O48" s="1141"/>
      <c r="P48" s="3246" t="str">
        <f>A48</f>
        <v>估价对象XX用房的比较价值（楼面单价，元/平方米）</v>
      </c>
      <c r="Q48" s="3247"/>
      <c r="R48" s="3248">
        <f>ROUND(AVERAGE(R47:V47),0)</f>
        <v>2681</v>
      </c>
      <c r="S48" s="3248"/>
      <c r="T48" s="3248"/>
      <c r="U48" s="3248"/>
      <c r="V48" s="3248"/>
      <c r="W48" s="324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2659</v>
      </c>
      <c r="D51" s="497"/>
      <c r="E51" s="498">
        <f>IF(E46&lt;E47,E47/E46-1,E46/E47-1)</f>
        <v>0.11717557251908395</v>
      </c>
      <c r="F51" s="499" t="str">
        <f>IF(OR(E51&gt;=0.3,E51&lt;=-0.3),"超过30%","")</f>
        <v/>
      </c>
      <c r="G51" s="498">
        <f>IF(G46&lt;G47,G47/G46-1,G46/G47-1)</f>
        <v>0.11724762335898586</v>
      </c>
      <c r="H51" s="499" t="str">
        <f>IF(OR(G51&gt;=0.3,G51&lt;=-0.3),"超过30%","")</f>
        <v/>
      </c>
      <c r="I51" s="498">
        <f>IF(I46&lt;I47,I47/I46-1,I46/I47-1)</f>
        <v>0.11734909244406921</v>
      </c>
      <c r="J51" s="499" t="str">
        <f>IF(OR(I51&gt;=0.3,I51&lt;=-0.3),"超过30%","")</f>
        <v/>
      </c>
      <c r="K51" s="1102"/>
      <c r="L51" s="1103"/>
      <c r="M51" s="1141"/>
      <c r="N51" s="1141"/>
      <c r="O51" s="1141"/>
    </row>
    <row r="52" spans="1:15" ht="13.5" customHeight="1">
      <c r="A52" s="1141"/>
      <c r="B52" s="1141"/>
      <c r="C52" s="496" t="s">
        <v>2660</v>
      </c>
      <c r="D52" s="500"/>
      <c r="E52" s="498">
        <f>IF(E47&lt;G47,G47/E47-1,E47/G47-1)</f>
        <v>0.18598055105348466</v>
      </c>
      <c r="F52" s="499" t="str">
        <f>IF(OR(E52&gt;=0.2,E52&lt;=-0.2),"超过20%","")</f>
        <v/>
      </c>
      <c r="G52" s="498">
        <f>IF(G47&lt;I47,I47/G47-1,G47/I47-1)</f>
        <v>7.252836304700172E-2</v>
      </c>
      <c r="H52" s="499" t="str">
        <f>IF(OR(G52&gt;=0.2,G52&lt;=-0.2),"超过20%","")</f>
        <v/>
      </c>
      <c r="I52" s="498">
        <f>IF(I47&lt;E47,E47/I47-1,I47/E47-1)</f>
        <v>0.10578012844729878</v>
      </c>
      <c r="J52" s="499" t="str">
        <f>IF(OR(I52&gt;=0.2,I52&lt;=-0.2),"超过20%","")</f>
        <v/>
      </c>
      <c r="K52" s="1102"/>
      <c r="L52" s="1103"/>
      <c r="M52" s="1141"/>
      <c r="N52" s="1141"/>
      <c r="O52" s="1141"/>
    </row>
    <row r="53" spans="1:15" s="501" customFormat="1" ht="13.5" customHeight="1">
      <c r="A53" s="1142"/>
      <c r="B53" s="1142"/>
      <c r="C53" s="496" t="s">
        <v>2661</v>
      </c>
      <c r="D53" s="500"/>
      <c r="E53" s="498">
        <f>IF(E46&lt;G46,G46/E46-1,E46/G46-1)</f>
        <v>0.18605703938433682</v>
      </c>
      <c r="F53" s="499" t="str">
        <f>IF(OR(E53&gt;=0.3,E53&lt;=-0.3),"超过30%","")</f>
        <v/>
      </c>
      <c r="G53" s="498">
        <f>IF(G46&lt;I46,I46/G46-1,G46/I46-1)</f>
        <v>7.2430964237211404E-2</v>
      </c>
      <c r="H53" s="499" t="str">
        <f>IF(OR(G53&gt;=0.3,G53&lt;=-0.3),"超过30%","")</f>
        <v/>
      </c>
      <c r="I53" s="498">
        <f>IF(I46&lt;E46,E46/I46-1,I46/E46-1)</f>
        <v>0.10595187842971709</v>
      </c>
      <c r="J53" s="499" t="str">
        <f>IF(OR(I53&gt;=0.3,I53&lt;=-0.3),"超过30%","")</f>
        <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2745</v>
      </c>
      <c r="B55" s="684" t="s">
        <v>2746</v>
      </c>
      <c r="C55" s="2697" t="s">
        <v>2747</v>
      </c>
      <c r="D55" s="2698" t="s">
        <v>2748</v>
      </c>
      <c r="E55" s="685" t="s">
        <v>2749</v>
      </c>
      <c r="F55" s="1104" t="s">
        <v>2750</v>
      </c>
      <c r="G55" s="3249" t="s">
        <v>2751</v>
      </c>
      <c r="H55" s="3250"/>
      <c r="I55" s="143" t="s">
        <v>2752</v>
      </c>
      <c r="J55" s="2699" t="str">
        <f>项目基本情况!F35</f>
        <v>贵州省贵阳市</v>
      </c>
      <c r="K55" s="2700" t="s">
        <v>2753</v>
      </c>
      <c r="L55" s="1103"/>
      <c r="M55" s="1141"/>
      <c r="N55" s="1141"/>
      <c r="O55" s="1141"/>
    </row>
    <row r="56" spans="1:15" s="691" customFormat="1">
      <c r="A56" s="687" t="s">
        <v>2754</v>
      </c>
      <c r="B56" s="688">
        <f>C48</f>
        <v>2681</v>
      </c>
      <c r="C56" s="689">
        <v>1</v>
      </c>
      <c r="D56" s="1160">
        <v>1</v>
      </c>
      <c r="E56" s="689">
        <f>'数据-汇总表'!E8+'数据-汇总表'!E9</f>
        <v>42389.05</v>
      </c>
      <c r="F56" s="1100">
        <f t="shared" ref="F56:F65" si="15">ROUND(B56*E56/10000,0)</f>
        <v>11365</v>
      </c>
      <c r="G56" s="3251"/>
      <c r="H56" s="3252"/>
      <c r="I56" s="1105">
        <v>1</v>
      </c>
      <c r="J56" s="1108">
        <v>1</v>
      </c>
      <c r="K56" s="1142"/>
      <c r="L56" s="938"/>
      <c r="M56" s="938"/>
      <c r="N56" s="938"/>
      <c r="O56" s="938"/>
    </row>
    <row r="57" spans="1:15" s="691" customFormat="1">
      <c r="A57" s="692" t="s">
        <v>2755</v>
      </c>
      <c r="B57" s="261">
        <f>ROUND($C$48*C57*D57,0)</f>
        <v>0</v>
      </c>
      <c r="C57" s="199">
        <f t="shared" ref="C57:C65" si="16">IF($C$55="北京市系数",I57,J57)</f>
        <v>0</v>
      </c>
      <c r="D57" s="1161">
        <v>0.25</v>
      </c>
      <c r="E57" s="693"/>
      <c r="F57" s="1100">
        <f t="shared" si="15"/>
        <v>0</v>
      </c>
      <c r="G57" s="3253" t="s">
        <v>2756</v>
      </c>
      <c r="H57" s="1101">
        <f>项目基本情况!B37</f>
        <v>0</v>
      </c>
      <c r="I57" s="1105">
        <f>SUMIF(修正!A45:A56,H57,修正!B45:B56)</f>
        <v>0</v>
      </c>
      <c r="J57" s="1109"/>
      <c r="K57" s="1141"/>
      <c r="L57" s="938"/>
      <c r="M57" s="938"/>
      <c r="N57" s="938"/>
      <c r="O57" s="938"/>
    </row>
    <row r="58" spans="1:15" s="691" customFormat="1">
      <c r="A58" s="692" t="s">
        <v>2757</v>
      </c>
      <c r="B58" s="261">
        <f t="shared" ref="B58:B65" si="17">ROUND($C$48*C58*D58,0)</f>
        <v>0</v>
      </c>
      <c r="C58" s="199">
        <f t="shared" si="16"/>
        <v>0</v>
      </c>
      <c r="D58" s="1161">
        <v>0.25</v>
      </c>
      <c r="E58" s="693"/>
      <c r="F58" s="1100">
        <f t="shared" si="15"/>
        <v>0</v>
      </c>
      <c r="G58" s="3253"/>
      <c r="H58" s="1101">
        <f>项目基本情况!B37</f>
        <v>0</v>
      </c>
      <c r="I58" s="1105">
        <f>SUMIF(修正!A45:A56,H58,修正!C45:C56)</f>
        <v>0</v>
      </c>
      <c r="J58" s="1109"/>
      <c r="K58" s="1142"/>
      <c r="L58" s="938"/>
      <c r="M58" s="938"/>
      <c r="N58" s="938"/>
      <c r="O58" s="938"/>
    </row>
    <row r="59" spans="1:15" s="691" customFormat="1">
      <c r="A59" s="692" t="s">
        <v>2758</v>
      </c>
      <c r="B59" s="261">
        <f t="shared" si="17"/>
        <v>0</v>
      </c>
      <c r="C59" s="199">
        <f t="shared" si="16"/>
        <v>0</v>
      </c>
      <c r="D59" s="1161">
        <v>0.25</v>
      </c>
      <c r="E59" s="693"/>
      <c r="F59" s="1100">
        <f t="shared" si="15"/>
        <v>0</v>
      </c>
      <c r="G59" s="3253"/>
      <c r="H59" s="1101">
        <f>项目基本情况!B37</f>
        <v>0</v>
      </c>
      <c r="I59" s="1105">
        <f>SUMIF(修正!A45:A56,H59,修正!D45:D56)</f>
        <v>0</v>
      </c>
      <c r="J59" s="1109"/>
      <c r="K59" s="1141"/>
      <c r="L59" s="938"/>
      <c r="M59" s="938"/>
      <c r="N59" s="938"/>
      <c r="O59" s="938"/>
    </row>
    <row r="60" spans="1:15" s="691" customFormat="1">
      <c r="A60" s="692" t="s">
        <v>2759</v>
      </c>
      <c r="B60" s="261">
        <f t="shared" si="17"/>
        <v>0</v>
      </c>
      <c r="C60" s="199">
        <f t="shared" si="16"/>
        <v>0</v>
      </c>
      <c r="D60" s="1161">
        <v>0.25</v>
      </c>
      <c r="E60" s="693"/>
      <c r="F60" s="1100">
        <f t="shared" si="15"/>
        <v>0</v>
      </c>
      <c r="G60" s="3253"/>
      <c r="H60" s="1101">
        <f>项目基本情况!B37</f>
        <v>0</v>
      </c>
      <c r="I60" s="1105">
        <f>SUMIF(修正!A45:A56,H60,修正!E45:E56)</f>
        <v>0</v>
      </c>
      <c r="J60" s="1109"/>
      <c r="K60" s="1142"/>
      <c r="L60" s="938"/>
      <c r="M60" s="938"/>
      <c r="N60" s="938"/>
      <c r="O60" s="938"/>
    </row>
    <row r="61" spans="1:15" s="691" customFormat="1">
      <c r="A61" s="692" t="s">
        <v>2760</v>
      </c>
      <c r="B61" s="261">
        <f t="shared" si="17"/>
        <v>0</v>
      </c>
      <c r="C61" s="199">
        <f t="shared" si="16"/>
        <v>0</v>
      </c>
      <c r="D61" s="1161">
        <v>0.25</v>
      </c>
      <c r="E61" s="260">
        <f>'数据-汇总表'!E11</f>
        <v>0</v>
      </c>
      <c r="F61" s="1100">
        <f t="shared" si="15"/>
        <v>0</v>
      </c>
      <c r="G61" s="2701" t="s">
        <v>2761</v>
      </c>
      <c r="H61" s="1101">
        <f>项目基本情况!C37</f>
        <v>0</v>
      </c>
      <c r="I61" s="1105">
        <f>SUMIF(修正!A45:A56,H61,修正!F45:F56)</f>
        <v>0</v>
      </c>
      <c r="J61" s="1109"/>
      <c r="K61" s="1141"/>
      <c r="L61" s="938"/>
      <c r="M61" s="938"/>
      <c r="N61" s="938"/>
      <c r="O61" s="938"/>
    </row>
    <row r="62" spans="1:15" s="691" customFormat="1">
      <c r="A62" s="692" t="s">
        <v>2762</v>
      </c>
      <c r="B62" s="261">
        <f t="shared" si="17"/>
        <v>0</v>
      </c>
      <c r="C62" s="199">
        <f t="shared" si="16"/>
        <v>0</v>
      </c>
      <c r="D62" s="1161">
        <v>0.25</v>
      </c>
      <c r="E62" s="260">
        <f>'数据-汇总表'!E12</f>
        <v>0</v>
      </c>
      <c r="F62" s="1100">
        <f t="shared" si="15"/>
        <v>0</v>
      </c>
      <c r="G62" s="1106" t="s">
        <v>2763</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2764</v>
      </c>
      <c r="B63" s="261">
        <f t="shared" si="17"/>
        <v>0</v>
      </c>
      <c r="C63" s="199">
        <f t="shared" si="16"/>
        <v>0</v>
      </c>
      <c r="D63" s="1161">
        <v>0.25</v>
      </c>
      <c r="E63" s="260">
        <f>'数据-汇总表'!E13</f>
        <v>0</v>
      </c>
      <c r="F63" s="1100">
        <f t="shared" si="15"/>
        <v>0</v>
      </c>
      <c r="G63" s="1106" t="s">
        <v>2765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2766</v>
      </c>
      <c r="B64" s="261">
        <f t="shared" si="17"/>
        <v>0</v>
      </c>
      <c r="C64" s="199">
        <f t="shared" si="16"/>
        <v>0</v>
      </c>
      <c r="D64" s="1161">
        <v>0.25</v>
      </c>
      <c r="E64" s="260">
        <f>'数据-汇总表'!E14</f>
        <v>32753.93</v>
      </c>
      <c r="F64" s="1100">
        <f t="shared" si="15"/>
        <v>0</v>
      </c>
      <c r="G64" s="2701" t="s">
        <v>2756</v>
      </c>
      <c r="H64" s="1101">
        <f>项目基本情况!B37</f>
        <v>0</v>
      </c>
      <c r="I64" s="1105">
        <f>SUMIF(修正!A45:A56,H64,修正!H45:H56)</f>
        <v>0</v>
      </c>
      <c r="J64" s="1109"/>
      <c r="K64" s="1142"/>
      <c r="L64" s="938"/>
      <c r="M64" s="938"/>
      <c r="N64" s="938"/>
      <c r="O64" s="938"/>
    </row>
    <row r="65" spans="1:17" s="691" customFormat="1" ht="15" thickBot="1">
      <c r="A65" s="692" t="s">
        <v>2767</v>
      </c>
      <c r="B65" s="261">
        <f t="shared" si="17"/>
        <v>0</v>
      </c>
      <c r="C65" s="199">
        <f t="shared" si="16"/>
        <v>0</v>
      </c>
      <c r="D65" s="1161">
        <v>0.25</v>
      </c>
      <c r="E65" s="260">
        <f>'数据-汇总表'!E15</f>
        <v>0</v>
      </c>
      <c r="F65" s="1100">
        <f t="shared" si="15"/>
        <v>0</v>
      </c>
      <c r="G65" s="2702" t="s">
        <v>2761</v>
      </c>
      <c r="H65" s="1111">
        <f>项目基本情况!C37</f>
        <v>0</v>
      </c>
      <c r="I65" s="1107">
        <f>SUMIF(修正!A45:A56,H65,修正!H45:H56)</f>
        <v>0</v>
      </c>
      <c r="J65" s="1110"/>
      <c r="K65" s="1141"/>
      <c r="L65" s="938"/>
      <c r="M65" s="938"/>
      <c r="N65" s="938"/>
      <c r="O65" s="938"/>
    </row>
    <row r="66" spans="1:17" s="691" customFormat="1" ht="13.5" thickBot="1">
      <c r="A66" s="694" t="s">
        <v>2768</v>
      </c>
      <c r="B66" s="695" t="s">
        <v>28</v>
      </c>
      <c r="C66" s="695" t="s">
        <v>29</v>
      </c>
      <c r="D66" s="695" t="s">
        <v>1026</v>
      </c>
      <c r="E66" s="695">
        <f>IF(B46="楼面地价",SUM(E56:E65),'数据-汇总表'!D3)</f>
        <v>75142.98000000001</v>
      </c>
      <c r="F66" s="696">
        <f>IF(B46="楼面地价",SUM(F56:F65),ROUND(C48*E66/10000,0))</f>
        <v>11365</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2662</v>
      </c>
      <c r="B69" s="758"/>
      <c r="C69" s="763"/>
      <c r="D69" s="763"/>
      <c r="E69" s="763"/>
      <c r="F69" s="764"/>
      <c r="G69" s="764"/>
      <c r="H69" s="763"/>
      <c r="I69" s="763"/>
      <c r="J69" s="1156"/>
      <c r="K69" s="1157"/>
      <c r="L69" s="1158"/>
      <c r="M69" s="1156"/>
      <c r="N69" s="1156"/>
      <c r="O69" s="1156"/>
      <c r="P69" s="502"/>
      <c r="Q69" s="503"/>
    </row>
    <row r="70" spans="1:17" s="507" customFormat="1" ht="15">
      <c r="A70" s="2703" t="s">
        <v>2769</v>
      </c>
      <c r="B70" s="1356"/>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6"/>
    </row>
    <row r="71" spans="1:17" s="117" customFormat="1" ht="30" customHeight="1">
      <c r="A71" s="2704" t="s">
        <v>27</v>
      </c>
      <c r="B71" s="331" t="str">
        <f>"北京市平均增长率"&amp;TEXT(SUMIF(基准地价修正!N21:N25,A71,基准地价修正!P21:P25),"0.00%")</f>
        <v>北京市平均增长率1.51%</v>
      </c>
      <c r="C71" s="602">
        <v>100</v>
      </c>
      <c r="D71" s="594">
        <f>C71-$C$72</f>
        <v>99.5</v>
      </c>
      <c r="E71" s="594">
        <f t="shared" ref="E71:O71" si="20">D71-$C$72</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7" customFormat="1" ht="15.75" thickBot="1">
      <c r="A72" s="514" t="s">
        <v>2573</v>
      </c>
      <c r="B72" s="515"/>
      <c r="C72" s="516">
        <v>0.5</v>
      </c>
      <c r="D72" s="517"/>
      <c r="E72" s="517"/>
      <c r="F72" s="517"/>
      <c r="G72" s="517"/>
      <c r="H72" s="517"/>
      <c r="I72" s="517"/>
      <c r="J72" s="517"/>
      <c r="K72" s="517"/>
      <c r="L72" s="517"/>
      <c r="M72" s="518"/>
      <c r="N72" s="517"/>
      <c r="O72" s="1159"/>
      <c r="P72" s="503"/>
      <c r="Q72" s="503"/>
    </row>
    <row r="73" spans="1:17" s="117" customFormat="1" ht="15">
      <c r="A73" s="520" t="s">
        <v>2538</v>
      </c>
      <c r="B73" s="509"/>
      <c r="C73" s="521" t="s">
        <v>2640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ht="28.5">
      <c r="A75" s="526" t="s">
        <v>2576</v>
      </c>
      <c r="B75" s="527" t="s">
        <v>2542</v>
      </c>
      <c r="C75" s="660" t="str">
        <f>项目基本情况!B16</f>
        <v>办公及地下车库</v>
      </c>
      <c r="D75" s="529" t="str">
        <f>土地案例!H12</f>
        <v>其他商服用地</v>
      </c>
      <c r="E75" s="529"/>
      <c r="F75" s="529"/>
      <c r="G75" s="529"/>
      <c r="H75" s="529"/>
      <c r="I75" s="529"/>
      <c r="J75" s="529"/>
      <c r="K75" s="530"/>
      <c r="L75" s="531"/>
      <c r="M75" s="532"/>
      <c r="N75" s="1149"/>
      <c r="O75" s="1149"/>
      <c r="P75" s="45"/>
      <c r="Q75" s="503"/>
    </row>
    <row r="76" spans="1:17" ht="15.75" thickBot="1">
      <c r="A76" s="533"/>
      <c r="B76" s="534"/>
      <c r="C76" s="535">
        <v>100</v>
      </c>
      <c r="D76" s="535">
        <v>100</v>
      </c>
      <c r="E76" s="535"/>
      <c r="F76" s="535"/>
      <c r="G76" s="535"/>
      <c r="H76" s="535"/>
      <c r="I76" s="535"/>
      <c r="J76" s="535"/>
      <c r="K76" s="535"/>
      <c r="L76" s="535"/>
      <c r="M76" s="536"/>
      <c r="N76" s="1150"/>
      <c r="O76" s="1150"/>
      <c r="P76" s="45"/>
      <c r="Q76" s="503"/>
    </row>
    <row r="77" spans="1:17" ht="27.75" thickTop="1">
      <c r="A77" s="533"/>
      <c r="B77" s="537" t="s">
        <v>2545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29.25" thickTop="1">
      <c r="A79" s="533"/>
      <c r="B79" s="545" t="s">
        <v>2546</v>
      </c>
      <c r="C79" s="546" t="str">
        <f>C80&amp;"（含）"&amp;"-"&amp;D80</f>
        <v>1（含）-2</v>
      </c>
      <c r="D79" s="546" t="str">
        <f t="shared" ref="D79:L79" si="21">D80&amp;"（含）"&amp;"-"&amp;E80</f>
        <v>2（含）-3</v>
      </c>
      <c r="E79" s="546" t="str">
        <f t="shared" si="21"/>
        <v>3（含）-</v>
      </c>
      <c r="F79" s="546" t="str">
        <f t="shared" si="21"/>
        <v>（含）-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0"/>
      <c r="O79" s="1150"/>
      <c r="P79" s="45"/>
      <c r="Q79" s="503"/>
    </row>
    <row r="80" spans="1:17" ht="15">
      <c r="A80" s="533"/>
      <c r="B80" s="547"/>
      <c r="C80" s="548">
        <v>1</v>
      </c>
      <c r="D80" s="548">
        <v>2</v>
      </c>
      <c r="E80" s="548">
        <v>3</v>
      </c>
      <c r="F80" s="548"/>
      <c r="G80" s="548"/>
      <c r="H80" s="548"/>
      <c r="I80" s="548"/>
      <c r="J80" s="548"/>
      <c r="K80" s="549"/>
      <c r="L80" s="550"/>
      <c r="M80" s="551"/>
      <c r="N80" s="1149"/>
      <c r="O80" s="1149"/>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0"/>
      <c r="O81" s="1150"/>
      <c r="P81" s="45"/>
      <c r="Q81" s="503"/>
    </row>
    <row r="82" spans="1:17" s="470" customFormat="1" ht="15.75" hidden="1" thickTop="1">
      <c r="A82" s="552"/>
      <c r="B82" s="537">
        <f>B12</f>
        <v>0</v>
      </c>
      <c r="C82" s="553"/>
      <c r="D82" s="553"/>
      <c r="E82" s="553"/>
      <c r="F82" s="553"/>
      <c r="G82" s="553"/>
      <c r="H82" s="554"/>
      <c r="I82" s="554"/>
      <c r="J82" s="554"/>
      <c r="K82" s="554"/>
      <c r="L82" s="555"/>
      <c r="M82" s="556"/>
      <c r="N82" s="1151"/>
      <c r="O82" s="1151"/>
      <c r="P82" s="557"/>
      <c r="Q82" s="558"/>
    </row>
    <row r="83" spans="1:17" s="470" customFormat="1" ht="15.75" hidden="1" thickBot="1">
      <c r="A83" s="552"/>
      <c r="B83" s="542"/>
      <c r="C83" s="559"/>
      <c r="D83" s="535"/>
      <c r="E83" s="535"/>
      <c r="F83" s="535"/>
      <c r="G83" s="535"/>
      <c r="H83" s="535"/>
      <c r="I83" s="535"/>
      <c r="J83" s="535"/>
      <c r="K83" s="535"/>
      <c r="L83" s="535"/>
      <c r="M83" s="536"/>
      <c r="N83" s="1150"/>
      <c r="O83" s="1150"/>
      <c r="P83" s="557"/>
      <c r="Q83" s="558"/>
    </row>
    <row r="84" spans="1:17" s="470" customFormat="1" ht="15.75" hidden="1" thickTop="1">
      <c r="A84" s="552"/>
      <c r="B84" s="537">
        <f>B13</f>
        <v>0</v>
      </c>
      <c r="C84" s="553"/>
      <c r="D84" s="553"/>
      <c r="E84" s="553"/>
      <c r="F84" s="553"/>
      <c r="G84" s="553"/>
      <c r="H84" s="554"/>
      <c r="I84" s="554"/>
      <c r="J84" s="554"/>
      <c r="K84" s="554"/>
      <c r="L84" s="555"/>
      <c r="M84" s="556"/>
      <c r="N84" s="1151"/>
      <c r="O84" s="1151"/>
      <c r="P84" s="469"/>
      <c r="Q84" s="560"/>
    </row>
    <row r="85" spans="1:17" s="470" customFormat="1" ht="15.75" hidden="1" thickBot="1">
      <c r="A85" s="552"/>
      <c r="B85" s="542"/>
      <c r="C85" s="559"/>
      <c r="D85" s="559"/>
      <c r="E85" s="559"/>
      <c r="F85" s="559"/>
      <c r="G85" s="559"/>
      <c r="H85" s="561"/>
      <c r="I85" s="561"/>
      <c r="J85" s="561"/>
      <c r="K85" s="561"/>
      <c r="L85" s="561"/>
      <c r="M85" s="562"/>
      <c r="N85" s="1151"/>
      <c r="O85" s="1151"/>
      <c r="P85" s="557"/>
      <c r="Q85" s="558"/>
    </row>
    <row r="86" spans="1:17" s="470" customFormat="1" ht="15.75" hidden="1" thickTop="1">
      <c r="A86" s="552"/>
      <c r="B86" s="545">
        <f>B14</f>
        <v>0</v>
      </c>
      <c r="C86" s="522"/>
      <c r="D86" s="522"/>
      <c r="E86" s="522"/>
      <c r="F86" s="522"/>
      <c r="G86" s="522"/>
      <c r="H86" s="563"/>
      <c r="I86" s="563"/>
      <c r="J86" s="563"/>
      <c r="K86" s="563"/>
      <c r="L86" s="564"/>
      <c r="M86" s="565"/>
      <c r="N86" s="1151"/>
      <c r="O86" s="1151"/>
      <c r="P86" s="566"/>
      <c r="Q86" s="558"/>
    </row>
    <row r="87" spans="1:17" s="470" customFormat="1" ht="15.75" hidden="1" thickBot="1">
      <c r="A87" s="567"/>
      <c r="B87" s="568"/>
      <c r="C87" s="569"/>
      <c r="D87" s="569"/>
      <c r="E87" s="569"/>
      <c r="F87" s="569"/>
      <c r="G87" s="569"/>
      <c r="H87" s="570"/>
      <c r="I87" s="570"/>
      <c r="J87" s="570"/>
      <c r="K87" s="570"/>
      <c r="L87" s="570"/>
      <c r="M87" s="571"/>
      <c r="N87" s="1151"/>
      <c r="O87" s="1151"/>
      <c r="P87" s="557"/>
      <c r="Q87" s="558"/>
    </row>
    <row r="88" spans="1:17" hidden="1">
      <c r="A88" s="526" t="s">
        <v>2547</v>
      </c>
      <c r="B88" s="527" t="s">
        <v>2584</v>
      </c>
      <c r="C88" s="572" t="s">
        <v>2585</v>
      </c>
      <c r="D88" s="572" t="s">
        <v>2586</v>
      </c>
      <c r="E88" s="572" t="s">
        <v>2587</v>
      </c>
      <c r="F88" s="572" t="s">
        <v>2588</v>
      </c>
      <c r="G88" s="572" t="s">
        <v>2589</v>
      </c>
      <c r="H88" s="528"/>
      <c r="I88" s="528"/>
      <c r="J88" s="528"/>
      <c r="K88" s="573"/>
      <c r="L88" s="574"/>
      <c r="M88" s="575"/>
      <c r="N88" s="1149"/>
      <c r="O88" s="1149"/>
      <c r="P88" s="576"/>
      <c r="Q88" s="503"/>
    </row>
    <row r="89" spans="1:17" ht="15.75" hidden="1"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2770</v>
      </c>
      <c r="C90" s="577" t="s">
        <v>2585</v>
      </c>
      <c r="D90" s="577" t="s">
        <v>2586</v>
      </c>
      <c r="E90" s="577" t="s">
        <v>2587</v>
      </c>
      <c r="F90" s="577" t="s">
        <v>2588</v>
      </c>
      <c r="G90" s="577" t="s">
        <v>2589</v>
      </c>
      <c r="H90" s="538"/>
      <c r="I90" s="538"/>
      <c r="J90" s="538"/>
      <c r="K90" s="539"/>
      <c r="L90" s="540"/>
      <c r="M90" s="541"/>
      <c r="N90" s="1149"/>
      <c r="O90" s="1149"/>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0"/>
      <c r="O91" s="1150"/>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49"/>
      <c r="O92" s="1149"/>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0"/>
      <c r="O93" s="1150"/>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9"/>
      <c r="O94" s="1149"/>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0"/>
      <c r="O95" s="1150"/>
      <c r="P95" s="45"/>
      <c r="Q95" s="503"/>
    </row>
    <row r="96" spans="1:17" s="117" customFormat="1" ht="15.75" thickTop="1">
      <c r="A96" s="578"/>
      <c r="B96" s="537" t="s">
        <v>2771</v>
      </c>
      <c r="C96" s="577" t="s">
        <v>2585</v>
      </c>
      <c r="D96" s="577" t="s">
        <v>2586</v>
      </c>
      <c r="E96" s="577" t="s">
        <v>2587</v>
      </c>
      <c r="F96" s="577" t="s">
        <v>2588</v>
      </c>
      <c r="G96" s="577" t="s">
        <v>2589</v>
      </c>
      <c r="H96" s="577"/>
      <c r="I96" s="577"/>
      <c r="J96" s="577"/>
      <c r="K96" s="577"/>
      <c r="L96" s="697"/>
      <c r="M96" s="621"/>
      <c r="N96" s="1148"/>
      <c r="O96" s="1148"/>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0"/>
      <c r="O97" s="1150"/>
      <c r="P97" s="45"/>
      <c r="Q97" s="503"/>
    </row>
    <row r="98" spans="1:17" s="117" customFormat="1" ht="27.75" thickTop="1">
      <c r="A98" s="578"/>
      <c r="B98" s="537" t="s">
        <v>2772</v>
      </c>
      <c r="C98" s="572" t="s">
        <v>2585</v>
      </c>
      <c r="D98" s="572" t="s">
        <v>2586</v>
      </c>
      <c r="E98" s="572" t="s">
        <v>2587</v>
      </c>
      <c r="F98" s="572" t="s">
        <v>2588</v>
      </c>
      <c r="G98" s="572" t="s">
        <v>2589</v>
      </c>
      <c r="H98" s="577"/>
      <c r="I98" s="577"/>
      <c r="J98" s="577"/>
      <c r="K98" s="577"/>
      <c r="L98" s="577"/>
      <c r="M98" s="621"/>
      <c r="N98" s="1148"/>
      <c r="O98" s="1148"/>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0"/>
      <c r="O99" s="1150"/>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1"/>
      <c r="O100" s="1151"/>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1"/>
      <c r="O101" s="1151"/>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2"/>
      <c r="N102" s="1151"/>
      <c r="O102" s="1151"/>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1"/>
      <c r="O103" s="1151"/>
      <c r="P103" s="557"/>
      <c r="Q103" s="558"/>
    </row>
    <row r="104" spans="1:17" ht="15.75" hidden="1" thickTop="1">
      <c r="A104" s="533"/>
      <c r="B104" s="537" t="str">
        <f>B31</f>
        <v>临街状况</v>
      </c>
      <c r="C104" s="538" t="s">
        <v>2773</v>
      </c>
      <c r="D104" s="538" t="s">
        <v>2774</v>
      </c>
      <c r="E104" s="538" t="s">
        <v>2775</v>
      </c>
      <c r="F104" s="538" t="s">
        <v>2776</v>
      </c>
      <c r="G104" s="538"/>
      <c r="H104" s="538"/>
      <c r="I104" s="538"/>
      <c r="J104" s="538"/>
      <c r="K104" s="539"/>
      <c r="L104" s="540"/>
      <c r="M104" s="541"/>
      <c r="N104" s="1149"/>
      <c r="O104" s="1149"/>
      <c r="P104" s="45"/>
      <c r="Q104" s="503"/>
    </row>
    <row r="105" spans="1:17" ht="15.75" hidden="1"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0"/>
      <c r="O105" s="1150"/>
      <c r="P105" s="45"/>
      <c r="Q105" s="503"/>
    </row>
    <row r="106" spans="1:17" ht="27.75" thickTop="1">
      <c r="A106" s="533"/>
      <c r="B106" s="537" t="s">
        <v>2679</v>
      </c>
      <c r="C106" s="3002" t="s">
        <v>3313</v>
      </c>
      <c r="D106" s="3002" t="s">
        <v>3314</v>
      </c>
      <c r="E106" s="3002" t="s">
        <v>3315</v>
      </c>
      <c r="F106" s="3002" t="s">
        <v>3316</v>
      </c>
      <c r="G106" s="3002" t="s">
        <v>3317</v>
      </c>
      <c r="H106" s="582"/>
      <c r="I106" s="582"/>
      <c r="J106" s="582"/>
      <c r="K106" s="583"/>
      <c r="L106" s="584"/>
      <c r="M106" s="585"/>
      <c r="N106" s="1149"/>
      <c r="O106" s="1149"/>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0"/>
      <c r="O107" s="1150"/>
      <c r="P107" s="45"/>
      <c r="Q107" s="503"/>
    </row>
    <row r="108" spans="1:17" ht="15.75" hidden="1" thickTop="1">
      <c r="A108" s="533"/>
      <c r="B108" s="537" t="s">
        <v>2737</v>
      </c>
      <c r="C108" s="582"/>
      <c r="D108" s="582"/>
      <c r="E108" s="582"/>
      <c r="F108" s="582"/>
      <c r="G108" s="582"/>
      <c r="H108" s="582"/>
      <c r="I108" s="582"/>
      <c r="J108" s="582"/>
      <c r="K108" s="583"/>
      <c r="L108" s="584"/>
      <c r="M108" s="585"/>
      <c r="N108" s="1149"/>
      <c r="O108" s="1149"/>
      <c r="P108" s="45"/>
      <c r="Q108" s="503"/>
    </row>
    <row r="109" spans="1:17" ht="15.75" hidden="1"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0"/>
      <c r="O109" s="1150"/>
      <c r="P109" s="45"/>
      <c r="Q109" s="503"/>
    </row>
    <row r="110" spans="1:17" ht="15.75" hidden="1" thickTop="1">
      <c r="A110" s="533"/>
      <c r="B110" s="545">
        <f>B35</f>
        <v>0</v>
      </c>
      <c r="C110" s="553"/>
      <c r="D110" s="553"/>
      <c r="E110" s="553"/>
      <c r="F110" s="553"/>
      <c r="G110" s="586"/>
      <c r="H110" s="586"/>
      <c r="I110" s="586"/>
      <c r="J110" s="586"/>
      <c r="K110" s="587"/>
      <c r="L110" s="588"/>
      <c r="M110" s="589"/>
      <c r="N110" s="1149"/>
      <c r="O110" s="1149"/>
      <c r="P110" s="45"/>
      <c r="Q110" s="503"/>
    </row>
    <row r="111" spans="1:17" ht="15.75" hidden="1" thickBot="1">
      <c r="A111" s="533"/>
      <c r="B111" s="568"/>
      <c r="C111" s="559"/>
      <c r="D111" s="559"/>
      <c r="E111" s="559"/>
      <c r="F111" s="559"/>
      <c r="G111" s="590"/>
      <c r="H111" s="590"/>
      <c r="I111" s="590"/>
      <c r="J111" s="590"/>
      <c r="K111" s="590"/>
      <c r="L111" s="590"/>
      <c r="M111" s="591"/>
      <c r="N111" s="1150"/>
      <c r="O111" s="1150"/>
      <c r="P111" s="45"/>
      <c r="Q111" s="503"/>
    </row>
    <row r="112" spans="1:17" ht="15" hidden="1" thickTop="1">
      <c r="A112" s="674"/>
      <c r="B112" s="537">
        <f>B36</f>
        <v>0</v>
      </c>
      <c r="C112" s="522"/>
      <c r="D112" s="522"/>
      <c r="E112" s="522"/>
      <c r="F112" s="522"/>
      <c r="G112" s="582"/>
      <c r="H112" s="582"/>
      <c r="I112" s="582"/>
      <c r="J112" s="582"/>
      <c r="K112" s="583"/>
      <c r="L112" s="584"/>
      <c r="M112" s="585"/>
      <c r="N112" s="1149"/>
      <c r="O112" s="1149"/>
      <c r="P112" s="45"/>
      <c r="Q112" s="503"/>
    </row>
    <row r="113" spans="1:17" ht="15.75" hidden="1" thickBot="1">
      <c r="A113" s="533"/>
      <c r="B113" s="542"/>
      <c r="C113" s="569"/>
      <c r="D113" s="569"/>
      <c r="E113" s="569"/>
      <c r="F113" s="569"/>
      <c r="G113" s="535"/>
      <c r="H113" s="535"/>
      <c r="I113" s="535"/>
      <c r="J113" s="535"/>
      <c r="K113" s="535"/>
      <c r="L113" s="535"/>
      <c r="M113" s="536"/>
      <c r="N113" s="1150"/>
      <c r="O113" s="1150"/>
      <c r="P113" s="45"/>
      <c r="Q113" s="503"/>
    </row>
    <row r="114" spans="1:17" s="470" customFormat="1" ht="15" hidden="1" thickTop="1">
      <c r="A114" s="592"/>
      <c r="B114" s="593">
        <f>B37</f>
        <v>0</v>
      </c>
      <c r="C114" s="594"/>
      <c r="D114" s="594"/>
      <c r="E114" s="594"/>
      <c r="F114" s="594"/>
      <c r="G114" s="594"/>
      <c r="H114" s="594"/>
      <c r="I114" s="594"/>
      <c r="J114" s="595"/>
      <c r="K114" s="595"/>
      <c r="L114" s="596"/>
      <c r="M114" s="597"/>
      <c r="N114" s="1151"/>
      <c r="O114" s="1151"/>
      <c r="P114" s="557"/>
      <c r="Q114" s="558"/>
    </row>
    <row r="115" spans="1:17" s="470" customFormat="1" ht="15.75" hidden="1" thickBot="1">
      <c r="A115" s="552"/>
      <c r="B115" s="545"/>
      <c r="C115" s="511"/>
      <c r="D115" s="676"/>
      <c r="E115" s="676"/>
      <c r="F115" s="676"/>
      <c r="G115" s="676"/>
      <c r="H115" s="676"/>
      <c r="I115" s="676"/>
      <c r="J115" s="676"/>
      <c r="K115" s="676"/>
      <c r="L115" s="676"/>
      <c r="M115" s="698"/>
      <c r="N115" s="1150"/>
      <c r="O115" s="1150"/>
      <c r="P115" s="557"/>
      <c r="Q115" s="558"/>
    </row>
    <row r="116" spans="1:17" ht="15" thickTop="1">
      <c r="A116" s="526" t="s">
        <v>2551</v>
      </c>
      <c r="B116" s="527" t="s">
        <v>2777</v>
      </c>
      <c r="C116" s="528" t="str">
        <f>C117&amp;"(含)"&amp;"-"&amp;D117</f>
        <v>0(含)-</v>
      </c>
      <c r="D116" s="528" t="str">
        <f t="shared" ref="D116:M116" si="26">D117&amp;"(含)"&amp;"-"&amp;E117</f>
        <v>(含)-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9"/>
      <c r="O116" s="1149"/>
      <c r="P116" s="45"/>
      <c r="Q116" s="503"/>
    </row>
    <row r="117" spans="1:17" ht="15">
      <c r="A117" s="533"/>
      <c r="B117" s="545"/>
      <c r="C117" s="594">
        <v>0</v>
      </c>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2778</v>
      </c>
      <c r="C119" s="3001" t="s">
        <v>3306</v>
      </c>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0"/>
      <c r="O120" s="1150"/>
      <c r="P120" s="45"/>
      <c r="Q120" s="503"/>
    </row>
    <row r="121" spans="1:17" ht="15" thickTop="1">
      <c r="A121" s="598"/>
      <c r="B121" s="537" t="s">
        <v>2779</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0"/>
      <c r="O122" s="1150"/>
      <c r="P122" s="45"/>
      <c r="Q122" s="503"/>
    </row>
    <row r="123" spans="1:17" s="470" customFormat="1" ht="15" thickTop="1">
      <c r="A123" s="592"/>
      <c r="B123" s="537" t="s">
        <v>2780</v>
      </c>
      <c r="C123" s="3002" t="s">
        <v>3308</v>
      </c>
      <c r="D123" s="3002" t="s">
        <v>3309</v>
      </c>
      <c r="E123" s="3002" t="s">
        <v>3310</v>
      </c>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1"/>
      <c r="O124" s="1151"/>
      <c r="P124" s="557"/>
      <c r="Q124" s="558"/>
    </row>
    <row r="125" spans="1:17" ht="15" thickTop="1">
      <c r="A125" s="598"/>
      <c r="B125" s="537" t="s">
        <v>2781</v>
      </c>
      <c r="C125" s="3002" t="s">
        <v>3312</v>
      </c>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0"/>
      <c r="O126" s="1150"/>
      <c r="P126" s="45"/>
      <c r="Q126" s="503"/>
    </row>
    <row r="127" spans="1:17" ht="15" hidden="1" thickTop="1">
      <c r="A127" s="598"/>
      <c r="B127" s="537">
        <f>B43</f>
        <v>0</v>
      </c>
      <c r="C127" s="553"/>
      <c r="D127" s="553"/>
      <c r="E127" s="553"/>
      <c r="F127" s="553"/>
      <c r="G127" s="553"/>
      <c r="H127" s="582"/>
      <c r="I127" s="582"/>
      <c r="J127" s="582"/>
      <c r="K127" s="583"/>
      <c r="L127" s="584"/>
      <c r="M127" s="585"/>
      <c r="N127" s="1149"/>
      <c r="O127" s="1149"/>
      <c r="P127" s="45"/>
      <c r="Q127" s="503"/>
    </row>
    <row r="128" spans="1:17" ht="15.75" hidden="1" thickBot="1">
      <c r="A128" s="533"/>
      <c r="B128" s="542"/>
      <c r="C128" s="559"/>
      <c r="D128" s="559"/>
      <c r="E128" s="559"/>
      <c r="F128" s="559"/>
      <c r="G128" s="535"/>
      <c r="H128" s="535"/>
      <c r="I128" s="535"/>
      <c r="J128" s="535"/>
      <c r="K128" s="535"/>
      <c r="L128" s="535"/>
      <c r="M128" s="536"/>
      <c r="N128" s="1150"/>
      <c r="O128" s="1150"/>
      <c r="P128" s="45"/>
      <c r="Q128" s="503"/>
    </row>
    <row r="129" spans="1:17" ht="15" hidden="1" thickTop="1">
      <c r="A129" s="598"/>
      <c r="B129" s="537">
        <f>B44</f>
        <v>0</v>
      </c>
      <c r="C129" s="522"/>
      <c r="D129" s="522"/>
      <c r="E129" s="522"/>
      <c r="F129" s="522"/>
      <c r="G129" s="582"/>
      <c r="H129" s="582"/>
      <c r="I129" s="582"/>
      <c r="J129" s="582"/>
      <c r="K129" s="583"/>
      <c r="L129" s="584"/>
      <c r="M129" s="585"/>
      <c r="N129" s="1149"/>
      <c r="O129" s="1149"/>
      <c r="P129" s="45"/>
      <c r="Q129" s="503"/>
    </row>
    <row r="130" spans="1:17" ht="15.75" hidden="1" thickBot="1">
      <c r="A130" s="533"/>
      <c r="B130" s="542"/>
      <c r="C130" s="569"/>
      <c r="D130" s="569"/>
      <c r="E130" s="569"/>
      <c r="F130" s="569"/>
      <c r="G130" s="535"/>
      <c r="H130" s="535"/>
      <c r="I130" s="535"/>
      <c r="J130" s="535"/>
      <c r="K130" s="535"/>
      <c r="L130" s="535"/>
      <c r="M130" s="536"/>
      <c r="N130" s="1150"/>
      <c r="O130" s="1150"/>
      <c r="P130" s="45"/>
      <c r="Q130" s="503"/>
    </row>
    <row r="131" spans="1:17" s="470" customFormat="1" ht="15" hidden="1" thickTop="1">
      <c r="A131" s="592"/>
      <c r="B131" s="537">
        <f>B45</f>
        <v>0</v>
      </c>
      <c r="C131" s="522"/>
      <c r="D131" s="522"/>
      <c r="E131" s="522"/>
      <c r="F131" s="522"/>
      <c r="G131" s="554"/>
      <c r="H131" s="554"/>
      <c r="I131" s="554"/>
      <c r="J131" s="554"/>
      <c r="K131" s="554"/>
      <c r="L131" s="555"/>
      <c r="M131" s="556"/>
      <c r="N131" s="1151"/>
      <c r="O131" s="1151"/>
      <c r="P131" s="557"/>
      <c r="Q131" s="558"/>
    </row>
    <row r="132" spans="1:17" s="470" customFormat="1" ht="15.75" hidden="1" thickBot="1">
      <c r="A132" s="567"/>
      <c r="B132" s="699"/>
      <c r="C132" s="569"/>
      <c r="D132" s="569"/>
      <c r="E132" s="569"/>
      <c r="F132" s="569"/>
      <c r="G132" s="590"/>
      <c r="H132" s="590"/>
      <c r="I132" s="590"/>
      <c r="J132" s="590"/>
      <c r="K132" s="590"/>
      <c r="L132" s="590"/>
      <c r="M132" s="591"/>
      <c r="N132" s="1151"/>
      <c r="O132" s="1151"/>
      <c r="P132" s="557"/>
      <c r="Q132" s="558"/>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6"/>
  <sheetViews>
    <sheetView topLeftCell="L1" workbookViewId="0">
      <selection activeCell="P15" sqref="P15"/>
    </sheetView>
  </sheetViews>
  <sheetFormatPr defaultRowHeight="12.75"/>
  <cols>
    <col min="1" max="1" width="43.125" style="2998" customWidth="1"/>
    <col min="2" max="2" width="6.25" style="2998" hidden="1" customWidth="1"/>
    <col min="3" max="3" width="11.75" style="2998" hidden="1" customWidth="1"/>
    <col min="4" max="4" width="4.625" style="2998" hidden="1" customWidth="1"/>
    <col min="5" max="5" width="52.5" style="2998" hidden="1" customWidth="1"/>
    <col min="6" max="6" width="7.875" style="2998" hidden="1" customWidth="1"/>
    <col min="7" max="7" width="10" style="2998" customWidth="1"/>
    <col min="8" max="8" width="12.375" style="2998" customWidth="1"/>
    <col min="9" max="10" width="15.25" style="2998" customWidth="1"/>
    <col min="11" max="11" width="9.375" style="2998" customWidth="1"/>
    <col min="12" max="12" width="13.5" style="2998" customWidth="1"/>
    <col min="13" max="13" width="24" style="2998" customWidth="1"/>
    <col min="14" max="14" width="38.875" style="2998" customWidth="1"/>
    <col min="15" max="15" width="10.625" style="2998" customWidth="1"/>
    <col min="16" max="16" width="16" style="2998" customWidth="1"/>
    <col min="17" max="17" width="14.375" style="2998" customWidth="1"/>
    <col min="18" max="18" width="6.25" style="2998" customWidth="1"/>
    <col min="19" max="20" width="7.875" style="2998" customWidth="1"/>
    <col min="21" max="256" width="9" style="2998"/>
    <col min="257" max="257" width="52.5" style="2998" customWidth="1"/>
    <col min="258" max="258" width="6.25" style="2998" customWidth="1"/>
    <col min="259" max="259" width="11.75" style="2998" customWidth="1"/>
    <col min="260" max="260" width="4.625" style="2998" customWidth="1"/>
    <col min="261" max="261" width="52.5" style="2998" customWidth="1"/>
    <col min="262" max="262" width="7.875" style="2998" customWidth="1"/>
    <col min="263" max="263" width="10" style="2998" customWidth="1"/>
    <col min="264" max="264" width="21.5" style="2998" customWidth="1"/>
    <col min="265" max="266" width="13.875" style="2998" customWidth="1"/>
    <col min="267" max="267" width="6.375" style="2998" customWidth="1"/>
    <col min="268" max="268" width="9" style="2998" customWidth="1"/>
    <col min="269" max="269" width="33.625" style="2998" customWidth="1"/>
    <col min="270" max="270" width="50.25" style="2998" customWidth="1"/>
    <col min="271" max="271" width="10.625" style="2998" customWidth="1"/>
    <col min="272" max="272" width="16" style="2998" customWidth="1"/>
    <col min="273" max="273" width="14.375" style="2998" customWidth="1"/>
    <col min="274" max="274" width="6.25" style="2998" customWidth="1"/>
    <col min="275" max="276" width="7.875" style="2998" customWidth="1"/>
    <col min="277" max="512" width="9" style="2998"/>
    <col min="513" max="513" width="52.5" style="2998" customWidth="1"/>
    <col min="514" max="514" width="6.25" style="2998" customWidth="1"/>
    <col min="515" max="515" width="11.75" style="2998" customWidth="1"/>
    <col min="516" max="516" width="4.625" style="2998" customWidth="1"/>
    <col min="517" max="517" width="52.5" style="2998" customWidth="1"/>
    <col min="518" max="518" width="7.875" style="2998" customWidth="1"/>
    <col min="519" max="519" width="10" style="2998" customWidth="1"/>
    <col min="520" max="520" width="21.5" style="2998" customWidth="1"/>
    <col min="521" max="522" width="13.875" style="2998" customWidth="1"/>
    <col min="523" max="523" width="6.375" style="2998" customWidth="1"/>
    <col min="524" max="524" width="9" style="2998" customWidth="1"/>
    <col min="525" max="525" width="33.625" style="2998" customWidth="1"/>
    <col min="526" max="526" width="50.25" style="2998" customWidth="1"/>
    <col min="527" max="527" width="10.625" style="2998" customWidth="1"/>
    <col min="528" max="528" width="16" style="2998" customWidth="1"/>
    <col min="529" max="529" width="14.375" style="2998" customWidth="1"/>
    <col min="530" max="530" width="6.25" style="2998" customWidth="1"/>
    <col min="531" max="532" width="7.875" style="2998" customWidth="1"/>
    <col min="533" max="768" width="9" style="2998"/>
    <col min="769" max="769" width="52.5" style="2998" customWidth="1"/>
    <col min="770" max="770" width="6.25" style="2998" customWidth="1"/>
    <col min="771" max="771" width="11.75" style="2998" customWidth="1"/>
    <col min="772" max="772" width="4.625" style="2998" customWidth="1"/>
    <col min="773" max="773" width="52.5" style="2998" customWidth="1"/>
    <col min="774" max="774" width="7.875" style="2998" customWidth="1"/>
    <col min="775" max="775" width="10" style="2998" customWidth="1"/>
    <col min="776" max="776" width="21.5" style="2998" customWidth="1"/>
    <col min="777" max="778" width="13.875" style="2998" customWidth="1"/>
    <col min="779" max="779" width="6.375" style="2998" customWidth="1"/>
    <col min="780" max="780" width="9" style="2998" customWidth="1"/>
    <col min="781" max="781" width="33.625" style="2998" customWidth="1"/>
    <col min="782" max="782" width="50.25" style="2998" customWidth="1"/>
    <col min="783" max="783" width="10.625" style="2998" customWidth="1"/>
    <col min="784" max="784" width="16" style="2998" customWidth="1"/>
    <col min="785" max="785" width="14.375" style="2998" customWidth="1"/>
    <col min="786" max="786" width="6.25" style="2998" customWidth="1"/>
    <col min="787" max="788" width="7.875" style="2998" customWidth="1"/>
    <col min="789" max="1024" width="9" style="2998"/>
    <col min="1025" max="1025" width="52.5" style="2998" customWidth="1"/>
    <col min="1026" max="1026" width="6.25" style="2998" customWidth="1"/>
    <col min="1027" max="1027" width="11.75" style="2998" customWidth="1"/>
    <col min="1028" max="1028" width="4.625" style="2998" customWidth="1"/>
    <col min="1029" max="1029" width="52.5" style="2998" customWidth="1"/>
    <col min="1030" max="1030" width="7.875" style="2998" customWidth="1"/>
    <col min="1031" max="1031" width="10" style="2998" customWidth="1"/>
    <col min="1032" max="1032" width="21.5" style="2998" customWidth="1"/>
    <col min="1033" max="1034" width="13.875" style="2998" customWidth="1"/>
    <col min="1035" max="1035" width="6.375" style="2998" customWidth="1"/>
    <col min="1036" max="1036" width="9" style="2998" customWidth="1"/>
    <col min="1037" max="1037" width="33.625" style="2998" customWidth="1"/>
    <col min="1038" max="1038" width="50.25" style="2998" customWidth="1"/>
    <col min="1039" max="1039" width="10.625" style="2998" customWidth="1"/>
    <col min="1040" max="1040" width="16" style="2998" customWidth="1"/>
    <col min="1041" max="1041" width="14.375" style="2998" customWidth="1"/>
    <col min="1042" max="1042" width="6.25" style="2998" customWidth="1"/>
    <col min="1043" max="1044" width="7.875" style="2998" customWidth="1"/>
    <col min="1045" max="1280" width="9" style="2998"/>
    <col min="1281" max="1281" width="52.5" style="2998" customWidth="1"/>
    <col min="1282" max="1282" width="6.25" style="2998" customWidth="1"/>
    <col min="1283" max="1283" width="11.75" style="2998" customWidth="1"/>
    <col min="1284" max="1284" width="4.625" style="2998" customWidth="1"/>
    <col min="1285" max="1285" width="52.5" style="2998" customWidth="1"/>
    <col min="1286" max="1286" width="7.875" style="2998" customWidth="1"/>
    <col min="1287" max="1287" width="10" style="2998" customWidth="1"/>
    <col min="1288" max="1288" width="21.5" style="2998" customWidth="1"/>
    <col min="1289" max="1290" width="13.875" style="2998" customWidth="1"/>
    <col min="1291" max="1291" width="6.375" style="2998" customWidth="1"/>
    <col min="1292" max="1292" width="9" style="2998" customWidth="1"/>
    <col min="1293" max="1293" width="33.625" style="2998" customWidth="1"/>
    <col min="1294" max="1294" width="50.25" style="2998" customWidth="1"/>
    <col min="1295" max="1295" width="10.625" style="2998" customWidth="1"/>
    <col min="1296" max="1296" width="16" style="2998" customWidth="1"/>
    <col min="1297" max="1297" width="14.375" style="2998" customWidth="1"/>
    <col min="1298" max="1298" width="6.25" style="2998" customWidth="1"/>
    <col min="1299" max="1300" width="7.875" style="2998" customWidth="1"/>
    <col min="1301" max="1536" width="9" style="2998"/>
    <col min="1537" max="1537" width="52.5" style="2998" customWidth="1"/>
    <col min="1538" max="1538" width="6.25" style="2998" customWidth="1"/>
    <col min="1539" max="1539" width="11.75" style="2998" customWidth="1"/>
    <col min="1540" max="1540" width="4.625" style="2998" customWidth="1"/>
    <col min="1541" max="1541" width="52.5" style="2998" customWidth="1"/>
    <col min="1542" max="1542" width="7.875" style="2998" customWidth="1"/>
    <col min="1543" max="1543" width="10" style="2998" customWidth="1"/>
    <col min="1544" max="1544" width="21.5" style="2998" customWidth="1"/>
    <col min="1545" max="1546" width="13.875" style="2998" customWidth="1"/>
    <col min="1547" max="1547" width="6.375" style="2998" customWidth="1"/>
    <col min="1548" max="1548" width="9" style="2998" customWidth="1"/>
    <col min="1549" max="1549" width="33.625" style="2998" customWidth="1"/>
    <col min="1550" max="1550" width="50.25" style="2998" customWidth="1"/>
    <col min="1551" max="1551" width="10.625" style="2998" customWidth="1"/>
    <col min="1552" max="1552" width="16" style="2998" customWidth="1"/>
    <col min="1553" max="1553" width="14.375" style="2998" customWidth="1"/>
    <col min="1554" max="1554" width="6.25" style="2998" customWidth="1"/>
    <col min="1555" max="1556" width="7.875" style="2998" customWidth="1"/>
    <col min="1557" max="1792" width="9" style="2998"/>
    <col min="1793" max="1793" width="52.5" style="2998" customWidth="1"/>
    <col min="1794" max="1794" width="6.25" style="2998" customWidth="1"/>
    <col min="1795" max="1795" width="11.75" style="2998" customWidth="1"/>
    <col min="1796" max="1796" width="4.625" style="2998" customWidth="1"/>
    <col min="1797" max="1797" width="52.5" style="2998" customWidth="1"/>
    <col min="1798" max="1798" width="7.875" style="2998" customWidth="1"/>
    <col min="1799" max="1799" width="10" style="2998" customWidth="1"/>
    <col min="1800" max="1800" width="21.5" style="2998" customWidth="1"/>
    <col min="1801" max="1802" width="13.875" style="2998" customWidth="1"/>
    <col min="1803" max="1803" width="6.375" style="2998" customWidth="1"/>
    <col min="1804" max="1804" width="9" style="2998" customWidth="1"/>
    <col min="1805" max="1805" width="33.625" style="2998" customWidth="1"/>
    <col min="1806" max="1806" width="50.25" style="2998" customWidth="1"/>
    <col min="1807" max="1807" width="10.625" style="2998" customWidth="1"/>
    <col min="1808" max="1808" width="16" style="2998" customWidth="1"/>
    <col min="1809" max="1809" width="14.375" style="2998" customWidth="1"/>
    <col min="1810" max="1810" width="6.25" style="2998" customWidth="1"/>
    <col min="1811" max="1812" width="7.875" style="2998" customWidth="1"/>
    <col min="1813" max="2048" width="9" style="2998"/>
    <col min="2049" max="2049" width="52.5" style="2998" customWidth="1"/>
    <col min="2050" max="2050" width="6.25" style="2998" customWidth="1"/>
    <col min="2051" max="2051" width="11.75" style="2998" customWidth="1"/>
    <col min="2052" max="2052" width="4.625" style="2998" customWidth="1"/>
    <col min="2053" max="2053" width="52.5" style="2998" customWidth="1"/>
    <col min="2054" max="2054" width="7.875" style="2998" customWidth="1"/>
    <col min="2055" max="2055" width="10" style="2998" customWidth="1"/>
    <col min="2056" max="2056" width="21.5" style="2998" customWidth="1"/>
    <col min="2057" max="2058" width="13.875" style="2998" customWidth="1"/>
    <col min="2059" max="2059" width="6.375" style="2998" customWidth="1"/>
    <col min="2060" max="2060" width="9" style="2998" customWidth="1"/>
    <col min="2061" max="2061" width="33.625" style="2998" customWidth="1"/>
    <col min="2062" max="2062" width="50.25" style="2998" customWidth="1"/>
    <col min="2063" max="2063" width="10.625" style="2998" customWidth="1"/>
    <col min="2064" max="2064" width="16" style="2998" customWidth="1"/>
    <col min="2065" max="2065" width="14.375" style="2998" customWidth="1"/>
    <col min="2066" max="2066" width="6.25" style="2998" customWidth="1"/>
    <col min="2067" max="2068" width="7.875" style="2998" customWidth="1"/>
    <col min="2069" max="2304" width="9" style="2998"/>
    <col min="2305" max="2305" width="52.5" style="2998" customWidth="1"/>
    <col min="2306" max="2306" width="6.25" style="2998" customWidth="1"/>
    <col min="2307" max="2307" width="11.75" style="2998" customWidth="1"/>
    <col min="2308" max="2308" width="4.625" style="2998" customWidth="1"/>
    <col min="2309" max="2309" width="52.5" style="2998" customWidth="1"/>
    <col min="2310" max="2310" width="7.875" style="2998" customWidth="1"/>
    <col min="2311" max="2311" width="10" style="2998" customWidth="1"/>
    <col min="2312" max="2312" width="21.5" style="2998" customWidth="1"/>
    <col min="2313" max="2314" width="13.875" style="2998" customWidth="1"/>
    <col min="2315" max="2315" width="6.375" style="2998" customWidth="1"/>
    <col min="2316" max="2316" width="9" style="2998" customWidth="1"/>
    <col min="2317" max="2317" width="33.625" style="2998" customWidth="1"/>
    <col min="2318" max="2318" width="50.25" style="2998" customWidth="1"/>
    <col min="2319" max="2319" width="10.625" style="2998" customWidth="1"/>
    <col min="2320" max="2320" width="16" style="2998" customWidth="1"/>
    <col min="2321" max="2321" width="14.375" style="2998" customWidth="1"/>
    <col min="2322" max="2322" width="6.25" style="2998" customWidth="1"/>
    <col min="2323" max="2324" width="7.875" style="2998" customWidth="1"/>
    <col min="2325" max="2560" width="9" style="2998"/>
    <col min="2561" max="2561" width="52.5" style="2998" customWidth="1"/>
    <col min="2562" max="2562" width="6.25" style="2998" customWidth="1"/>
    <col min="2563" max="2563" width="11.75" style="2998" customWidth="1"/>
    <col min="2564" max="2564" width="4.625" style="2998" customWidth="1"/>
    <col min="2565" max="2565" width="52.5" style="2998" customWidth="1"/>
    <col min="2566" max="2566" width="7.875" style="2998" customWidth="1"/>
    <col min="2567" max="2567" width="10" style="2998" customWidth="1"/>
    <col min="2568" max="2568" width="21.5" style="2998" customWidth="1"/>
    <col min="2569" max="2570" width="13.875" style="2998" customWidth="1"/>
    <col min="2571" max="2571" width="6.375" style="2998" customWidth="1"/>
    <col min="2572" max="2572" width="9" style="2998" customWidth="1"/>
    <col min="2573" max="2573" width="33.625" style="2998" customWidth="1"/>
    <col min="2574" max="2574" width="50.25" style="2998" customWidth="1"/>
    <col min="2575" max="2575" width="10.625" style="2998" customWidth="1"/>
    <col min="2576" max="2576" width="16" style="2998" customWidth="1"/>
    <col min="2577" max="2577" width="14.375" style="2998" customWidth="1"/>
    <col min="2578" max="2578" width="6.25" style="2998" customWidth="1"/>
    <col min="2579" max="2580" width="7.875" style="2998" customWidth="1"/>
    <col min="2581" max="2816" width="9" style="2998"/>
    <col min="2817" max="2817" width="52.5" style="2998" customWidth="1"/>
    <col min="2818" max="2818" width="6.25" style="2998" customWidth="1"/>
    <col min="2819" max="2819" width="11.75" style="2998" customWidth="1"/>
    <col min="2820" max="2820" width="4.625" style="2998" customWidth="1"/>
    <col min="2821" max="2821" width="52.5" style="2998" customWidth="1"/>
    <col min="2822" max="2822" width="7.875" style="2998" customWidth="1"/>
    <col min="2823" max="2823" width="10" style="2998" customWidth="1"/>
    <col min="2824" max="2824" width="21.5" style="2998" customWidth="1"/>
    <col min="2825" max="2826" width="13.875" style="2998" customWidth="1"/>
    <col min="2827" max="2827" width="6.375" style="2998" customWidth="1"/>
    <col min="2828" max="2828" width="9" style="2998" customWidth="1"/>
    <col min="2829" max="2829" width="33.625" style="2998" customWidth="1"/>
    <col min="2830" max="2830" width="50.25" style="2998" customWidth="1"/>
    <col min="2831" max="2831" width="10.625" style="2998" customWidth="1"/>
    <col min="2832" max="2832" width="16" style="2998" customWidth="1"/>
    <col min="2833" max="2833" width="14.375" style="2998" customWidth="1"/>
    <col min="2834" max="2834" width="6.25" style="2998" customWidth="1"/>
    <col min="2835" max="2836" width="7.875" style="2998" customWidth="1"/>
    <col min="2837" max="3072" width="9" style="2998"/>
    <col min="3073" max="3073" width="52.5" style="2998" customWidth="1"/>
    <col min="3074" max="3074" width="6.25" style="2998" customWidth="1"/>
    <col min="3075" max="3075" width="11.75" style="2998" customWidth="1"/>
    <col min="3076" max="3076" width="4.625" style="2998" customWidth="1"/>
    <col min="3077" max="3077" width="52.5" style="2998" customWidth="1"/>
    <col min="3078" max="3078" width="7.875" style="2998" customWidth="1"/>
    <col min="3079" max="3079" width="10" style="2998" customWidth="1"/>
    <col min="3080" max="3080" width="21.5" style="2998" customWidth="1"/>
    <col min="3081" max="3082" width="13.875" style="2998" customWidth="1"/>
    <col min="3083" max="3083" width="6.375" style="2998" customWidth="1"/>
    <col min="3084" max="3084" width="9" style="2998" customWidth="1"/>
    <col min="3085" max="3085" width="33.625" style="2998" customWidth="1"/>
    <col min="3086" max="3086" width="50.25" style="2998" customWidth="1"/>
    <col min="3087" max="3087" width="10.625" style="2998" customWidth="1"/>
    <col min="3088" max="3088" width="16" style="2998" customWidth="1"/>
    <col min="3089" max="3089" width="14.375" style="2998" customWidth="1"/>
    <col min="3090" max="3090" width="6.25" style="2998" customWidth="1"/>
    <col min="3091" max="3092" width="7.875" style="2998" customWidth="1"/>
    <col min="3093" max="3328" width="9" style="2998"/>
    <col min="3329" max="3329" width="52.5" style="2998" customWidth="1"/>
    <col min="3330" max="3330" width="6.25" style="2998" customWidth="1"/>
    <col min="3331" max="3331" width="11.75" style="2998" customWidth="1"/>
    <col min="3332" max="3332" width="4.625" style="2998" customWidth="1"/>
    <col min="3333" max="3333" width="52.5" style="2998" customWidth="1"/>
    <col min="3334" max="3334" width="7.875" style="2998" customWidth="1"/>
    <col min="3335" max="3335" width="10" style="2998" customWidth="1"/>
    <col min="3336" max="3336" width="21.5" style="2998" customWidth="1"/>
    <col min="3337" max="3338" width="13.875" style="2998" customWidth="1"/>
    <col min="3339" max="3339" width="6.375" style="2998" customWidth="1"/>
    <col min="3340" max="3340" width="9" style="2998" customWidth="1"/>
    <col min="3341" max="3341" width="33.625" style="2998" customWidth="1"/>
    <col min="3342" max="3342" width="50.25" style="2998" customWidth="1"/>
    <col min="3343" max="3343" width="10.625" style="2998" customWidth="1"/>
    <col min="3344" max="3344" width="16" style="2998" customWidth="1"/>
    <col min="3345" max="3345" width="14.375" style="2998" customWidth="1"/>
    <col min="3346" max="3346" width="6.25" style="2998" customWidth="1"/>
    <col min="3347" max="3348" width="7.875" style="2998" customWidth="1"/>
    <col min="3349" max="3584" width="9" style="2998"/>
    <col min="3585" max="3585" width="52.5" style="2998" customWidth="1"/>
    <col min="3586" max="3586" width="6.25" style="2998" customWidth="1"/>
    <col min="3587" max="3587" width="11.75" style="2998" customWidth="1"/>
    <col min="3588" max="3588" width="4.625" style="2998" customWidth="1"/>
    <col min="3589" max="3589" width="52.5" style="2998" customWidth="1"/>
    <col min="3590" max="3590" width="7.875" style="2998" customWidth="1"/>
    <col min="3591" max="3591" width="10" style="2998" customWidth="1"/>
    <col min="3592" max="3592" width="21.5" style="2998" customWidth="1"/>
    <col min="3593" max="3594" width="13.875" style="2998" customWidth="1"/>
    <col min="3595" max="3595" width="6.375" style="2998" customWidth="1"/>
    <col min="3596" max="3596" width="9" style="2998" customWidth="1"/>
    <col min="3597" max="3597" width="33.625" style="2998" customWidth="1"/>
    <col min="3598" max="3598" width="50.25" style="2998" customWidth="1"/>
    <col min="3599" max="3599" width="10.625" style="2998" customWidth="1"/>
    <col min="3600" max="3600" width="16" style="2998" customWidth="1"/>
    <col min="3601" max="3601" width="14.375" style="2998" customWidth="1"/>
    <col min="3602" max="3602" width="6.25" style="2998" customWidth="1"/>
    <col min="3603" max="3604" width="7.875" style="2998" customWidth="1"/>
    <col min="3605" max="3840" width="9" style="2998"/>
    <col min="3841" max="3841" width="52.5" style="2998" customWidth="1"/>
    <col min="3842" max="3842" width="6.25" style="2998" customWidth="1"/>
    <col min="3843" max="3843" width="11.75" style="2998" customWidth="1"/>
    <col min="3844" max="3844" width="4.625" style="2998" customWidth="1"/>
    <col min="3845" max="3845" width="52.5" style="2998" customWidth="1"/>
    <col min="3846" max="3846" width="7.875" style="2998" customWidth="1"/>
    <col min="3847" max="3847" width="10" style="2998" customWidth="1"/>
    <col min="3848" max="3848" width="21.5" style="2998" customWidth="1"/>
    <col min="3849" max="3850" width="13.875" style="2998" customWidth="1"/>
    <col min="3851" max="3851" width="6.375" style="2998" customWidth="1"/>
    <col min="3852" max="3852" width="9" style="2998" customWidth="1"/>
    <col min="3853" max="3853" width="33.625" style="2998" customWidth="1"/>
    <col min="3854" max="3854" width="50.25" style="2998" customWidth="1"/>
    <col min="3855" max="3855" width="10.625" style="2998" customWidth="1"/>
    <col min="3856" max="3856" width="16" style="2998" customWidth="1"/>
    <col min="3857" max="3857" width="14.375" style="2998" customWidth="1"/>
    <col min="3858" max="3858" width="6.25" style="2998" customWidth="1"/>
    <col min="3859" max="3860" width="7.875" style="2998" customWidth="1"/>
    <col min="3861" max="4096" width="9" style="2998"/>
    <col min="4097" max="4097" width="52.5" style="2998" customWidth="1"/>
    <col min="4098" max="4098" width="6.25" style="2998" customWidth="1"/>
    <col min="4099" max="4099" width="11.75" style="2998" customWidth="1"/>
    <col min="4100" max="4100" width="4.625" style="2998" customWidth="1"/>
    <col min="4101" max="4101" width="52.5" style="2998" customWidth="1"/>
    <col min="4102" max="4102" width="7.875" style="2998" customWidth="1"/>
    <col min="4103" max="4103" width="10" style="2998" customWidth="1"/>
    <col min="4104" max="4104" width="21.5" style="2998" customWidth="1"/>
    <col min="4105" max="4106" width="13.875" style="2998" customWidth="1"/>
    <col min="4107" max="4107" width="6.375" style="2998" customWidth="1"/>
    <col min="4108" max="4108" width="9" style="2998" customWidth="1"/>
    <col min="4109" max="4109" width="33.625" style="2998" customWidth="1"/>
    <col min="4110" max="4110" width="50.25" style="2998" customWidth="1"/>
    <col min="4111" max="4111" width="10.625" style="2998" customWidth="1"/>
    <col min="4112" max="4112" width="16" style="2998" customWidth="1"/>
    <col min="4113" max="4113" width="14.375" style="2998" customWidth="1"/>
    <col min="4114" max="4114" width="6.25" style="2998" customWidth="1"/>
    <col min="4115" max="4116" width="7.875" style="2998" customWidth="1"/>
    <col min="4117" max="4352" width="9" style="2998"/>
    <col min="4353" max="4353" width="52.5" style="2998" customWidth="1"/>
    <col min="4354" max="4354" width="6.25" style="2998" customWidth="1"/>
    <col min="4355" max="4355" width="11.75" style="2998" customWidth="1"/>
    <col min="4356" max="4356" width="4.625" style="2998" customWidth="1"/>
    <col min="4357" max="4357" width="52.5" style="2998" customWidth="1"/>
    <col min="4358" max="4358" width="7.875" style="2998" customWidth="1"/>
    <col min="4359" max="4359" width="10" style="2998" customWidth="1"/>
    <col min="4360" max="4360" width="21.5" style="2998" customWidth="1"/>
    <col min="4361" max="4362" width="13.875" style="2998" customWidth="1"/>
    <col min="4363" max="4363" width="6.375" style="2998" customWidth="1"/>
    <col min="4364" max="4364" width="9" style="2998" customWidth="1"/>
    <col min="4365" max="4365" width="33.625" style="2998" customWidth="1"/>
    <col min="4366" max="4366" width="50.25" style="2998" customWidth="1"/>
    <col min="4367" max="4367" width="10.625" style="2998" customWidth="1"/>
    <col min="4368" max="4368" width="16" style="2998" customWidth="1"/>
    <col min="4369" max="4369" width="14.375" style="2998" customWidth="1"/>
    <col min="4370" max="4370" width="6.25" style="2998" customWidth="1"/>
    <col min="4371" max="4372" width="7.875" style="2998" customWidth="1"/>
    <col min="4373" max="4608" width="9" style="2998"/>
    <col min="4609" max="4609" width="52.5" style="2998" customWidth="1"/>
    <col min="4610" max="4610" width="6.25" style="2998" customWidth="1"/>
    <col min="4611" max="4611" width="11.75" style="2998" customWidth="1"/>
    <col min="4612" max="4612" width="4.625" style="2998" customWidth="1"/>
    <col min="4613" max="4613" width="52.5" style="2998" customWidth="1"/>
    <col min="4614" max="4614" width="7.875" style="2998" customWidth="1"/>
    <col min="4615" max="4615" width="10" style="2998" customWidth="1"/>
    <col min="4616" max="4616" width="21.5" style="2998" customWidth="1"/>
    <col min="4617" max="4618" width="13.875" style="2998" customWidth="1"/>
    <col min="4619" max="4619" width="6.375" style="2998" customWidth="1"/>
    <col min="4620" max="4620" width="9" style="2998" customWidth="1"/>
    <col min="4621" max="4621" width="33.625" style="2998" customWidth="1"/>
    <col min="4622" max="4622" width="50.25" style="2998" customWidth="1"/>
    <col min="4623" max="4623" width="10.625" style="2998" customWidth="1"/>
    <col min="4624" max="4624" width="16" style="2998" customWidth="1"/>
    <col min="4625" max="4625" width="14.375" style="2998" customWidth="1"/>
    <col min="4626" max="4626" width="6.25" style="2998" customWidth="1"/>
    <col min="4627" max="4628" width="7.875" style="2998" customWidth="1"/>
    <col min="4629" max="4864" width="9" style="2998"/>
    <col min="4865" max="4865" width="52.5" style="2998" customWidth="1"/>
    <col min="4866" max="4866" width="6.25" style="2998" customWidth="1"/>
    <col min="4867" max="4867" width="11.75" style="2998" customWidth="1"/>
    <col min="4868" max="4868" width="4.625" style="2998" customWidth="1"/>
    <col min="4869" max="4869" width="52.5" style="2998" customWidth="1"/>
    <col min="4870" max="4870" width="7.875" style="2998" customWidth="1"/>
    <col min="4871" max="4871" width="10" style="2998" customWidth="1"/>
    <col min="4872" max="4872" width="21.5" style="2998" customWidth="1"/>
    <col min="4873" max="4874" width="13.875" style="2998" customWidth="1"/>
    <col min="4875" max="4875" width="6.375" style="2998" customWidth="1"/>
    <col min="4876" max="4876" width="9" style="2998" customWidth="1"/>
    <col min="4877" max="4877" width="33.625" style="2998" customWidth="1"/>
    <col min="4878" max="4878" width="50.25" style="2998" customWidth="1"/>
    <col min="4879" max="4879" width="10.625" style="2998" customWidth="1"/>
    <col min="4880" max="4880" width="16" style="2998" customWidth="1"/>
    <col min="4881" max="4881" width="14.375" style="2998" customWidth="1"/>
    <col min="4882" max="4882" width="6.25" style="2998" customWidth="1"/>
    <col min="4883" max="4884" width="7.875" style="2998" customWidth="1"/>
    <col min="4885" max="5120" width="9" style="2998"/>
    <col min="5121" max="5121" width="52.5" style="2998" customWidth="1"/>
    <col min="5122" max="5122" width="6.25" style="2998" customWidth="1"/>
    <col min="5123" max="5123" width="11.75" style="2998" customWidth="1"/>
    <col min="5124" max="5124" width="4.625" style="2998" customWidth="1"/>
    <col min="5125" max="5125" width="52.5" style="2998" customWidth="1"/>
    <col min="5126" max="5126" width="7.875" style="2998" customWidth="1"/>
    <col min="5127" max="5127" width="10" style="2998" customWidth="1"/>
    <col min="5128" max="5128" width="21.5" style="2998" customWidth="1"/>
    <col min="5129" max="5130" width="13.875" style="2998" customWidth="1"/>
    <col min="5131" max="5131" width="6.375" style="2998" customWidth="1"/>
    <col min="5132" max="5132" width="9" style="2998" customWidth="1"/>
    <col min="5133" max="5133" width="33.625" style="2998" customWidth="1"/>
    <col min="5134" max="5134" width="50.25" style="2998" customWidth="1"/>
    <col min="5135" max="5135" width="10.625" style="2998" customWidth="1"/>
    <col min="5136" max="5136" width="16" style="2998" customWidth="1"/>
    <col min="5137" max="5137" width="14.375" style="2998" customWidth="1"/>
    <col min="5138" max="5138" width="6.25" style="2998" customWidth="1"/>
    <col min="5139" max="5140" width="7.875" style="2998" customWidth="1"/>
    <col min="5141" max="5376" width="9" style="2998"/>
    <col min="5377" max="5377" width="52.5" style="2998" customWidth="1"/>
    <col min="5378" max="5378" width="6.25" style="2998" customWidth="1"/>
    <col min="5379" max="5379" width="11.75" style="2998" customWidth="1"/>
    <col min="5380" max="5380" width="4.625" style="2998" customWidth="1"/>
    <col min="5381" max="5381" width="52.5" style="2998" customWidth="1"/>
    <col min="5382" max="5382" width="7.875" style="2998" customWidth="1"/>
    <col min="5383" max="5383" width="10" style="2998" customWidth="1"/>
    <col min="5384" max="5384" width="21.5" style="2998" customWidth="1"/>
    <col min="5385" max="5386" width="13.875" style="2998" customWidth="1"/>
    <col min="5387" max="5387" width="6.375" style="2998" customWidth="1"/>
    <col min="5388" max="5388" width="9" style="2998" customWidth="1"/>
    <col min="5389" max="5389" width="33.625" style="2998" customWidth="1"/>
    <col min="5390" max="5390" width="50.25" style="2998" customWidth="1"/>
    <col min="5391" max="5391" width="10.625" style="2998" customWidth="1"/>
    <col min="5392" max="5392" width="16" style="2998" customWidth="1"/>
    <col min="5393" max="5393" width="14.375" style="2998" customWidth="1"/>
    <col min="5394" max="5394" width="6.25" style="2998" customWidth="1"/>
    <col min="5395" max="5396" width="7.875" style="2998" customWidth="1"/>
    <col min="5397" max="5632" width="9" style="2998"/>
    <col min="5633" max="5633" width="52.5" style="2998" customWidth="1"/>
    <col min="5634" max="5634" width="6.25" style="2998" customWidth="1"/>
    <col min="5635" max="5635" width="11.75" style="2998" customWidth="1"/>
    <col min="5636" max="5636" width="4.625" style="2998" customWidth="1"/>
    <col min="5637" max="5637" width="52.5" style="2998" customWidth="1"/>
    <col min="5638" max="5638" width="7.875" style="2998" customWidth="1"/>
    <col min="5639" max="5639" width="10" style="2998" customWidth="1"/>
    <col min="5640" max="5640" width="21.5" style="2998" customWidth="1"/>
    <col min="5641" max="5642" width="13.875" style="2998" customWidth="1"/>
    <col min="5643" max="5643" width="6.375" style="2998" customWidth="1"/>
    <col min="5644" max="5644" width="9" style="2998" customWidth="1"/>
    <col min="5645" max="5645" width="33.625" style="2998" customWidth="1"/>
    <col min="5646" max="5646" width="50.25" style="2998" customWidth="1"/>
    <col min="5647" max="5647" width="10.625" style="2998" customWidth="1"/>
    <col min="5648" max="5648" width="16" style="2998" customWidth="1"/>
    <col min="5649" max="5649" width="14.375" style="2998" customWidth="1"/>
    <col min="5650" max="5650" width="6.25" style="2998" customWidth="1"/>
    <col min="5651" max="5652" width="7.875" style="2998" customWidth="1"/>
    <col min="5653" max="5888" width="9" style="2998"/>
    <col min="5889" max="5889" width="52.5" style="2998" customWidth="1"/>
    <col min="5890" max="5890" width="6.25" style="2998" customWidth="1"/>
    <col min="5891" max="5891" width="11.75" style="2998" customWidth="1"/>
    <col min="5892" max="5892" width="4.625" style="2998" customWidth="1"/>
    <col min="5893" max="5893" width="52.5" style="2998" customWidth="1"/>
    <col min="5894" max="5894" width="7.875" style="2998" customWidth="1"/>
    <col min="5895" max="5895" width="10" style="2998" customWidth="1"/>
    <col min="5896" max="5896" width="21.5" style="2998" customWidth="1"/>
    <col min="5897" max="5898" width="13.875" style="2998" customWidth="1"/>
    <col min="5899" max="5899" width="6.375" style="2998" customWidth="1"/>
    <col min="5900" max="5900" width="9" style="2998" customWidth="1"/>
    <col min="5901" max="5901" width="33.625" style="2998" customWidth="1"/>
    <col min="5902" max="5902" width="50.25" style="2998" customWidth="1"/>
    <col min="5903" max="5903" width="10.625" style="2998" customWidth="1"/>
    <col min="5904" max="5904" width="16" style="2998" customWidth="1"/>
    <col min="5905" max="5905" width="14.375" style="2998" customWidth="1"/>
    <col min="5906" max="5906" width="6.25" style="2998" customWidth="1"/>
    <col min="5907" max="5908" width="7.875" style="2998" customWidth="1"/>
    <col min="5909" max="6144" width="9" style="2998"/>
    <col min="6145" max="6145" width="52.5" style="2998" customWidth="1"/>
    <col min="6146" max="6146" width="6.25" style="2998" customWidth="1"/>
    <col min="6147" max="6147" width="11.75" style="2998" customWidth="1"/>
    <col min="6148" max="6148" width="4.625" style="2998" customWidth="1"/>
    <col min="6149" max="6149" width="52.5" style="2998" customWidth="1"/>
    <col min="6150" max="6150" width="7.875" style="2998" customWidth="1"/>
    <col min="6151" max="6151" width="10" style="2998" customWidth="1"/>
    <col min="6152" max="6152" width="21.5" style="2998" customWidth="1"/>
    <col min="6153" max="6154" width="13.875" style="2998" customWidth="1"/>
    <col min="6155" max="6155" width="6.375" style="2998" customWidth="1"/>
    <col min="6156" max="6156" width="9" style="2998" customWidth="1"/>
    <col min="6157" max="6157" width="33.625" style="2998" customWidth="1"/>
    <col min="6158" max="6158" width="50.25" style="2998" customWidth="1"/>
    <col min="6159" max="6159" width="10.625" style="2998" customWidth="1"/>
    <col min="6160" max="6160" width="16" style="2998" customWidth="1"/>
    <col min="6161" max="6161" width="14.375" style="2998" customWidth="1"/>
    <col min="6162" max="6162" width="6.25" style="2998" customWidth="1"/>
    <col min="6163" max="6164" width="7.875" style="2998" customWidth="1"/>
    <col min="6165" max="6400" width="9" style="2998"/>
    <col min="6401" max="6401" width="52.5" style="2998" customWidth="1"/>
    <col min="6402" max="6402" width="6.25" style="2998" customWidth="1"/>
    <col min="6403" max="6403" width="11.75" style="2998" customWidth="1"/>
    <col min="6404" max="6404" width="4.625" style="2998" customWidth="1"/>
    <col min="6405" max="6405" width="52.5" style="2998" customWidth="1"/>
    <col min="6406" max="6406" width="7.875" style="2998" customWidth="1"/>
    <col min="6407" max="6407" width="10" style="2998" customWidth="1"/>
    <col min="6408" max="6408" width="21.5" style="2998" customWidth="1"/>
    <col min="6409" max="6410" width="13.875" style="2998" customWidth="1"/>
    <col min="6411" max="6411" width="6.375" style="2998" customWidth="1"/>
    <col min="6412" max="6412" width="9" style="2998" customWidth="1"/>
    <col min="6413" max="6413" width="33.625" style="2998" customWidth="1"/>
    <col min="6414" max="6414" width="50.25" style="2998" customWidth="1"/>
    <col min="6415" max="6415" width="10.625" style="2998" customWidth="1"/>
    <col min="6416" max="6416" width="16" style="2998" customWidth="1"/>
    <col min="6417" max="6417" width="14.375" style="2998" customWidth="1"/>
    <col min="6418" max="6418" width="6.25" style="2998" customWidth="1"/>
    <col min="6419" max="6420" width="7.875" style="2998" customWidth="1"/>
    <col min="6421" max="6656" width="9" style="2998"/>
    <col min="6657" max="6657" width="52.5" style="2998" customWidth="1"/>
    <col min="6658" max="6658" width="6.25" style="2998" customWidth="1"/>
    <col min="6659" max="6659" width="11.75" style="2998" customWidth="1"/>
    <col min="6660" max="6660" width="4.625" style="2998" customWidth="1"/>
    <col min="6661" max="6661" width="52.5" style="2998" customWidth="1"/>
    <col min="6662" max="6662" width="7.875" style="2998" customWidth="1"/>
    <col min="6663" max="6663" width="10" style="2998" customWidth="1"/>
    <col min="6664" max="6664" width="21.5" style="2998" customWidth="1"/>
    <col min="6665" max="6666" width="13.875" style="2998" customWidth="1"/>
    <col min="6667" max="6667" width="6.375" style="2998" customWidth="1"/>
    <col min="6668" max="6668" width="9" style="2998" customWidth="1"/>
    <col min="6669" max="6669" width="33.625" style="2998" customWidth="1"/>
    <col min="6670" max="6670" width="50.25" style="2998" customWidth="1"/>
    <col min="6671" max="6671" width="10.625" style="2998" customWidth="1"/>
    <col min="6672" max="6672" width="16" style="2998" customWidth="1"/>
    <col min="6673" max="6673" width="14.375" style="2998" customWidth="1"/>
    <col min="6674" max="6674" width="6.25" style="2998" customWidth="1"/>
    <col min="6675" max="6676" width="7.875" style="2998" customWidth="1"/>
    <col min="6677" max="6912" width="9" style="2998"/>
    <col min="6913" max="6913" width="52.5" style="2998" customWidth="1"/>
    <col min="6914" max="6914" width="6.25" style="2998" customWidth="1"/>
    <col min="6915" max="6915" width="11.75" style="2998" customWidth="1"/>
    <col min="6916" max="6916" width="4.625" style="2998" customWidth="1"/>
    <col min="6917" max="6917" width="52.5" style="2998" customWidth="1"/>
    <col min="6918" max="6918" width="7.875" style="2998" customWidth="1"/>
    <col min="6919" max="6919" width="10" style="2998" customWidth="1"/>
    <col min="6920" max="6920" width="21.5" style="2998" customWidth="1"/>
    <col min="6921" max="6922" width="13.875" style="2998" customWidth="1"/>
    <col min="6923" max="6923" width="6.375" style="2998" customWidth="1"/>
    <col min="6924" max="6924" width="9" style="2998" customWidth="1"/>
    <col min="6925" max="6925" width="33.625" style="2998" customWidth="1"/>
    <col min="6926" max="6926" width="50.25" style="2998" customWidth="1"/>
    <col min="6927" max="6927" width="10.625" style="2998" customWidth="1"/>
    <col min="6928" max="6928" width="16" style="2998" customWidth="1"/>
    <col min="6929" max="6929" width="14.375" style="2998" customWidth="1"/>
    <col min="6930" max="6930" width="6.25" style="2998" customWidth="1"/>
    <col min="6931" max="6932" width="7.875" style="2998" customWidth="1"/>
    <col min="6933" max="7168" width="9" style="2998"/>
    <col min="7169" max="7169" width="52.5" style="2998" customWidth="1"/>
    <col min="7170" max="7170" width="6.25" style="2998" customWidth="1"/>
    <col min="7171" max="7171" width="11.75" style="2998" customWidth="1"/>
    <col min="7172" max="7172" width="4.625" style="2998" customWidth="1"/>
    <col min="7173" max="7173" width="52.5" style="2998" customWidth="1"/>
    <col min="7174" max="7174" width="7.875" style="2998" customWidth="1"/>
    <col min="7175" max="7175" width="10" style="2998" customWidth="1"/>
    <col min="7176" max="7176" width="21.5" style="2998" customWidth="1"/>
    <col min="7177" max="7178" width="13.875" style="2998" customWidth="1"/>
    <col min="7179" max="7179" width="6.375" style="2998" customWidth="1"/>
    <col min="7180" max="7180" width="9" style="2998" customWidth="1"/>
    <col min="7181" max="7181" width="33.625" style="2998" customWidth="1"/>
    <col min="7182" max="7182" width="50.25" style="2998" customWidth="1"/>
    <col min="7183" max="7183" width="10.625" style="2998" customWidth="1"/>
    <col min="7184" max="7184" width="16" style="2998" customWidth="1"/>
    <col min="7185" max="7185" width="14.375" style="2998" customWidth="1"/>
    <col min="7186" max="7186" width="6.25" style="2998" customWidth="1"/>
    <col min="7187" max="7188" width="7.875" style="2998" customWidth="1"/>
    <col min="7189" max="7424" width="9" style="2998"/>
    <col min="7425" max="7425" width="52.5" style="2998" customWidth="1"/>
    <col min="7426" max="7426" width="6.25" style="2998" customWidth="1"/>
    <col min="7427" max="7427" width="11.75" style="2998" customWidth="1"/>
    <col min="7428" max="7428" width="4.625" style="2998" customWidth="1"/>
    <col min="7429" max="7429" width="52.5" style="2998" customWidth="1"/>
    <col min="7430" max="7430" width="7.875" style="2998" customWidth="1"/>
    <col min="7431" max="7431" width="10" style="2998" customWidth="1"/>
    <col min="7432" max="7432" width="21.5" style="2998" customWidth="1"/>
    <col min="7433" max="7434" width="13.875" style="2998" customWidth="1"/>
    <col min="7435" max="7435" width="6.375" style="2998" customWidth="1"/>
    <col min="7436" max="7436" width="9" style="2998" customWidth="1"/>
    <col min="7437" max="7437" width="33.625" style="2998" customWidth="1"/>
    <col min="7438" max="7438" width="50.25" style="2998" customWidth="1"/>
    <col min="7439" max="7439" width="10.625" style="2998" customWidth="1"/>
    <col min="7440" max="7440" width="16" style="2998" customWidth="1"/>
    <col min="7441" max="7441" width="14.375" style="2998" customWidth="1"/>
    <col min="7442" max="7442" width="6.25" style="2998" customWidth="1"/>
    <col min="7443" max="7444" width="7.875" style="2998" customWidth="1"/>
    <col min="7445" max="7680" width="9" style="2998"/>
    <col min="7681" max="7681" width="52.5" style="2998" customWidth="1"/>
    <col min="7682" max="7682" width="6.25" style="2998" customWidth="1"/>
    <col min="7683" max="7683" width="11.75" style="2998" customWidth="1"/>
    <col min="7684" max="7684" width="4.625" style="2998" customWidth="1"/>
    <col min="7685" max="7685" width="52.5" style="2998" customWidth="1"/>
    <col min="7686" max="7686" width="7.875" style="2998" customWidth="1"/>
    <col min="7687" max="7687" width="10" style="2998" customWidth="1"/>
    <col min="7688" max="7688" width="21.5" style="2998" customWidth="1"/>
    <col min="7689" max="7690" width="13.875" style="2998" customWidth="1"/>
    <col min="7691" max="7691" width="6.375" style="2998" customWidth="1"/>
    <col min="7692" max="7692" width="9" style="2998" customWidth="1"/>
    <col min="7693" max="7693" width="33.625" style="2998" customWidth="1"/>
    <col min="7694" max="7694" width="50.25" style="2998" customWidth="1"/>
    <col min="7695" max="7695" width="10.625" style="2998" customWidth="1"/>
    <col min="7696" max="7696" width="16" style="2998" customWidth="1"/>
    <col min="7697" max="7697" width="14.375" style="2998" customWidth="1"/>
    <col min="7698" max="7698" width="6.25" style="2998" customWidth="1"/>
    <col min="7699" max="7700" width="7.875" style="2998" customWidth="1"/>
    <col min="7701" max="7936" width="9" style="2998"/>
    <col min="7937" max="7937" width="52.5" style="2998" customWidth="1"/>
    <col min="7938" max="7938" width="6.25" style="2998" customWidth="1"/>
    <col min="7939" max="7939" width="11.75" style="2998" customWidth="1"/>
    <col min="7940" max="7940" width="4.625" style="2998" customWidth="1"/>
    <col min="7941" max="7941" width="52.5" style="2998" customWidth="1"/>
    <col min="7942" max="7942" width="7.875" style="2998" customWidth="1"/>
    <col min="7943" max="7943" width="10" style="2998" customWidth="1"/>
    <col min="7944" max="7944" width="21.5" style="2998" customWidth="1"/>
    <col min="7945" max="7946" width="13.875" style="2998" customWidth="1"/>
    <col min="7947" max="7947" width="6.375" style="2998" customWidth="1"/>
    <col min="7948" max="7948" width="9" style="2998" customWidth="1"/>
    <col min="7949" max="7949" width="33.625" style="2998" customWidth="1"/>
    <col min="7950" max="7950" width="50.25" style="2998" customWidth="1"/>
    <col min="7951" max="7951" width="10.625" style="2998" customWidth="1"/>
    <col min="7952" max="7952" width="16" style="2998" customWidth="1"/>
    <col min="7953" max="7953" width="14.375" style="2998" customWidth="1"/>
    <col min="7954" max="7954" width="6.25" style="2998" customWidth="1"/>
    <col min="7955" max="7956" width="7.875" style="2998" customWidth="1"/>
    <col min="7957" max="8192" width="9" style="2998"/>
    <col min="8193" max="8193" width="52.5" style="2998" customWidth="1"/>
    <col min="8194" max="8194" width="6.25" style="2998" customWidth="1"/>
    <col min="8195" max="8195" width="11.75" style="2998" customWidth="1"/>
    <col min="8196" max="8196" width="4.625" style="2998" customWidth="1"/>
    <col min="8197" max="8197" width="52.5" style="2998" customWidth="1"/>
    <col min="8198" max="8198" width="7.875" style="2998" customWidth="1"/>
    <col min="8199" max="8199" width="10" style="2998" customWidth="1"/>
    <col min="8200" max="8200" width="21.5" style="2998" customWidth="1"/>
    <col min="8201" max="8202" width="13.875" style="2998" customWidth="1"/>
    <col min="8203" max="8203" width="6.375" style="2998" customWidth="1"/>
    <col min="8204" max="8204" width="9" style="2998" customWidth="1"/>
    <col min="8205" max="8205" width="33.625" style="2998" customWidth="1"/>
    <col min="8206" max="8206" width="50.25" style="2998" customWidth="1"/>
    <col min="8207" max="8207" width="10.625" style="2998" customWidth="1"/>
    <col min="8208" max="8208" width="16" style="2998" customWidth="1"/>
    <col min="8209" max="8209" width="14.375" style="2998" customWidth="1"/>
    <col min="8210" max="8210" width="6.25" style="2998" customWidth="1"/>
    <col min="8211" max="8212" width="7.875" style="2998" customWidth="1"/>
    <col min="8213" max="8448" width="9" style="2998"/>
    <col min="8449" max="8449" width="52.5" style="2998" customWidth="1"/>
    <col min="8450" max="8450" width="6.25" style="2998" customWidth="1"/>
    <col min="8451" max="8451" width="11.75" style="2998" customWidth="1"/>
    <col min="8452" max="8452" width="4.625" style="2998" customWidth="1"/>
    <col min="8453" max="8453" width="52.5" style="2998" customWidth="1"/>
    <col min="8454" max="8454" width="7.875" style="2998" customWidth="1"/>
    <col min="8455" max="8455" width="10" style="2998" customWidth="1"/>
    <col min="8456" max="8456" width="21.5" style="2998" customWidth="1"/>
    <col min="8457" max="8458" width="13.875" style="2998" customWidth="1"/>
    <col min="8459" max="8459" width="6.375" style="2998" customWidth="1"/>
    <col min="8460" max="8460" width="9" style="2998" customWidth="1"/>
    <col min="8461" max="8461" width="33.625" style="2998" customWidth="1"/>
    <col min="8462" max="8462" width="50.25" style="2998" customWidth="1"/>
    <col min="8463" max="8463" width="10.625" style="2998" customWidth="1"/>
    <col min="8464" max="8464" width="16" style="2998" customWidth="1"/>
    <col min="8465" max="8465" width="14.375" style="2998" customWidth="1"/>
    <col min="8466" max="8466" width="6.25" style="2998" customWidth="1"/>
    <col min="8467" max="8468" width="7.875" style="2998" customWidth="1"/>
    <col min="8469" max="8704" width="9" style="2998"/>
    <col min="8705" max="8705" width="52.5" style="2998" customWidth="1"/>
    <col min="8706" max="8706" width="6.25" style="2998" customWidth="1"/>
    <col min="8707" max="8707" width="11.75" style="2998" customWidth="1"/>
    <col min="8708" max="8708" width="4.625" style="2998" customWidth="1"/>
    <col min="8709" max="8709" width="52.5" style="2998" customWidth="1"/>
    <col min="8710" max="8710" width="7.875" style="2998" customWidth="1"/>
    <col min="8711" max="8711" width="10" style="2998" customWidth="1"/>
    <col min="8712" max="8712" width="21.5" style="2998" customWidth="1"/>
    <col min="8713" max="8714" width="13.875" style="2998" customWidth="1"/>
    <col min="8715" max="8715" width="6.375" style="2998" customWidth="1"/>
    <col min="8716" max="8716" width="9" style="2998" customWidth="1"/>
    <col min="8717" max="8717" width="33.625" style="2998" customWidth="1"/>
    <col min="8718" max="8718" width="50.25" style="2998" customWidth="1"/>
    <col min="8719" max="8719" width="10.625" style="2998" customWidth="1"/>
    <col min="8720" max="8720" width="16" style="2998" customWidth="1"/>
    <col min="8721" max="8721" width="14.375" style="2998" customWidth="1"/>
    <col min="8722" max="8722" width="6.25" style="2998" customWidth="1"/>
    <col min="8723" max="8724" width="7.875" style="2998" customWidth="1"/>
    <col min="8725" max="8960" width="9" style="2998"/>
    <col min="8961" max="8961" width="52.5" style="2998" customWidth="1"/>
    <col min="8962" max="8962" width="6.25" style="2998" customWidth="1"/>
    <col min="8963" max="8963" width="11.75" style="2998" customWidth="1"/>
    <col min="8964" max="8964" width="4.625" style="2998" customWidth="1"/>
    <col min="8965" max="8965" width="52.5" style="2998" customWidth="1"/>
    <col min="8966" max="8966" width="7.875" style="2998" customWidth="1"/>
    <col min="8967" max="8967" width="10" style="2998" customWidth="1"/>
    <col min="8968" max="8968" width="21.5" style="2998" customWidth="1"/>
    <col min="8969" max="8970" width="13.875" style="2998" customWidth="1"/>
    <col min="8971" max="8971" width="6.375" style="2998" customWidth="1"/>
    <col min="8972" max="8972" width="9" style="2998" customWidth="1"/>
    <col min="8973" max="8973" width="33.625" style="2998" customWidth="1"/>
    <col min="8974" max="8974" width="50.25" style="2998" customWidth="1"/>
    <col min="8975" max="8975" width="10.625" style="2998" customWidth="1"/>
    <col min="8976" max="8976" width="16" style="2998" customWidth="1"/>
    <col min="8977" max="8977" width="14.375" style="2998" customWidth="1"/>
    <col min="8978" max="8978" width="6.25" style="2998" customWidth="1"/>
    <col min="8979" max="8980" width="7.875" style="2998" customWidth="1"/>
    <col min="8981" max="9216" width="9" style="2998"/>
    <col min="9217" max="9217" width="52.5" style="2998" customWidth="1"/>
    <col min="9218" max="9218" width="6.25" style="2998" customWidth="1"/>
    <col min="9219" max="9219" width="11.75" style="2998" customWidth="1"/>
    <col min="9220" max="9220" width="4.625" style="2998" customWidth="1"/>
    <col min="9221" max="9221" width="52.5" style="2998" customWidth="1"/>
    <col min="9222" max="9222" width="7.875" style="2998" customWidth="1"/>
    <col min="9223" max="9223" width="10" style="2998" customWidth="1"/>
    <col min="9224" max="9224" width="21.5" style="2998" customWidth="1"/>
    <col min="9225" max="9226" width="13.875" style="2998" customWidth="1"/>
    <col min="9227" max="9227" width="6.375" style="2998" customWidth="1"/>
    <col min="9228" max="9228" width="9" style="2998" customWidth="1"/>
    <col min="9229" max="9229" width="33.625" style="2998" customWidth="1"/>
    <col min="9230" max="9230" width="50.25" style="2998" customWidth="1"/>
    <col min="9231" max="9231" width="10.625" style="2998" customWidth="1"/>
    <col min="9232" max="9232" width="16" style="2998" customWidth="1"/>
    <col min="9233" max="9233" width="14.375" style="2998" customWidth="1"/>
    <col min="9234" max="9234" width="6.25" style="2998" customWidth="1"/>
    <col min="9235" max="9236" width="7.875" style="2998" customWidth="1"/>
    <col min="9237" max="9472" width="9" style="2998"/>
    <col min="9473" max="9473" width="52.5" style="2998" customWidth="1"/>
    <col min="9474" max="9474" width="6.25" style="2998" customWidth="1"/>
    <col min="9475" max="9475" width="11.75" style="2998" customWidth="1"/>
    <col min="9476" max="9476" width="4.625" style="2998" customWidth="1"/>
    <col min="9477" max="9477" width="52.5" style="2998" customWidth="1"/>
    <col min="9478" max="9478" width="7.875" style="2998" customWidth="1"/>
    <col min="9479" max="9479" width="10" style="2998" customWidth="1"/>
    <col min="9480" max="9480" width="21.5" style="2998" customWidth="1"/>
    <col min="9481" max="9482" width="13.875" style="2998" customWidth="1"/>
    <col min="9483" max="9483" width="6.375" style="2998" customWidth="1"/>
    <col min="9484" max="9484" width="9" style="2998" customWidth="1"/>
    <col min="9485" max="9485" width="33.625" style="2998" customWidth="1"/>
    <col min="9486" max="9486" width="50.25" style="2998" customWidth="1"/>
    <col min="9487" max="9487" width="10.625" style="2998" customWidth="1"/>
    <col min="9488" max="9488" width="16" style="2998" customWidth="1"/>
    <col min="9489" max="9489" width="14.375" style="2998" customWidth="1"/>
    <col min="9490" max="9490" width="6.25" style="2998" customWidth="1"/>
    <col min="9491" max="9492" width="7.875" style="2998" customWidth="1"/>
    <col min="9493" max="9728" width="9" style="2998"/>
    <col min="9729" max="9729" width="52.5" style="2998" customWidth="1"/>
    <col min="9730" max="9730" width="6.25" style="2998" customWidth="1"/>
    <col min="9731" max="9731" width="11.75" style="2998" customWidth="1"/>
    <col min="9732" max="9732" width="4.625" style="2998" customWidth="1"/>
    <col min="9733" max="9733" width="52.5" style="2998" customWidth="1"/>
    <col min="9734" max="9734" width="7.875" style="2998" customWidth="1"/>
    <col min="9735" max="9735" width="10" style="2998" customWidth="1"/>
    <col min="9736" max="9736" width="21.5" style="2998" customWidth="1"/>
    <col min="9737" max="9738" width="13.875" style="2998" customWidth="1"/>
    <col min="9739" max="9739" width="6.375" style="2998" customWidth="1"/>
    <col min="9740" max="9740" width="9" style="2998" customWidth="1"/>
    <col min="9741" max="9741" width="33.625" style="2998" customWidth="1"/>
    <col min="9742" max="9742" width="50.25" style="2998" customWidth="1"/>
    <col min="9743" max="9743" width="10.625" style="2998" customWidth="1"/>
    <col min="9744" max="9744" width="16" style="2998" customWidth="1"/>
    <col min="9745" max="9745" width="14.375" style="2998" customWidth="1"/>
    <col min="9746" max="9746" width="6.25" style="2998" customWidth="1"/>
    <col min="9747" max="9748" width="7.875" style="2998" customWidth="1"/>
    <col min="9749" max="9984" width="9" style="2998"/>
    <col min="9985" max="9985" width="52.5" style="2998" customWidth="1"/>
    <col min="9986" max="9986" width="6.25" style="2998" customWidth="1"/>
    <col min="9987" max="9987" width="11.75" style="2998" customWidth="1"/>
    <col min="9988" max="9988" width="4.625" style="2998" customWidth="1"/>
    <col min="9989" max="9989" width="52.5" style="2998" customWidth="1"/>
    <col min="9990" max="9990" width="7.875" style="2998" customWidth="1"/>
    <col min="9991" max="9991" width="10" style="2998" customWidth="1"/>
    <col min="9992" max="9992" width="21.5" style="2998" customWidth="1"/>
    <col min="9993" max="9994" width="13.875" style="2998" customWidth="1"/>
    <col min="9995" max="9995" width="6.375" style="2998" customWidth="1"/>
    <col min="9996" max="9996" width="9" style="2998" customWidth="1"/>
    <col min="9997" max="9997" width="33.625" style="2998" customWidth="1"/>
    <col min="9998" max="9998" width="50.25" style="2998" customWidth="1"/>
    <col min="9999" max="9999" width="10.625" style="2998" customWidth="1"/>
    <col min="10000" max="10000" width="16" style="2998" customWidth="1"/>
    <col min="10001" max="10001" width="14.375" style="2998" customWidth="1"/>
    <col min="10002" max="10002" width="6.25" style="2998" customWidth="1"/>
    <col min="10003" max="10004" width="7.875" style="2998" customWidth="1"/>
    <col min="10005" max="10240" width="9" style="2998"/>
    <col min="10241" max="10241" width="52.5" style="2998" customWidth="1"/>
    <col min="10242" max="10242" width="6.25" style="2998" customWidth="1"/>
    <col min="10243" max="10243" width="11.75" style="2998" customWidth="1"/>
    <col min="10244" max="10244" width="4.625" style="2998" customWidth="1"/>
    <col min="10245" max="10245" width="52.5" style="2998" customWidth="1"/>
    <col min="10246" max="10246" width="7.875" style="2998" customWidth="1"/>
    <col min="10247" max="10247" width="10" style="2998" customWidth="1"/>
    <col min="10248" max="10248" width="21.5" style="2998" customWidth="1"/>
    <col min="10249" max="10250" width="13.875" style="2998" customWidth="1"/>
    <col min="10251" max="10251" width="6.375" style="2998" customWidth="1"/>
    <col min="10252" max="10252" width="9" style="2998" customWidth="1"/>
    <col min="10253" max="10253" width="33.625" style="2998" customWidth="1"/>
    <col min="10254" max="10254" width="50.25" style="2998" customWidth="1"/>
    <col min="10255" max="10255" width="10.625" style="2998" customWidth="1"/>
    <col min="10256" max="10256" width="16" style="2998" customWidth="1"/>
    <col min="10257" max="10257" width="14.375" style="2998" customWidth="1"/>
    <col min="10258" max="10258" width="6.25" style="2998" customWidth="1"/>
    <col min="10259" max="10260" width="7.875" style="2998" customWidth="1"/>
    <col min="10261" max="10496" width="9" style="2998"/>
    <col min="10497" max="10497" width="52.5" style="2998" customWidth="1"/>
    <col min="10498" max="10498" width="6.25" style="2998" customWidth="1"/>
    <col min="10499" max="10499" width="11.75" style="2998" customWidth="1"/>
    <col min="10500" max="10500" width="4.625" style="2998" customWidth="1"/>
    <col min="10501" max="10501" width="52.5" style="2998" customWidth="1"/>
    <col min="10502" max="10502" width="7.875" style="2998" customWidth="1"/>
    <col min="10503" max="10503" width="10" style="2998" customWidth="1"/>
    <col min="10504" max="10504" width="21.5" style="2998" customWidth="1"/>
    <col min="10505" max="10506" width="13.875" style="2998" customWidth="1"/>
    <col min="10507" max="10507" width="6.375" style="2998" customWidth="1"/>
    <col min="10508" max="10508" width="9" style="2998" customWidth="1"/>
    <col min="10509" max="10509" width="33.625" style="2998" customWidth="1"/>
    <col min="10510" max="10510" width="50.25" style="2998" customWidth="1"/>
    <col min="10511" max="10511" width="10.625" style="2998" customWidth="1"/>
    <col min="10512" max="10512" width="16" style="2998" customWidth="1"/>
    <col min="10513" max="10513" width="14.375" style="2998" customWidth="1"/>
    <col min="10514" max="10514" width="6.25" style="2998" customWidth="1"/>
    <col min="10515" max="10516" width="7.875" style="2998" customWidth="1"/>
    <col min="10517" max="10752" width="9" style="2998"/>
    <col min="10753" max="10753" width="52.5" style="2998" customWidth="1"/>
    <col min="10754" max="10754" width="6.25" style="2998" customWidth="1"/>
    <col min="10755" max="10755" width="11.75" style="2998" customWidth="1"/>
    <col min="10756" max="10756" width="4.625" style="2998" customWidth="1"/>
    <col min="10757" max="10757" width="52.5" style="2998" customWidth="1"/>
    <col min="10758" max="10758" width="7.875" style="2998" customWidth="1"/>
    <col min="10759" max="10759" width="10" style="2998" customWidth="1"/>
    <col min="10760" max="10760" width="21.5" style="2998" customWidth="1"/>
    <col min="10761" max="10762" width="13.875" style="2998" customWidth="1"/>
    <col min="10763" max="10763" width="6.375" style="2998" customWidth="1"/>
    <col min="10764" max="10764" width="9" style="2998" customWidth="1"/>
    <col min="10765" max="10765" width="33.625" style="2998" customWidth="1"/>
    <col min="10766" max="10766" width="50.25" style="2998" customWidth="1"/>
    <col min="10767" max="10767" width="10.625" style="2998" customWidth="1"/>
    <col min="10768" max="10768" width="16" style="2998" customWidth="1"/>
    <col min="10769" max="10769" width="14.375" style="2998" customWidth="1"/>
    <col min="10770" max="10770" width="6.25" style="2998" customWidth="1"/>
    <col min="10771" max="10772" width="7.875" style="2998" customWidth="1"/>
    <col min="10773" max="11008" width="9" style="2998"/>
    <col min="11009" max="11009" width="52.5" style="2998" customWidth="1"/>
    <col min="11010" max="11010" width="6.25" style="2998" customWidth="1"/>
    <col min="11011" max="11011" width="11.75" style="2998" customWidth="1"/>
    <col min="11012" max="11012" width="4.625" style="2998" customWidth="1"/>
    <col min="11013" max="11013" width="52.5" style="2998" customWidth="1"/>
    <col min="11014" max="11014" width="7.875" style="2998" customWidth="1"/>
    <col min="11015" max="11015" width="10" style="2998" customWidth="1"/>
    <col min="11016" max="11016" width="21.5" style="2998" customWidth="1"/>
    <col min="11017" max="11018" width="13.875" style="2998" customWidth="1"/>
    <col min="11019" max="11019" width="6.375" style="2998" customWidth="1"/>
    <col min="11020" max="11020" width="9" style="2998" customWidth="1"/>
    <col min="11021" max="11021" width="33.625" style="2998" customWidth="1"/>
    <col min="11022" max="11022" width="50.25" style="2998" customWidth="1"/>
    <col min="11023" max="11023" width="10.625" style="2998" customWidth="1"/>
    <col min="11024" max="11024" width="16" style="2998" customWidth="1"/>
    <col min="11025" max="11025" width="14.375" style="2998" customWidth="1"/>
    <col min="11026" max="11026" width="6.25" style="2998" customWidth="1"/>
    <col min="11027" max="11028" width="7.875" style="2998" customWidth="1"/>
    <col min="11029" max="11264" width="9" style="2998"/>
    <col min="11265" max="11265" width="52.5" style="2998" customWidth="1"/>
    <col min="11266" max="11266" width="6.25" style="2998" customWidth="1"/>
    <col min="11267" max="11267" width="11.75" style="2998" customWidth="1"/>
    <col min="11268" max="11268" width="4.625" style="2998" customWidth="1"/>
    <col min="11269" max="11269" width="52.5" style="2998" customWidth="1"/>
    <col min="11270" max="11270" width="7.875" style="2998" customWidth="1"/>
    <col min="11271" max="11271" width="10" style="2998" customWidth="1"/>
    <col min="11272" max="11272" width="21.5" style="2998" customWidth="1"/>
    <col min="11273" max="11274" width="13.875" style="2998" customWidth="1"/>
    <col min="11275" max="11275" width="6.375" style="2998" customWidth="1"/>
    <col min="11276" max="11276" width="9" style="2998" customWidth="1"/>
    <col min="11277" max="11277" width="33.625" style="2998" customWidth="1"/>
    <col min="11278" max="11278" width="50.25" style="2998" customWidth="1"/>
    <col min="11279" max="11279" width="10.625" style="2998" customWidth="1"/>
    <col min="11280" max="11280" width="16" style="2998" customWidth="1"/>
    <col min="11281" max="11281" width="14.375" style="2998" customWidth="1"/>
    <col min="11282" max="11282" width="6.25" style="2998" customWidth="1"/>
    <col min="11283" max="11284" width="7.875" style="2998" customWidth="1"/>
    <col min="11285" max="11520" width="9" style="2998"/>
    <col min="11521" max="11521" width="52.5" style="2998" customWidth="1"/>
    <col min="11522" max="11522" width="6.25" style="2998" customWidth="1"/>
    <col min="11523" max="11523" width="11.75" style="2998" customWidth="1"/>
    <col min="11524" max="11524" width="4.625" style="2998" customWidth="1"/>
    <col min="11525" max="11525" width="52.5" style="2998" customWidth="1"/>
    <col min="11526" max="11526" width="7.875" style="2998" customWidth="1"/>
    <col min="11527" max="11527" width="10" style="2998" customWidth="1"/>
    <col min="11528" max="11528" width="21.5" style="2998" customWidth="1"/>
    <col min="11529" max="11530" width="13.875" style="2998" customWidth="1"/>
    <col min="11531" max="11531" width="6.375" style="2998" customWidth="1"/>
    <col min="11532" max="11532" width="9" style="2998" customWidth="1"/>
    <col min="11533" max="11533" width="33.625" style="2998" customWidth="1"/>
    <col min="11534" max="11534" width="50.25" style="2998" customWidth="1"/>
    <col min="11535" max="11535" width="10.625" style="2998" customWidth="1"/>
    <col min="11536" max="11536" width="16" style="2998" customWidth="1"/>
    <col min="11537" max="11537" width="14.375" style="2998" customWidth="1"/>
    <col min="11538" max="11538" width="6.25" style="2998" customWidth="1"/>
    <col min="11539" max="11540" width="7.875" style="2998" customWidth="1"/>
    <col min="11541" max="11776" width="9" style="2998"/>
    <col min="11777" max="11777" width="52.5" style="2998" customWidth="1"/>
    <col min="11778" max="11778" width="6.25" style="2998" customWidth="1"/>
    <col min="11779" max="11779" width="11.75" style="2998" customWidth="1"/>
    <col min="11780" max="11780" width="4.625" style="2998" customWidth="1"/>
    <col min="11781" max="11781" width="52.5" style="2998" customWidth="1"/>
    <col min="11782" max="11782" width="7.875" style="2998" customWidth="1"/>
    <col min="11783" max="11783" width="10" style="2998" customWidth="1"/>
    <col min="11784" max="11784" width="21.5" style="2998" customWidth="1"/>
    <col min="11785" max="11786" width="13.875" style="2998" customWidth="1"/>
    <col min="11787" max="11787" width="6.375" style="2998" customWidth="1"/>
    <col min="11788" max="11788" width="9" style="2998" customWidth="1"/>
    <col min="11789" max="11789" width="33.625" style="2998" customWidth="1"/>
    <col min="11790" max="11790" width="50.25" style="2998" customWidth="1"/>
    <col min="11791" max="11791" width="10.625" style="2998" customWidth="1"/>
    <col min="11792" max="11792" width="16" style="2998" customWidth="1"/>
    <col min="11793" max="11793" width="14.375" style="2998" customWidth="1"/>
    <col min="11794" max="11794" width="6.25" style="2998" customWidth="1"/>
    <col min="11795" max="11796" width="7.875" style="2998" customWidth="1"/>
    <col min="11797" max="12032" width="9" style="2998"/>
    <col min="12033" max="12033" width="52.5" style="2998" customWidth="1"/>
    <col min="12034" max="12034" width="6.25" style="2998" customWidth="1"/>
    <col min="12035" max="12035" width="11.75" style="2998" customWidth="1"/>
    <col min="12036" max="12036" width="4.625" style="2998" customWidth="1"/>
    <col min="12037" max="12037" width="52.5" style="2998" customWidth="1"/>
    <col min="12038" max="12038" width="7.875" style="2998" customWidth="1"/>
    <col min="12039" max="12039" width="10" style="2998" customWidth="1"/>
    <col min="12040" max="12040" width="21.5" style="2998" customWidth="1"/>
    <col min="12041" max="12042" width="13.875" style="2998" customWidth="1"/>
    <col min="12043" max="12043" width="6.375" style="2998" customWidth="1"/>
    <col min="12044" max="12044" width="9" style="2998" customWidth="1"/>
    <col min="12045" max="12045" width="33.625" style="2998" customWidth="1"/>
    <col min="12046" max="12046" width="50.25" style="2998" customWidth="1"/>
    <col min="12047" max="12047" width="10.625" style="2998" customWidth="1"/>
    <col min="12048" max="12048" width="16" style="2998" customWidth="1"/>
    <col min="12049" max="12049" width="14.375" style="2998" customWidth="1"/>
    <col min="12050" max="12050" width="6.25" style="2998" customWidth="1"/>
    <col min="12051" max="12052" width="7.875" style="2998" customWidth="1"/>
    <col min="12053" max="12288" width="9" style="2998"/>
    <col min="12289" max="12289" width="52.5" style="2998" customWidth="1"/>
    <col min="12290" max="12290" width="6.25" style="2998" customWidth="1"/>
    <col min="12291" max="12291" width="11.75" style="2998" customWidth="1"/>
    <col min="12292" max="12292" width="4.625" style="2998" customWidth="1"/>
    <col min="12293" max="12293" width="52.5" style="2998" customWidth="1"/>
    <col min="12294" max="12294" width="7.875" style="2998" customWidth="1"/>
    <col min="12295" max="12295" width="10" style="2998" customWidth="1"/>
    <col min="12296" max="12296" width="21.5" style="2998" customWidth="1"/>
    <col min="12297" max="12298" width="13.875" style="2998" customWidth="1"/>
    <col min="12299" max="12299" width="6.375" style="2998" customWidth="1"/>
    <col min="12300" max="12300" width="9" style="2998" customWidth="1"/>
    <col min="12301" max="12301" width="33.625" style="2998" customWidth="1"/>
    <col min="12302" max="12302" width="50.25" style="2998" customWidth="1"/>
    <col min="12303" max="12303" width="10.625" style="2998" customWidth="1"/>
    <col min="12304" max="12304" width="16" style="2998" customWidth="1"/>
    <col min="12305" max="12305" width="14.375" style="2998" customWidth="1"/>
    <col min="12306" max="12306" width="6.25" style="2998" customWidth="1"/>
    <col min="12307" max="12308" width="7.875" style="2998" customWidth="1"/>
    <col min="12309" max="12544" width="9" style="2998"/>
    <col min="12545" max="12545" width="52.5" style="2998" customWidth="1"/>
    <col min="12546" max="12546" width="6.25" style="2998" customWidth="1"/>
    <col min="12547" max="12547" width="11.75" style="2998" customWidth="1"/>
    <col min="12548" max="12548" width="4.625" style="2998" customWidth="1"/>
    <col min="12549" max="12549" width="52.5" style="2998" customWidth="1"/>
    <col min="12550" max="12550" width="7.875" style="2998" customWidth="1"/>
    <col min="12551" max="12551" width="10" style="2998" customWidth="1"/>
    <col min="12552" max="12552" width="21.5" style="2998" customWidth="1"/>
    <col min="12553" max="12554" width="13.875" style="2998" customWidth="1"/>
    <col min="12555" max="12555" width="6.375" style="2998" customWidth="1"/>
    <col min="12556" max="12556" width="9" style="2998" customWidth="1"/>
    <col min="12557" max="12557" width="33.625" style="2998" customWidth="1"/>
    <col min="12558" max="12558" width="50.25" style="2998" customWidth="1"/>
    <col min="12559" max="12559" width="10.625" style="2998" customWidth="1"/>
    <col min="12560" max="12560" width="16" style="2998" customWidth="1"/>
    <col min="12561" max="12561" width="14.375" style="2998" customWidth="1"/>
    <col min="12562" max="12562" width="6.25" style="2998" customWidth="1"/>
    <col min="12563" max="12564" width="7.875" style="2998" customWidth="1"/>
    <col min="12565" max="12800" width="9" style="2998"/>
    <col min="12801" max="12801" width="52.5" style="2998" customWidth="1"/>
    <col min="12802" max="12802" width="6.25" style="2998" customWidth="1"/>
    <col min="12803" max="12803" width="11.75" style="2998" customWidth="1"/>
    <col min="12804" max="12804" width="4.625" style="2998" customWidth="1"/>
    <col min="12805" max="12805" width="52.5" style="2998" customWidth="1"/>
    <col min="12806" max="12806" width="7.875" style="2998" customWidth="1"/>
    <col min="12807" max="12807" width="10" style="2998" customWidth="1"/>
    <col min="12808" max="12808" width="21.5" style="2998" customWidth="1"/>
    <col min="12809" max="12810" width="13.875" style="2998" customWidth="1"/>
    <col min="12811" max="12811" width="6.375" style="2998" customWidth="1"/>
    <col min="12812" max="12812" width="9" style="2998" customWidth="1"/>
    <col min="12813" max="12813" width="33.625" style="2998" customWidth="1"/>
    <col min="12814" max="12814" width="50.25" style="2998" customWidth="1"/>
    <col min="12815" max="12815" width="10.625" style="2998" customWidth="1"/>
    <col min="12816" max="12816" width="16" style="2998" customWidth="1"/>
    <col min="12817" max="12817" width="14.375" style="2998" customWidth="1"/>
    <col min="12818" max="12818" width="6.25" style="2998" customWidth="1"/>
    <col min="12819" max="12820" width="7.875" style="2998" customWidth="1"/>
    <col min="12821" max="13056" width="9" style="2998"/>
    <col min="13057" max="13057" width="52.5" style="2998" customWidth="1"/>
    <col min="13058" max="13058" width="6.25" style="2998" customWidth="1"/>
    <col min="13059" max="13059" width="11.75" style="2998" customWidth="1"/>
    <col min="13060" max="13060" width="4.625" style="2998" customWidth="1"/>
    <col min="13061" max="13061" width="52.5" style="2998" customWidth="1"/>
    <col min="13062" max="13062" width="7.875" style="2998" customWidth="1"/>
    <col min="13063" max="13063" width="10" style="2998" customWidth="1"/>
    <col min="13064" max="13064" width="21.5" style="2998" customWidth="1"/>
    <col min="13065" max="13066" width="13.875" style="2998" customWidth="1"/>
    <col min="13067" max="13067" width="6.375" style="2998" customWidth="1"/>
    <col min="13068" max="13068" width="9" style="2998" customWidth="1"/>
    <col min="13069" max="13069" width="33.625" style="2998" customWidth="1"/>
    <col min="13070" max="13070" width="50.25" style="2998" customWidth="1"/>
    <col min="13071" max="13071" width="10.625" style="2998" customWidth="1"/>
    <col min="13072" max="13072" width="16" style="2998" customWidth="1"/>
    <col min="13073" max="13073" width="14.375" style="2998" customWidth="1"/>
    <col min="13074" max="13074" width="6.25" style="2998" customWidth="1"/>
    <col min="13075" max="13076" width="7.875" style="2998" customWidth="1"/>
    <col min="13077" max="13312" width="9" style="2998"/>
    <col min="13313" max="13313" width="52.5" style="2998" customWidth="1"/>
    <col min="13314" max="13314" width="6.25" style="2998" customWidth="1"/>
    <col min="13315" max="13315" width="11.75" style="2998" customWidth="1"/>
    <col min="13316" max="13316" width="4.625" style="2998" customWidth="1"/>
    <col min="13317" max="13317" width="52.5" style="2998" customWidth="1"/>
    <col min="13318" max="13318" width="7.875" style="2998" customWidth="1"/>
    <col min="13319" max="13319" width="10" style="2998" customWidth="1"/>
    <col min="13320" max="13320" width="21.5" style="2998" customWidth="1"/>
    <col min="13321" max="13322" width="13.875" style="2998" customWidth="1"/>
    <col min="13323" max="13323" width="6.375" style="2998" customWidth="1"/>
    <col min="13324" max="13324" width="9" style="2998" customWidth="1"/>
    <col min="13325" max="13325" width="33.625" style="2998" customWidth="1"/>
    <col min="13326" max="13326" width="50.25" style="2998" customWidth="1"/>
    <col min="13327" max="13327" width="10.625" style="2998" customWidth="1"/>
    <col min="13328" max="13328" width="16" style="2998" customWidth="1"/>
    <col min="13329" max="13329" width="14.375" style="2998" customWidth="1"/>
    <col min="13330" max="13330" width="6.25" style="2998" customWidth="1"/>
    <col min="13331" max="13332" width="7.875" style="2998" customWidth="1"/>
    <col min="13333" max="13568" width="9" style="2998"/>
    <col min="13569" max="13569" width="52.5" style="2998" customWidth="1"/>
    <col min="13570" max="13570" width="6.25" style="2998" customWidth="1"/>
    <col min="13571" max="13571" width="11.75" style="2998" customWidth="1"/>
    <col min="13572" max="13572" width="4.625" style="2998" customWidth="1"/>
    <col min="13573" max="13573" width="52.5" style="2998" customWidth="1"/>
    <col min="13574" max="13574" width="7.875" style="2998" customWidth="1"/>
    <col min="13575" max="13575" width="10" style="2998" customWidth="1"/>
    <col min="13576" max="13576" width="21.5" style="2998" customWidth="1"/>
    <col min="13577" max="13578" width="13.875" style="2998" customWidth="1"/>
    <col min="13579" max="13579" width="6.375" style="2998" customWidth="1"/>
    <col min="13580" max="13580" width="9" style="2998" customWidth="1"/>
    <col min="13581" max="13581" width="33.625" style="2998" customWidth="1"/>
    <col min="13582" max="13582" width="50.25" style="2998" customWidth="1"/>
    <col min="13583" max="13583" width="10.625" style="2998" customWidth="1"/>
    <col min="13584" max="13584" width="16" style="2998" customWidth="1"/>
    <col min="13585" max="13585" width="14.375" style="2998" customWidth="1"/>
    <col min="13586" max="13586" width="6.25" style="2998" customWidth="1"/>
    <col min="13587" max="13588" width="7.875" style="2998" customWidth="1"/>
    <col min="13589" max="13824" width="9" style="2998"/>
    <col min="13825" max="13825" width="52.5" style="2998" customWidth="1"/>
    <col min="13826" max="13826" width="6.25" style="2998" customWidth="1"/>
    <col min="13827" max="13827" width="11.75" style="2998" customWidth="1"/>
    <col min="13828" max="13828" width="4.625" style="2998" customWidth="1"/>
    <col min="13829" max="13829" width="52.5" style="2998" customWidth="1"/>
    <col min="13830" max="13830" width="7.875" style="2998" customWidth="1"/>
    <col min="13831" max="13831" width="10" style="2998" customWidth="1"/>
    <col min="13832" max="13832" width="21.5" style="2998" customWidth="1"/>
    <col min="13833" max="13834" width="13.875" style="2998" customWidth="1"/>
    <col min="13835" max="13835" width="6.375" style="2998" customWidth="1"/>
    <col min="13836" max="13836" width="9" style="2998" customWidth="1"/>
    <col min="13837" max="13837" width="33.625" style="2998" customWidth="1"/>
    <col min="13838" max="13838" width="50.25" style="2998" customWidth="1"/>
    <col min="13839" max="13839" width="10.625" style="2998" customWidth="1"/>
    <col min="13840" max="13840" width="16" style="2998" customWidth="1"/>
    <col min="13841" max="13841" width="14.375" style="2998" customWidth="1"/>
    <col min="13842" max="13842" width="6.25" style="2998" customWidth="1"/>
    <col min="13843" max="13844" width="7.875" style="2998" customWidth="1"/>
    <col min="13845" max="14080" width="9" style="2998"/>
    <col min="14081" max="14081" width="52.5" style="2998" customWidth="1"/>
    <col min="14082" max="14082" width="6.25" style="2998" customWidth="1"/>
    <col min="14083" max="14083" width="11.75" style="2998" customWidth="1"/>
    <col min="14084" max="14084" width="4.625" style="2998" customWidth="1"/>
    <col min="14085" max="14085" width="52.5" style="2998" customWidth="1"/>
    <col min="14086" max="14086" width="7.875" style="2998" customWidth="1"/>
    <col min="14087" max="14087" width="10" style="2998" customWidth="1"/>
    <col min="14088" max="14088" width="21.5" style="2998" customWidth="1"/>
    <col min="14089" max="14090" width="13.875" style="2998" customWidth="1"/>
    <col min="14091" max="14091" width="6.375" style="2998" customWidth="1"/>
    <col min="14092" max="14092" width="9" style="2998" customWidth="1"/>
    <col min="14093" max="14093" width="33.625" style="2998" customWidth="1"/>
    <col min="14094" max="14094" width="50.25" style="2998" customWidth="1"/>
    <col min="14095" max="14095" width="10.625" style="2998" customWidth="1"/>
    <col min="14096" max="14096" width="16" style="2998" customWidth="1"/>
    <col min="14097" max="14097" width="14.375" style="2998" customWidth="1"/>
    <col min="14098" max="14098" width="6.25" style="2998" customWidth="1"/>
    <col min="14099" max="14100" width="7.875" style="2998" customWidth="1"/>
    <col min="14101" max="14336" width="9" style="2998"/>
    <col min="14337" max="14337" width="52.5" style="2998" customWidth="1"/>
    <col min="14338" max="14338" width="6.25" style="2998" customWidth="1"/>
    <col min="14339" max="14339" width="11.75" style="2998" customWidth="1"/>
    <col min="14340" max="14340" width="4.625" style="2998" customWidth="1"/>
    <col min="14341" max="14341" width="52.5" style="2998" customWidth="1"/>
    <col min="14342" max="14342" width="7.875" style="2998" customWidth="1"/>
    <col min="14343" max="14343" width="10" style="2998" customWidth="1"/>
    <col min="14344" max="14344" width="21.5" style="2998" customWidth="1"/>
    <col min="14345" max="14346" width="13.875" style="2998" customWidth="1"/>
    <col min="14347" max="14347" width="6.375" style="2998" customWidth="1"/>
    <col min="14348" max="14348" width="9" style="2998" customWidth="1"/>
    <col min="14349" max="14349" width="33.625" style="2998" customWidth="1"/>
    <col min="14350" max="14350" width="50.25" style="2998" customWidth="1"/>
    <col min="14351" max="14351" width="10.625" style="2998" customWidth="1"/>
    <col min="14352" max="14352" width="16" style="2998" customWidth="1"/>
    <col min="14353" max="14353" width="14.375" style="2998" customWidth="1"/>
    <col min="14354" max="14354" width="6.25" style="2998" customWidth="1"/>
    <col min="14355" max="14356" width="7.875" style="2998" customWidth="1"/>
    <col min="14357" max="14592" width="9" style="2998"/>
    <col min="14593" max="14593" width="52.5" style="2998" customWidth="1"/>
    <col min="14594" max="14594" width="6.25" style="2998" customWidth="1"/>
    <col min="14595" max="14595" width="11.75" style="2998" customWidth="1"/>
    <col min="14596" max="14596" width="4.625" style="2998" customWidth="1"/>
    <col min="14597" max="14597" width="52.5" style="2998" customWidth="1"/>
    <col min="14598" max="14598" width="7.875" style="2998" customWidth="1"/>
    <col min="14599" max="14599" width="10" style="2998" customWidth="1"/>
    <col min="14600" max="14600" width="21.5" style="2998" customWidth="1"/>
    <col min="14601" max="14602" width="13.875" style="2998" customWidth="1"/>
    <col min="14603" max="14603" width="6.375" style="2998" customWidth="1"/>
    <col min="14604" max="14604" width="9" style="2998" customWidth="1"/>
    <col min="14605" max="14605" width="33.625" style="2998" customWidth="1"/>
    <col min="14606" max="14606" width="50.25" style="2998" customWidth="1"/>
    <col min="14607" max="14607" width="10.625" style="2998" customWidth="1"/>
    <col min="14608" max="14608" width="16" style="2998" customWidth="1"/>
    <col min="14609" max="14609" width="14.375" style="2998" customWidth="1"/>
    <col min="14610" max="14610" width="6.25" style="2998" customWidth="1"/>
    <col min="14611" max="14612" width="7.875" style="2998" customWidth="1"/>
    <col min="14613" max="14848" width="9" style="2998"/>
    <col min="14849" max="14849" width="52.5" style="2998" customWidth="1"/>
    <col min="14850" max="14850" width="6.25" style="2998" customWidth="1"/>
    <col min="14851" max="14851" width="11.75" style="2998" customWidth="1"/>
    <col min="14852" max="14852" width="4.625" style="2998" customWidth="1"/>
    <col min="14853" max="14853" width="52.5" style="2998" customWidth="1"/>
    <col min="14854" max="14854" width="7.875" style="2998" customWidth="1"/>
    <col min="14855" max="14855" width="10" style="2998" customWidth="1"/>
    <col min="14856" max="14856" width="21.5" style="2998" customWidth="1"/>
    <col min="14857" max="14858" width="13.875" style="2998" customWidth="1"/>
    <col min="14859" max="14859" width="6.375" style="2998" customWidth="1"/>
    <col min="14860" max="14860" width="9" style="2998" customWidth="1"/>
    <col min="14861" max="14861" width="33.625" style="2998" customWidth="1"/>
    <col min="14862" max="14862" width="50.25" style="2998" customWidth="1"/>
    <col min="14863" max="14863" width="10.625" style="2998" customWidth="1"/>
    <col min="14864" max="14864" width="16" style="2998" customWidth="1"/>
    <col min="14865" max="14865" width="14.375" style="2998" customWidth="1"/>
    <col min="14866" max="14866" width="6.25" style="2998" customWidth="1"/>
    <col min="14867" max="14868" width="7.875" style="2998" customWidth="1"/>
    <col min="14869" max="15104" width="9" style="2998"/>
    <col min="15105" max="15105" width="52.5" style="2998" customWidth="1"/>
    <col min="15106" max="15106" width="6.25" style="2998" customWidth="1"/>
    <col min="15107" max="15107" width="11.75" style="2998" customWidth="1"/>
    <col min="15108" max="15108" width="4.625" style="2998" customWidth="1"/>
    <col min="15109" max="15109" width="52.5" style="2998" customWidth="1"/>
    <col min="15110" max="15110" width="7.875" style="2998" customWidth="1"/>
    <col min="15111" max="15111" width="10" style="2998" customWidth="1"/>
    <col min="15112" max="15112" width="21.5" style="2998" customWidth="1"/>
    <col min="15113" max="15114" width="13.875" style="2998" customWidth="1"/>
    <col min="15115" max="15115" width="6.375" style="2998" customWidth="1"/>
    <col min="15116" max="15116" width="9" style="2998" customWidth="1"/>
    <col min="15117" max="15117" width="33.625" style="2998" customWidth="1"/>
    <col min="15118" max="15118" width="50.25" style="2998" customWidth="1"/>
    <col min="15119" max="15119" width="10.625" style="2998" customWidth="1"/>
    <col min="15120" max="15120" width="16" style="2998" customWidth="1"/>
    <col min="15121" max="15121" width="14.375" style="2998" customWidth="1"/>
    <col min="15122" max="15122" width="6.25" style="2998" customWidth="1"/>
    <col min="15123" max="15124" width="7.875" style="2998" customWidth="1"/>
    <col min="15125" max="15360" width="9" style="2998"/>
    <col min="15361" max="15361" width="52.5" style="2998" customWidth="1"/>
    <col min="15362" max="15362" width="6.25" style="2998" customWidth="1"/>
    <col min="15363" max="15363" width="11.75" style="2998" customWidth="1"/>
    <col min="15364" max="15364" width="4.625" style="2998" customWidth="1"/>
    <col min="15365" max="15365" width="52.5" style="2998" customWidth="1"/>
    <col min="15366" max="15366" width="7.875" style="2998" customWidth="1"/>
    <col min="15367" max="15367" width="10" style="2998" customWidth="1"/>
    <col min="15368" max="15368" width="21.5" style="2998" customWidth="1"/>
    <col min="15369" max="15370" width="13.875" style="2998" customWidth="1"/>
    <col min="15371" max="15371" width="6.375" style="2998" customWidth="1"/>
    <col min="15372" max="15372" width="9" style="2998" customWidth="1"/>
    <col min="15373" max="15373" width="33.625" style="2998" customWidth="1"/>
    <col min="15374" max="15374" width="50.25" style="2998" customWidth="1"/>
    <col min="15375" max="15375" width="10.625" style="2998" customWidth="1"/>
    <col min="15376" max="15376" width="16" style="2998" customWidth="1"/>
    <col min="15377" max="15377" width="14.375" style="2998" customWidth="1"/>
    <col min="15378" max="15378" width="6.25" style="2998" customWidth="1"/>
    <col min="15379" max="15380" width="7.875" style="2998" customWidth="1"/>
    <col min="15381" max="15616" width="9" style="2998"/>
    <col min="15617" max="15617" width="52.5" style="2998" customWidth="1"/>
    <col min="15618" max="15618" width="6.25" style="2998" customWidth="1"/>
    <col min="15619" max="15619" width="11.75" style="2998" customWidth="1"/>
    <col min="15620" max="15620" width="4.625" style="2998" customWidth="1"/>
    <col min="15621" max="15621" width="52.5" style="2998" customWidth="1"/>
    <col min="15622" max="15622" width="7.875" style="2998" customWidth="1"/>
    <col min="15623" max="15623" width="10" style="2998" customWidth="1"/>
    <col min="15624" max="15624" width="21.5" style="2998" customWidth="1"/>
    <col min="15625" max="15626" width="13.875" style="2998" customWidth="1"/>
    <col min="15627" max="15627" width="6.375" style="2998" customWidth="1"/>
    <col min="15628" max="15628" width="9" style="2998" customWidth="1"/>
    <col min="15629" max="15629" width="33.625" style="2998" customWidth="1"/>
    <col min="15630" max="15630" width="50.25" style="2998" customWidth="1"/>
    <col min="15631" max="15631" width="10.625" style="2998" customWidth="1"/>
    <col min="15632" max="15632" width="16" style="2998" customWidth="1"/>
    <col min="15633" max="15633" width="14.375" style="2998" customWidth="1"/>
    <col min="15634" max="15634" width="6.25" style="2998" customWidth="1"/>
    <col min="15635" max="15636" width="7.875" style="2998" customWidth="1"/>
    <col min="15637" max="15872" width="9" style="2998"/>
    <col min="15873" max="15873" width="52.5" style="2998" customWidth="1"/>
    <col min="15874" max="15874" width="6.25" style="2998" customWidth="1"/>
    <col min="15875" max="15875" width="11.75" style="2998" customWidth="1"/>
    <col min="15876" max="15876" width="4.625" style="2998" customWidth="1"/>
    <col min="15877" max="15877" width="52.5" style="2998" customWidth="1"/>
    <col min="15878" max="15878" width="7.875" style="2998" customWidth="1"/>
    <col min="15879" max="15879" width="10" style="2998" customWidth="1"/>
    <col min="15880" max="15880" width="21.5" style="2998" customWidth="1"/>
    <col min="15881" max="15882" width="13.875" style="2998" customWidth="1"/>
    <col min="15883" max="15883" width="6.375" style="2998" customWidth="1"/>
    <col min="15884" max="15884" width="9" style="2998" customWidth="1"/>
    <col min="15885" max="15885" width="33.625" style="2998" customWidth="1"/>
    <col min="15886" max="15886" width="50.25" style="2998" customWidth="1"/>
    <col min="15887" max="15887" width="10.625" style="2998" customWidth="1"/>
    <col min="15888" max="15888" width="16" style="2998" customWidth="1"/>
    <col min="15889" max="15889" width="14.375" style="2998" customWidth="1"/>
    <col min="15890" max="15890" width="6.25" style="2998" customWidth="1"/>
    <col min="15891" max="15892" width="7.875" style="2998" customWidth="1"/>
    <col min="15893" max="16128" width="9" style="2998"/>
    <col min="16129" max="16129" width="52.5" style="2998" customWidth="1"/>
    <col min="16130" max="16130" width="6.25" style="2998" customWidth="1"/>
    <col min="16131" max="16131" width="11.75" style="2998" customWidth="1"/>
    <col min="16132" max="16132" width="4.625" style="2998" customWidth="1"/>
    <col min="16133" max="16133" width="52.5" style="2998" customWidth="1"/>
    <col min="16134" max="16134" width="7.875" style="2998" customWidth="1"/>
    <col min="16135" max="16135" width="10" style="2998" customWidth="1"/>
    <col min="16136" max="16136" width="21.5" style="2998" customWidth="1"/>
    <col min="16137" max="16138" width="13.875" style="2998" customWidth="1"/>
    <col min="16139" max="16139" width="6.375" style="2998" customWidth="1"/>
    <col min="16140" max="16140" width="9" style="2998" customWidth="1"/>
    <col min="16141" max="16141" width="33.625" style="2998" customWidth="1"/>
    <col min="16142" max="16142" width="50.25" style="2998" customWidth="1"/>
    <col min="16143" max="16143" width="10.625" style="2998" customWidth="1"/>
    <col min="16144" max="16144" width="16" style="2998" customWidth="1"/>
    <col min="16145" max="16145" width="14.375" style="2998" customWidth="1"/>
    <col min="16146" max="16146" width="6.25" style="2998" customWidth="1"/>
    <col min="16147" max="16148" width="7.875" style="2998" customWidth="1"/>
    <col min="16149" max="16384" width="9" style="2998"/>
  </cols>
  <sheetData>
    <row r="1" spans="1:20">
      <c r="A1" s="2998" t="s">
        <v>3148</v>
      </c>
      <c r="B1" s="2998" t="s">
        <v>3149</v>
      </c>
      <c r="C1" s="2998" t="s">
        <v>3150</v>
      </c>
      <c r="D1" s="2998" t="s">
        <v>3151</v>
      </c>
      <c r="E1" s="2998" t="s">
        <v>3152</v>
      </c>
      <c r="F1" s="2998" t="s">
        <v>3153</v>
      </c>
      <c r="G1" s="2998" t="s">
        <v>3154</v>
      </c>
      <c r="H1" s="2998" t="s">
        <v>3155</v>
      </c>
      <c r="I1" s="2998" t="s">
        <v>3156</v>
      </c>
      <c r="J1" s="2998" t="s">
        <v>3157</v>
      </c>
      <c r="K1" s="2998" t="s">
        <v>3158</v>
      </c>
      <c r="L1" s="2998" t="s">
        <v>3159</v>
      </c>
      <c r="M1" s="2998" t="s">
        <v>3160</v>
      </c>
      <c r="N1" s="2998" t="s">
        <v>3161</v>
      </c>
      <c r="O1" s="2998" t="s">
        <v>3162</v>
      </c>
      <c r="P1" s="2998" t="s">
        <v>3163</v>
      </c>
      <c r="Q1" s="2998" t="s">
        <v>3164</v>
      </c>
      <c r="R1" s="2998" t="s">
        <v>3165</v>
      </c>
      <c r="S1" s="2998" t="s">
        <v>3166</v>
      </c>
      <c r="T1" s="2998" t="s">
        <v>3167</v>
      </c>
    </row>
    <row r="2" spans="1:20" hidden="1">
      <c r="A2" s="2998" t="s">
        <v>3168</v>
      </c>
      <c r="B2" s="2998" t="s">
        <v>3169</v>
      </c>
      <c r="C2" s="2998" t="s">
        <v>3170</v>
      </c>
      <c r="D2" s="2998" t="s">
        <v>1327</v>
      </c>
      <c r="E2" s="2998" t="s">
        <v>3168</v>
      </c>
      <c r="F2" s="2998" t="s">
        <v>3171</v>
      </c>
      <c r="G2" s="2998" t="s">
        <v>3172</v>
      </c>
      <c r="H2" s="2998" t="s">
        <v>3173</v>
      </c>
      <c r="I2" s="2998">
        <v>2403.1</v>
      </c>
      <c r="J2" s="2998">
        <v>1201.55</v>
      </c>
      <c r="K2" s="2998" t="s">
        <v>3174</v>
      </c>
      <c r="L2" s="2998" t="s">
        <v>3175</v>
      </c>
      <c r="M2" s="2998" t="s">
        <v>3176</v>
      </c>
      <c r="N2" s="2998" t="s">
        <v>3177</v>
      </c>
      <c r="O2" s="2998">
        <v>2088</v>
      </c>
      <c r="P2" s="2998">
        <v>579.25</v>
      </c>
      <c r="Q2" s="2998">
        <v>17377.54</v>
      </c>
      <c r="R2" s="2998">
        <v>4.4000000000000004</v>
      </c>
      <c r="S2" s="2998" t="s">
        <v>3178</v>
      </c>
      <c r="T2" s="2998" t="s">
        <v>3179</v>
      </c>
    </row>
    <row r="3" spans="1:20" hidden="1">
      <c r="A3" s="2998" t="s">
        <v>3180</v>
      </c>
      <c r="B3" s="2998" t="s">
        <v>3169</v>
      </c>
      <c r="C3" s="2998" t="s">
        <v>3170</v>
      </c>
      <c r="D3" s="2998" t="s">
        <v>1327</v>
      </c>
      <c r="E3" s="2998" t="s">
        <v>3180</v>
      </c>
      <c r="F3" s="2998" t="s">
        <v>3171</v>
      </c>
      <c r="G3" s="2998" t="s">
        <v>3181</v>
      </c>
      <c r="H3" s="2998" t="s">
        <v>3173</v>
      </c>
      <c r="I3" s="2998">
        <v>3291.9</v>
      </c>
      <c r="J3" s="2998">
        <v>1645.95</v>
      </c>
      <c r="K3" s="2998" t="s">
        <v>3174</v>
      </c>
      <c r="L3" s="2998" t="s">
        <v>3182</v>
      </c>
      <c r="M3" s="2998" t="s">
        <v>3183</v>
      </c>
      <c r="N3" s="2998" t="s">
        <v>3184</v>
      </c>
      <c r="O3" s="2998">
        <v>2471</v>
      </c>
      <c r="P3" s="2998">
        <v>500.42</v>
      </c>
      <c r="Q3" s="2998">
        <v>15012.61</v>
      </c>
      <c r="R3" s="2998">
        <v>4.4400000000000004</v>
      </c>
      <c r="S3" s="2998" t="s">
        <v>3178</v>
      </c>
      <c r="T3" s="2998" t="s">
        <v>3185</v>
      </c>
    </row>
    <row r="4" spans="1:20">
      <c r="A4" s="2998" t="s">
        <v>3186</v>
      </c>
      <c r="B4" s="2998" t="s">
        <v>3169</v>
      </c>
      <c r="C4" s="2998" t="s">
        <v>3170</v>
      </c>
      <c r="D4" s="2998" t="s">
        <v>1327</v>
      </c>
      <c r="E4" s="2998" t="s">
        <v>3186</v>
      </c>
      <c r="F4" s="2998" t="s">
        <v>3171</v>
      </c>
      <c r="G4" s="2998" t="s">
        <v>3187</v>
      </c>
      <c r="H4" s="2998" t="s">
        <v>3188</v>
      </c>
      <c r="I4" s="2998">
        <v>22250.3</v>
      </c>
      <c r="J4" s="2998">
        <v>33375.449999999997</v>
      </c>
      <c r="K4" s="2998" t="s">
        <v>3189</v>
      </c>
      <c r="L4" s="2998" t="s">
        <v>3190</v>
      </c>
      <c r="M4" s="2998" t="s">
        <v>3191</v>
      </c>
      <c r="N4" s="2998" t="s">
        <v>3192</v>
      </c>
      <c r="O4" s="2998">
        <v>19457.88</v>
      </c>
      <c r="P4" s="2998">
        <v>583</v>
      </c>
      <c r="Q4" s="2998">
        <v>5830</v>
      </c>
      <c r="R4" s="2998" t="s">
        <v>1327</v>
      </c>
      <c r="S4" s="2998" t="s">
        <v>3178</v>
      </c>
      <c r="T4" s="2998" t="s">
        <v>3193</v>
      </c>
    </row>
    <row r="5" spans="1:20">
      <c r="A5" s="2998" t="s">
        <v>3194</v>
      </c>
      <c r="B5" s="2998" t="s">
        <v>3169</v>
      </c>
      <c r="C5" s="2998" t="s">
        <v>3170</v>
      </c>
      <c r="D5" s="2998" t="s">
        <v>1327</v>
      </c>
      <c r="E5" s="2998" t="s">
        <v>3194</v>
      </c>
      <c r="F5" s="2998" t="s">
        <v>3171</v>
      </c>
      <c r="G5" s="2998" t="s">
        <v>3195</v>
      </c>
      <c r="H5" s="2998" t="s">
        <v>3188</v>
      </c>
      <c r="I5" s="2998">
        <v>67394.7</v>
      </c>
      <c r="J5" s="2998">
        <v>67394.7</v>
      </c>
      <c r="K5" s="2998" t="s">
        <v>3196</v>
      </c>
      <c r="L5" s="2998" t="s">
        <v>3197</v>
      </c>
      <c r="M5" s="2998" t="s">
        <v>3198</v>
      </c>
      <c r="N5" s="3000" t="s">
        <v>3303</v>
      </c>
      <c r="O5" s="2998">
        <v>46205.8</v>
      </c>
      <c r="P5" s="2998">
        <v>457.07</v>
      </c>
      <c r="Q5" s="2998">
        <v>6856</v>
      </c>
      <c r="R5" s="2998">
        <v>49.83</v>
      </c>
      <c r="S5" s="2998" t="s">
        <v>3178</v>
      </c>
      <c r="T5" s="2998" t="s">
        <v>3193</v>
      </c>
    </row>
    <row r="6" spans="1:20" hidden="1">
      <c r="A6" s="2998" t="s">
        <v>3199</v>
      </c>
      <c r="B6" s="2998" t="s">
        <v>3169</v>
      </c>
      <c r="C6" s="2998" t="s">
        <v>3170</v>
      </c>
      <c r="D6" s="2998" t="s">
        <v>1327</v>
      </c>
      <c r="E6" s="2998" t="s">
        <v>3199</v>
      </c>
      <c r="F6" s="2998" t="s">
        <v>3171</v>
      </c>
      <c r="G6" s="2998" t="s">
        <v>3200</v>
      </c>
      <c r="H6" s="2998" t="s">
        <v>3188</v>
      </c>
      <c r="I6" s="2998">
        <v>2128</v>
      </c>
      <c r="J6" s="2998">
        <v>744.8</v>
      </c>
      <c r="K6" s="2998" t="s">
        <v>3201</v>
      </c>
      <c r="L6" s="2998" t="s">
        <v>3202</v>
      </c>
      <c r="M6" s="2998" t="s">
        <v>3203</v>
      </c>
      <c r="N6" s="2998" t="s">
        <v>3204</v>
      </c>
      <c r="O6" s="2998">
        <v>1032</v>
      </c>
      <c r="P6" s="2998">
        <v>323.31</v>
      </c>
      <c r="Q6" s="2998">
        <v>13856.06</v>
      </c>
      <c r="R6" s="2998">
        <v>4.7699999999999996</v>
      </c>
      <c r="S6" s="2998" t="s">
        <v>3178</v>
      </c>
      <c r="T6" s="2998" t="s">
        <v>3205</v>
      </c>
    </row>
    <row r="7" spans="1:20">
      <c r="A7" s="2998" t="s">
        <v>3206</v>
      </c>
      <c r="B7" s="2998" t="s">
        <v>3169</v>
      </c>
      <c r="C7" s="2998" t="s">
        <v>3170</v>
      </c>
      <c r="D7" s="2998" t="s">
        <v>1327</v>
      </c>
      <c r="E7" s="2998" t="s">
        <v>3206</v>
      </c>
      <c r="F7" s="2998" t="s">
        <v>3171</v>
      </c>
      <c r="G7" s="2998" t="s">
        <v>3207</v>
      </c>
      <c r="H7" s="2998" t="s">
        <v>3188</v>
      </c>
      <c r="I7" s="2998">
        <v>16463.5</v>
      </c>
      <c r="J7" s="2998">
        <v>115244.5</v>
      </c>
      <c r="K7" s="2998">
        <v>7</v>
      </c>
      <c r="L7" s="2998" t="s">
        <v>3208</v>
      </c>
      <c r="M7" s="2998" t="s">
        <v>3209</v>
      </c>
      <c r="N7" s="2998" t="s">
        <v>3210</v>
      </c>
      <c r="O7" s="2998">
        <v>35276.33</v>
      </c>
      <c r="P7" s="2998">
        <v>1428.47</v>
      </c>
      <c r="Q7" s="2998">
        <v>3061</v>
      </c>
      <c r="R7" s="2998">
        <v>2.0299999999999998</v>
      </c>
      <c r="S7" s="2998" t="s">
        <v>3178</v>
      </c>
      <c r="T7" s="2998" t="s">
        <v>3193</v>
      </c>
    </row>
    <row r="8" spans="1:20" hidden="1">
      <c r="A8" s="2998" t="s">
        <v>3211</v>
      </c>
      <c r="B8" s="2998" t="s">
        <v>3169</v>
      </c>
      <c r="C8" s="2998" t="s">
        <v>3170</v>
      </c>
      <c r="D8" s="2998" t="s">
        <v>1327</v>
      </c>
      <c r="E8" s="2998" t="s">
        <v>3211</v>
      </c>
      <c r="F8" s="2998" t="s">
        <v>3171</v>
      </c>
      <c r="G8" s="2998" t="s">
        <v>3212</v>
      </c>
      <c r="H8" s="2998" t="s">
        <v>3188</v>
      </c>
      <c r="I8" s="2998">
        <v>2637.77</v>
      </c>
      <c r="J8" s="2998">
        <v>1318.89</v>
      </c>
      <c r="K8" s="2998" t="s">
        <v>3213</v>
      </c>
      <c r="L8" s="2998" t="s">
        <v>3214</v>
      </c>
      <c r="M8" s="2998" t="s">
        <v>3215</v>
      </c>
      <c r="N8" s="2998" t="s">
        <v>3216</v>
      </c>
      <c r="O8" s="2998">
        <v>1422</v>
      </c>
      <c r="P8" s="2998">
        <v>359.39</v>
      </c>
      <c r="Q8" s="2998">
        <v>10781.79</v>
      </c>
      <c r="R8" s="2998">
        <v>4.5599999999999996</v>
      </c>
      <c r="S8" s="2998" t="s">
        <v>3178</v>
      </c>
      <c r="T8" s="2998" t="s">
        <v>3179</v>
      </c>
    </row>
    <row r="9" spans="1:20">
      <c r="A9" s="2998" t="s">
        <v>3217</v>
      </c>
      <c r="B9" s="2998" t="s">
        <v>3169</v>
      </c>
      <c r="C9" s="2998" t="s">
        <v>3170</v>
      </c>
      <c r="D9" s="2998" t="s">
        <v>1327</v>
      </c>
      <c r="E9" s="2998" t="s">
        <v>3217</v>
      </c>
      <c r="F9" s="2998" t="s">
        <v>3171</v>
      </c>
      <c r="G9" s="2998" t="s">
        <v>3218</v>
      </c>
      <c r="H9" s="2998" t="s">
        <v>3188</v>
      </c>
      <c r="I9" s="2998">
        <v>17099.400000000001</v>
      </c>
      <c r="J9" s="2998">
        <v>42748.5</v>
      </c>
      <c r="K9" s="2998" t="s">
        <v>3219</v>
      </c>
      <c r="L9" s="2998" t="s">
        <v>3220</v>
      </c>
      <c r="M9" s="2998" t="s">
        <v>3221</v>
      </c>
      <c r="N9" s="2998" t="s">
        <v>3222</v>
      </c>
      <c r="O9" s="2998">
        <v>8451.3700000000008</v>
      </c>
      <c r="P9" s="2998">
        <v>329.5</v>
      </c>
      <c r="Q9" s="2998">
        <v>1977</v>
      </c>
      <c r="R9" s="2998">
        <v>3.51</v>
      </c>
      <c r="S9" s="2998" t="s">
        <v>3178</v>
      </c>
      <c r="T9" s="2998" t="s">
        <v>3223</v>
      </c>
    </row>
    <row r="10" spans="1:20">
      <c r="A10" s="2998" t="s">
        <v>3217</v>
      </c>
      <c r="B10" s="2998" t="s">
        <v>3169</v>
      </c>
      <c r="C10" s="2998" t="s">
        <v>3170</v>
      </c>
      <c r="D10" s="2998" t="s">
        <v>1327</v>
      </c>
      <c r="E10" s="2998" t="s">
        <v>3217</v>
      </c>
      <c r="F10" s="2998" t="s">
        <v>3171</v>
      </c>
      <c r="G10" s="2998" t="s">
        <v>3224</v>
      </c>
      <c r="H10" s="2998" t="s">
        <v>3188</v>
      </c>
      <c r="I10" s="2998">
        <v>18658.7</v>
      </c>
      <c r="J10" s="2998">
        <v>37317.4</v>
      </c>
      <c r="K10" s="2998" t="s">
        <v>3225</v>
      </c>
      <c r="L10" s="2998" t="s">
        <v>3220</v>
      </c>
      <c r="M10" s="2998" t="s">
        <v>3226</v>
      </c>
      <c r="N10" s="2998" t="s">
        <v>3222</v>
      </c>
      <c r="O10" s="2998">
        <v>7963.52</v>
      </c>
      <c r="P10" s="2998">
        <v>284.52999999999997</v>
      </c>
      <c r="Q10" s="2998">
        <v>2134</v>
      </c>
      <c r="R10" s="2998">
        <v>3.59</v>
      </c>
      <c r="S10" s="2998" t="s">
        <v>3178</v>
      </c>
      <c r="T10" s="2998" t="s">
        <v>3179</v>
      </c>
    </row>
    <row r="11" spans="1:20">
      <c r="A11" s="2998" t="s">
        <v>3227</v>
      </c>
      <c r="B11" s="2998" t="s">
        <v>3169</v>
      </c>
      <c r="C11" s="2998" t="s">
        <v>3170</v>
      </c>
      <c r="D11" s="2998" t="s">
        <v>1327</v>
      </c>
      <c r="E11" s="2998" t="s">
        <v>3227</v>
      </c>
      <c r="F11" s="2998" t="s">
        <v>3171</v>
      </c>
      <c r="G11" s="2998" t="s">
        <v>3228</v>
      </c>
      <c r="H11" s="2998" t="s">
        <v>3188</v>
      </c>
      <c r="I11" s="2998">
        <v>2960.9</v>
      </c>
      <c r="J11" s="2998">
        <v>1480.45</v>
      </c>
      <c r="K11" s="2998" t="s">
        <v>3174</v>
      </c>
      <c r="L11" s="2998" t="s">
        <v>3229</v>
      </c>
      <c r="M11" s="2998" t="s">
        <v>3230</v>
      </c>
      <c r="N11" s="2998" t="s">
        <v>3231</v>
      </c>
      <c r="O11" s="2998">
        <v>1599</v>
      </c>
      <c r="P11" s="2998">
        <v>360.03</v>
      </c>
      <c r="Q11" s="2998">
        <v>10800.77</v>
      </c>
      <c r="R11" s="2998">
        <v>4.51</v>
      </c>
      <c r="S11" s="2998" t="s">
        <v>3178</v>
      </c>
      <c r="T11" s="2998" t="s">
        <v>3193</v>
      </c>
    </row>
    <row r="12" spans="1:20" s="3016" customFormat="1">
      <c r="A12" s="3016" t="s">
        <v>3232</v>
      </c>
      <c r="B12" s="3016" t="s">
        <v>3169</v>
      </c>
      <c r="C12" s="3016" t="s">
        <v>3170</v>
      </c>
      <c r="D12" s="3016" t="s">
        <v>1327</v>
      </c>
      <c r="E12" s="3016" t="s">
        <v>3232</v>
      </c>
      <c r="F12" s="3016" t="s">
        <v>3171</v>
      </c>
      <c r="G12" s="3016" t="s">
        <v>3233</v>
      </c>
      <c r="H12" s="3016" t="s">
        <v>3188</v>
      </c>
      <c r="I12" s="3016">
        <v>15205.4</v>
      </c>
      <c r="J12" s="3016">
        <v>38013.5</v>
      </c>
      <c r="K12" s="3016" t="s">
        <v>3219</v>
      </c>
      <c r="L12" s="3016" t="s">
        <v>3234</v>
      </c>
      <c r="M12" s="3016" t="s">
        <v>3235</v>
      </c>
      <c r="N12" s="3016" t="s">
        <v>3236</v>
      </c>
      <c r="O12" s="3016">
        <v>10902.27</v>
      </c>
      <c r="P12" s="3016">
        <v>478</v>
      </c>
      <c r="Q12" s="3016">
        <v>2868</v>
      </c>
      <c r="R12" s="3016">
        <v>3.17</v>
      </c>
      <c r="S12" s="3016" t="s">
        <v>3178</v>
      </c>
      <c r="T12" s="3016" t="s">
        <v>3193</v>
      </c>
    </row>
    <row r="13" spans="1:20" s="2999" customFormat="1">
      <c r="A13" s="2999" t="s">
        <v>3232</v>
      </c>
      <c r="B13" s="2999" t="s">
        <v>3169</v>
      </c>
      <c r="C13" s="2999" t="s">
        <v>3170</v>
      </c>
      <c r="D13" s="2999" t="s">
        <v>1327</v>
      </c>
      <c r="E13" s="2999" t="s">
        <v>3232</v>
      </c>
      <c r="F13" s="2999" t="s">
        <v>3171</v>
      </c>
      <c r="G13" s="2999" t="s">
        <v>3237</v>
      </c>
      <c r="H13" s="2999" t="s">
        <v>3188</v>
      </c>
      <c r="I13" s="2999">
        <v>8456.9</v>
      </c>
      <c r="J13" s="2999">
        <v>25370.7</v>
      </c>
      <c r="K13" s="2999" t="s">
        <v>3238</v>
      </c>
      <c r="L13" s="2999" t="s">
        <v>3234</v>
      </c>
      <c r="M13" s="2999" t="s">
        <v>3239</v>
      </c>
      <c r="N13" s="2999" t="s">
        <v>3240</v>
      </c>
      <c r="O13" s="2999">
        <v>6647.11</v>
      </c>
      <c r="P13" s="2999">
        <v>524</v>
      </c>
      <c r="Q13" s="2999">
        <v>2620</v>
      </c>
      <c r="R13" s="2999">
        <v>7.38</v>
      </c>
      <c r="S13" s="2999" t="s">
        <v>3178</v>
      </c>
      <c r="T13" s="2999" t="s">
        <v>3193</v>
      </c>
    </row>
    <row r="14" spans="1:20" s="2999" customFormat="1">
      <c r="A14" s="2999" t="s">
        <v>3232</v>
      </c>
      <c r="B14" s="2999" t="s">
        <v>3169</v>
      </c>
      <c r="C14" s="2999" t="s">
        <v>3170</v>
      </c>
      <c r="D14" s="2999" t="s">
        <v>1327</v>
      </c>
      <c r="E14" s="2999" t="s">
        <v>3232</v>
      </c>
      <c r="F14" s="2999" t="s">
        <v>3171</v>
      </c>
      <c r="G14" s="2999" t="s">
        <v>3241</v>
      </c>
      <c r="H14" s="2999" t="s">
        <v>3188</v>
      </c>
      <c r="I14" s="2999">
        <v>84475.6</v>
      </c>
      <c r="J14" s="2999">
        <v>295664.59999999998</v>
      </c>
      <c r="K14" s="2999" t="s">
        <v>3242</v>
      </c>
      <c r="L14" s="2999" t="s">
        <v>3234</v>
      </c>
      <c r="M14" s="2999" t="s">
        <v>3243</v>
      </c>
      <c r="N14" s="2999" t="s">
        <v>3236</v>
      </c>
      <c r="O14" s="2999">
        <v>65312.3</v>
      </c>
      <c r="P14" s="2999">
        <v>515.42999999999995</v>
      </c>
      <c r="Q14" s="2999">
        <v>2209</v>
      </c>
      <c r="R14" s="2999">
        <v>1.8</v>
      </c>
      <c r="S14" s="2999" t="s">
        <v>3178</v>
      </c>
      <c r="T14" s="2999" t="s">
        <v>3193</v>
      </c>
    </row>
    <row r="15" spans="1:20" s="2999" customFormat="1">
      <c r="A15" s="2999" t="s">
        <v>3232</v>
      </c>
      <c r="B15" s="2999" t="s">
        <v>3169</v>
      </c>
      <c r="C15" s="2999" t="s">
        <v>3170</v>
      </c>
      <c r="D15" s="2999" t="s">
        <v>1327</v>
      </c>
      <c r="E15" s="2999" t="s">
        <v>3232</v>
      </c>
      <c r="F15" s="2999" t="s">
        <v>3171</v>
      </c>
      <c r="G15" s="2999" t="s">
        <v>3244</v>
      </c>
      <c r="H15" s="2999" t="s">
        <v>3188</v>
      </c>
      <c r="I15" s="2999">
        <v>12324.9</v>
      </c>
      <c r="J15" s="2999">
        <v>36974.699999999997</v>
      </c>
      <c r="K15" s="2999" t="s">
        <v>3238</v>
      </c>
      <c r="L15" s="2999" t="s">
        <v>3234</v>
      </c>
      <c r="M15" s="2999" t="s">
        <v>3245</v>
      </c>
      <c r="N15" s="2999" t="s">
        <v>3236</v>
      </c>
      <c r="O15" s="2999">
        <v>8759.2999999999993</v>
      </c>
      <c r="P15" s="2999">
        <v>473.8</v>
      </c>
      <c r="Q15" s="2999">
        <v>2369</v>
      </c>
      <c r="R15" s="2999">
        <v>3.45</v>
      </c>
      <c r="S15" s="2999" t="s">
        <v>3178</v>
      </c>
      <c r="T15" s="2999" t="s">
        <v>3193</v>
      </c>
    </row>
    <row r="16" spans="1:20" hidden="1">
      <c r="A16" s="2998" t="s">
        <v>3246</v>
      </c>
      <c r="B16" s="2998" t="s">
        <v>3169</v>
      </c>
      <c r="C16" s="2998" t="s">
        <v>3170</v>
      </c>
      <c r="D16" s="2998" t="s">
        <v>1327</v>
      </c>
      <c r="E16" s="2998" t="s">
        <v>3246</v>
      </c>
      <c r="F16" s="2998" t="s">
        <v>3171</v>
      </c>
      <c r="G16" s="2998" t="s">
        <v>3247</v>
      </c>
      <c r="H16" s="2998" t="s">
        <v>3188</v>
      </c>
      <c r="I16" s="2998">
        <v>2160</v>
      </c>
      <c r="J16" s="2998">
        <v>1728</v>
      </c>
      <c r="K16" s="2998" t="s">
        <v>3248</v>
      </c>
      <c r="L16" s="2998" t="s">
        <v>3249</v>
      </c>
      <c r="M16" s="2998" t="s">
        <v>3250</v>
      </c>
      <c r="N16" s="2998" t="s">
        <v>3204</v>
      </c>
      <c r="O16" s="2998">
        <v>1672</v>
      </c>
      <c r="P16" s="2998">
        <v>516.04999999999995</v>
      </c>
      <c r="Q16" s="2998">
        <v>9675.93</v>
      </c>
      <c r="R16" s="2998">
        <v>4.5</v>
      </c>
      <c r="S16" s="2998" t="s">
        <v>3178</v>
      </c>
      <c r="T16" s="2998" t="s">
        <v>3185</v>
      </c>
    </row>
    <row r="17" spans="1:20" hidden="1">
      <c r="A17" s="2998" t="s">
        <v>3251</v>
      </c>
      <c r="B17" s="2998" t="s">
        <v>3169</v>
      </c>
      <c r="C17" s="2998" t="s">
        <v>3170</v>
      </c>
      <c r="D17" s="2998" t="s">
        <v>1327</v>
      </c>
      <c r="E17" s="2998" t="s">
        <v>3251</v>
      </c>
      <c r="F17" s="2998" t="s">
        <v>3171</v>
      </c>
      <c r="G17" s="2998" t="s">
        <v>3252</v>
      </c>
      <c r="H17" s="2998" t="s">
        <v>3188</v>
      </c>
      <c r="I17" s="2998">
        <v>2953.7</v>
      </c>
      <c r="J17" s="2998">
        <v>2362.96</v>
      </c>
      <c r="K17" s="2998" t="s">
        <v>3248</v>
      </c>
      <c r="L17" s="2998" t="s">
        <v>3249</v>
      </c>
      <c r="M17" s="2998" t="s">
        <v>3253</v>
      </c>
      <c r="N17" s="2998" t="s">
        <v>3254</v>
      </c>
      <c r="O17" s="2998">
        <v>1256</v>
      </c>
      <c r="P17" s="2998">
        <v>283.49</v>
      </c>
      <c r="Q17" s="2998">
        <v>5315.36</v>
      </c>
      <c r="R17" s="2998">
        <v>4.67</v>
      </c>
      <c r="S17" s="2998" t="s">
        <v>3178</v>
      </c>
      <c r="T17" s="2998" t="s">
        <v>3223</v>
      </c>
    </row>
    <row r="18" spans="1:20">
      <c r="A18" s="2998" t="s">
        <v>3255</v>
      </c>
      <c r="B18" s="2998" t="s">
        <v>3169</v>
      </c>
      <c r="C18" s="2998" t="s">
        <v>3170</v>
      </c>
      <c r="D18" s="2998" t="s">
        <v>1327</v>
      </c>
      <c r="E18" s="2998" t="s">
        <v>3255</v>
      </c>
      <c r="F18" s="2998" t="s">
        <v>3171</v>
      </c>
      <c r="G18" s="2998" t="s">
        <v>3256</v>
      </c>
      <c r="H18" s="2998" t="s">
        <v>3188</v>
      </c>
      <c r="I18" s="2998">
        <v>33337.599999999999</v>
      </c>
      <c r="J18" s="2998">
        <v>166688</v>
      </c>
      <c r="K18" s="2998" t="s">
        <v>3257</v>
      </c>
      <c r="L18" s="2998" t="s">
        <v>3258</v>
      </c>
      <c r="M18" s="2998" t="s">
        <v>3259</v>
      </c>
      <c r="N18" s="2998" t="s">
        <v>3260</v>
      </c>
      <c r="O18" s="2998">
        <v>38421.58</v>
      </c>
      <c r="P18" s="2998">
        <v>768.33</v>
      </c>
      <c r="Q18" s="2998">
        <v>2305</v>
      </c>
      <c r="R18" s="2998" t="s">
        <v>1327</v>
      </c>
      <c r="S18" s="2998" t="s">
        <v>3178</v>
      </c>
      <c r="T18" s="2998" t="s">
        <v>3179</v>
      </c>
    </row>
    <row r="19" spans="1:20">
      <c r="A19" s="2998" t="s">
        <v>3261</v>
      </c>
      <c r="B19" s="2998" t="s">
        <v>3169</v>
      </c>
      <c r="C19" s="2998" t="s">
        <v>3170</v>
      </c>
      <c r="D19" s="2998" t="s">
        <v>1327</v>
      </c>
      <c r="E19" s="2998" t="s">
        <v>3261</v>
      </c>
      <c r="F19" s="2998" t="s">
        <v>3171</v>
      </c>
      <c r="G19" s="2998" t="s">
        <v>3262</v>
      </c>
      <c r="H19" s="2998" t="s">
        <v>3263</v>
      </c>
      <c r="I19" s="2998">
        <v>4019.3</v>
      </c>
      <c r="J19" s="2998">
        <v>2009.65</v>
      </c>
      <c r="K19" s="2998" t="s">
        <v>3174</v>
      </c>
      <c r="L19" s="2998" t="s">
        <v>3264</v>
      </c>
      <c r="M19" s="2998" t="s">
        <v>3265</v>
      </c>
      <c r="N19" s="2998" t="s">
        <v>3266</v>
      </c>
      <c r="O19" s="2998">
        <v>1295</v>
      </c>
      <c r="P19" s="2998">
        <v>214.8</v>
      </c>
      <c r="Q19" s="2998">
        <v>6443.9</v>
      </c>
      <c r="R19" s="2998">
        <v>3.6</v>
      </c>
      <c r="S19" s="2998" t="s">
        <v>3178</v>
      </c>
      <c r="T19" s="2998" t="s">
        <v>3193</v>
      </c>
    </row>
    <row r="20" spans="1:20">
      <c r="A20" s="2998" t="s">
        <v>3267</v>
      </c>
      <c r="B20" s="2998" t="s">
        <v>3169</v>
      </c>
      <c r="C20" s="2998" t="s">
        <v>3170</v>
      </c>
      <c r="D20" s="2998" t="s">
        <v>1327</v>
      </c>
      <c r="E20" s="2998" t="s">
        <v>3267</v>
      </c>
      <c r="F20" s="2998" t="s">
        <v>3268</v>
      </c>
      <c r="G20" s="2998" t="s">
        <v>3269</v>
      </c>
      <c r="H20" s="2998" t="s">
        <v>3263</v>
      </c>
      <c r="I20" s="2998">
        <v>41473.1</v>
      </c>
      <c r="J20" s="2998">
        <v>41473.1</v>
      </c>
      <c r="K20" s="2998" t="s">
        <v>3196</v>
      </c>
      <c r="L20" s="2998" t="s">
        <v>3270</v>
      </c>
      <c r="M20" s="2998" t="s">
        <v>3271</v>
      </c>
      <c r="N20" s="2998" t="s">
        <v>3272</v>
      </c>
      <c r="O20" s="2998">
        <v>19193.75</v>
      </c>
      <c r="P20" s="2998">
        <v>308.52999999999997</v>
      </c>
      <c r="Q20" s="2998">
        <v>4628</v>
      </c>
      <c r="R20" s="2998">
        <v>1.71</v>
      </c>
      <c r="S20" s="2998" t="s">
        <v>3178</v>
      </c>
      <c r="T20" s="2998" t="s">
        <v>3193</v>
      </c>
    </row>
    <row r="21" spans="1:20">
      <c r="A21" s="2998" t="s">
        <v>3273</v>
      </c>
      <c r="B21" s="2998" t="s">
        <v>3169</v>
      </c>
      <c r="C21" s="2998" t="s">
        <v>3170</v>
      </c>
      <c r="D21" s="2998" t="s">
        <v>1327</v>
      </c>
      <c r="E21" s="2998" t="s">
        <v>3273</v>
      </c>
      <c r="F21" s="2998" t="s">
        <v>3268</v>
      </c>
      <c r="G21" s="2998" t="s">
        <v>3274</v>
      </c>
      <c r="H21" s="2998" t="s">
        <v>3263</v>
      </c>
      <c r="I21" s="2998">
        <v>37957</v>
      </c>
      <c r="J21" s="2998">
        <v>37957</v>
      </c>
      <c r="K21" s="2998" t="s">
        <v>3196</v>
      </c>
      <c r="L21" s="2998" t="s">
        <v>3270</v>
      </c>
      <c r="M21" s="2998" t="s">
        <v>3275</v>
      </c>
      <c r="N21" s="2998" t="s">
        <v>3272</v>
      </c>
      <c r="O21" s="2998">
        <v>17999.2</v>
      </c>
      <c r="P21" s="2998">
        <v>316.13</v>
      </c>
      <c r="Q21" s="2998">
        <v>4742</v>
      </c>
      <c r="R21" s="2998">
        <v>1.76</v>
      </c>
      <c r="S21" s="2998" t="s">
        <v>3178</v>
      </c>
      <c r="T21" s="2998" t="s">
        <v>3193</v>
      </c>
    </row>
    <row r="22" spans="1:20" hidden="1">
      <c r="A22" s="2998" t="s">
        <v>3276</v>
      </c>
      <c r="B22" s="2998" t="s">
        <v>3169</v>
      </c>
      <c r="C22" s="2998" t="s">
        <v>3170</v>
      </c>
      <c r="D22" s="2998" t="s">
        <v>1327</v>
      </c>
      <c r="E22" s="2998" t="s">
        <v>3276</v>
      </c>
      <c r="F22" s="2998" t="s">
        <v>3171</v>
      </c>
      <c r="G22" s="2998" t="s">
        <v>3277</v>
      </c>
      <c r="H22" s="2998" t="s">
        <v>3278</v>
      </c>
      <c r="I22" s="2998">
        <v>3000</v>
      </c>
      <c r="J22" s="2998">
        <v>900</v>
      </c>
      <c r="K22" s="2998">
        <v>0.3</v>
      </c>
      <c r="L22" s="2998" t="s">
        <v>3279</v>
      </c>
      <c r="M22" s="2998" t="s">
        <v>3280</v>
      </c>
      <c r="N22" s="2998" t="s">
        <v>3281</v>
      </c>
      <c r="O22" s="2998">
        <v>790</v>
      </c>
      <c r="P22" s="2998">
        <v>175.56</v>
      </c>
      <c r="Q22" s="2998">
        <v>8777.7800000000007</v>
      </c>
      <c r="R22" s="2998">
        <v>3.95</v>
      </c>
      <c r="S22" s="2998" t="s">
        <v>3178</v>
      </c>
      <c r="T22" s="2998" t="s">
        <v>3179</v>
      </c>
    </row>
    <row r="23" spans="1:20" hidden="1">
      <c r="A23" s="2998" t="s">
        <v>3282</v>
      </c>
      <c r="B23" s="2998" t="s">
        <v>3169</v>
      </c>
      <c r="C23" s="2998" t="s">
        <v>3170</v>
      </c>
      <c r="D23" s="2998" t="s">
        <v>1327</v>
      </c>
      <c r="E23" s="2998" t="s">
        <v>3282</v>
      </c>
      <c r="F23" s="2998" t="s">
        <v>3171</v>
      </c>
      <c r="G23" s="2998" t="s">
        <v>3283</v>
      </c>
      <c r="H23" s="2998" t="s">
        <v>3263</v>
      </c>
      <c r="I23" s="2998">
        <v>1909</v>
      </c>
      <c r="J23" s="2998">
        <v>763.6</v>
      </c>
      <c r="K23" s="2998" t="s">
        <v>3284</v>
      </c>
      <c r="L23" s="2998" t="s">
        <v>3285</v>
      </c>
      <c r="M23" s="2998" t="s">
        <v>3286</v>
      </c>
      <c r="N23" s="2998" t="s">
        <v>3216</v>
      </c>
      <c r="O23" s="2998">
        <v>1625</v>
      </c>
      <c r="P23" s="2998">
        <v>567.49</v>
      </c>
      <c r="Q23" s="2998">
        <v>21280.77</v>
      </c>
      <c r="R23" s="2998">
        <v>3.5</v>
      </c>
      <c r="S23" s="2998" t="s">
        <v>3178</v>
      </c>
      <c r="T23" s="2998" t="s">
        <v>3179</v>
      </c>
    </row>
    <row r="24" spans="1:20" hidden="1">
      <c r="A24" s="2998" t="s">
        <v>3287</v>
      </c>
      <c r="B24" s="2998" t="s">
        <v>3169</v>
      </c>
      <c r="C24" s="2998" t="s">
        <v>3170</v>
      </c>
      <c r="D24" s="2998" t="s">
        <v>1327</v>
      </c>
      <c r="E24" s="2998" t="s">
        <v>3287</v>
      </c>
      <c r="F24" s="2998" t="s">
        <v>3171</v>
      </c>
      <c r="G24" s="2998" t="s">
        <v>3288</v>
      </c>
      <c r="H24" s="2998" t="s">
        <v>3289</v>
      </c>
      <c r="I24" s="2998">
        <v>80571.39</v>
      </c>
      <c r="J24" s="2998">
        <v>120857.1</v>
      </c>
      <c r="K24" s="2998" t="s">
        <v>3290</v>
      </c>
      <c r="L24" s="2998" t="s">
        <v>3291</v>
      </c>
      <c r="M24" s="2998" t="s">
        <v>3292</v>
      </c>
      <c r="N24" s="2998" t="s">
        <v>3293</v>
      </c>
      <c r="O24" s="2998">
        <v>562</v>
      </c>
      <c r="P24" s="2998">
        <v>4.6500000000000004</v>
      </c>
      <c r="Q24" s="2998">
        <v>46.5</v>
      </c>
      <c r="R24" s="2998">
        <v>4.07</v>
      </c>
      <c r="S24" s="2998" t="s">
        <v>3178</v>
      </c>
      <c r="T24" s="2998" t="s">
        <v>3179</v>
      </c>
    </row>
    <row r="25" spans="1:20" hidden="1">
      <c r="A25" s="2998" t="s">
        <v>3294</v>
      </c>
      <c r="B25" s="2998" t="s">
        <v>3169</v>
      </c>
      <c r="C25" s="2998" t="s">
        <v>3170</v>
      </c>
      <c r="D25" s="2998" t="s">
        <v>1327</v>
      </c>
      <c r="E25" s="2998" t="s">
        <v>3294</v>
      </c>
      <c r="F25" s="2998" t="s">
        <v>3171</v>
      </c>
      <c r="G25" s="2998" t="s">
        <v>3295</v>
      </c>
      <c r="H25" s="2998" t="s">
        <v>3289</v>
      </c>
      <c r="I25" s="2998">
        <v>93318.47</v>
      </c>
      <c r="J25" s="2998">
        <v>139977.70000000001</v>
      </c>
      <c r="K25" s="2998" t="s">
        <v>3290</v>
      </c>
      <c r="L25" s="2998" t="s">
        <v>3291</v>
      </c>
      <c r="M25" s="2998" t="s">
        <v>3296</v>
      </c>
      <c r="N25" s="2998" t="s">
        <v>3293</v>
      </c>
      <c r="O25" s="2998">
        <v>1718</v>
      </c>
      <c r="P25" s="2998">
        <v>12.27</v>
      </c>
      <c r="Q25" s="2998">
        <v>122.73</v>
      </c>
      <c r="R25" s="2998">
        <v>3.49</v>
      </c>
      <c r="S25" s="2998" t="s">
        <v>3178</v>
      </c>
      <c r="T25" s="2998" t="s">
        <v>3179</v>
      </c>
    </row>
    <row r="26" spans="1:20">
      <c r="A26" s="2998" t="s">
        <v>3297</v>
      </c>
      <c r="B26" s="2998" t="s">
        <v>3169</v>
      </c>
      <c r="C26" s="2998" t="s">
        <v>3170</v>
      </c>
      <c r="D26" s="2998" t="s">
        <v>1327</v>
      </c>
      <c r="E26" s="2998" t="s">
        <v>3297</v>
      </c>
      <c r="F26" s="2998" t="s">
        <v>3171</v>
      </c>
      <c r="G26" s="2998" t="s">
        <v>3298</v>
      </c>
      <c r="H26" s="2998" t="s">
        <v>3263</v>
      </c>
      <c r="I26" s="2998">
        <v>41392.5</v>
      </c>
      <c r="J26" s="2998">
        <v>114243.3</v>
      </c>
      <c r="K26" s="2998" t="s">
        <v>3299</v>
      </c>
      <c r="L26" s="2998" t="s">
        <v>3300</v>
      </c>
      <c r="M26" s="2998" t="s">
        <v>3301</v>
      </c>
      <c r="N26" s="2998" t="s">
        <v>3302</v>
      </c>
      <c r="O26" s="2998">
        <v>17673.43</v>
      </c>
      <c r="P26" s="2998">
        <v>284.64999999999998</v>
      </c>
      <c r="Q26" s="2998">
        <v>1547</v>
      </c>
      <c r="R26" s="2998" t="s">
        <v>1327</v>
      </c>
      <c r="S26" s="2998" t="s">
        <v>3178</v>
      </c>
      <c r="T26" s="2998" t="s">
        <v>3193</v>
      </c>
    </row>
  </sheetData>
  <phoneticPr fontId="144"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3" sqref="A3"/>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2450</v>
      </c>
      <c r="B1" s="1577"/>
      <c r="C1" s="1578"/>
      <c r="D1" s="1576"/>
      <c r="E1" s="319"/>
      <c r="F1" s="319"/>
      <c r="G1" s="1577"/>
      <c r="H1" s="319"/>
      <c r="I1" s="319"/>
      <c r="J1" s="319"/>
      <c r="K1" s="319">
        <f>MATCH(C1,'数据-取费表'!A6:A16,0)+5</f>
        <v>9</v>
      </c>
    </row>
    <row r="2" spans="1:33" ht="18" customHeight="1">
      <c r="A2" s="244" t="s">
        <v>2318</v>
      </c>
      <c r="B2" s="247">
        <f ca="1">C32</f>
        <v>31974</v>
      </c>
      <c r="C2" s="319" t="s">
        <v>2451</v>
      </c>
      <c r="D2" s="319"/>
      <c r="E2" s="319"/>
      <c r="F2" s="319"/>
      <c r="G2" s="319"/>
      <c r="H2" s="319"/>
      <c r="I2" s="319"/>
      <c r="J2" s="319"/>
      <c r="K2" s="319"/>
    </row>
    <row r="3" spans="1:33" ht="18" customHeight="1" thickBot="1">
      <c r="A3" s="246" t="s">
        <v>2320</v>
      </c>
      <c r="B3" s="247">
        <f ca="1">ROUND(B2*10000/IF(C1="",'数据-汇总表'!E3,INDIRECT("'数据-取费表'!K"&amp;$K$1)),0)</f>
        <v>4221</v>
      </c>
      <c r="C3" s="319" t="s">
        <v>2452</v>
      </c>
      <c r="D3" s="319"/>
      <c r="E3" s="319"/>
      <c r="F3" s="319"/>
      <c r="G3" s="319"/>
      <c r="H3" s="319"/>
      <c r="I3" s="319"/>
      <c r="J3" s="319"/>
      <c r="K3" s="319"/>
    </row>
    <row r="4" spans="1:33" s="953" customFormat="1" ht="16.5" customHeight="1">
      <c r="A4" s="950" t="s">
        <v>2453</v>
      </c>
      <c r="B4" s="951"/>
      <c r="C4" s="993">
        <f ca="1">SUM(C8:K8)</f>
        <v>36545</v>
      </c>
      <c r="D4" s="951"/>
      <c r="E4" s="951"/>
      <c r="F4" s="951"/>
      <c r="G4" s="951"/>
      <c r="H4" s="951"/>
      <c r="I4" s="951"/>
      <c r="J4" s="951"/>
      <c r="K4" s="952"/>
    </row>
    <row r="5" spans="1:33" s="957" customFormat="1" ht="15">
      <c r="A5" s="954" t="s">
        <v>2454</v>
      </c>
      <c r="B5" s="955" t="s">
        <v>2455</v>
      </c>
      <c r="C5" s="2549" t="s">
        <v>27</v>
      </c>
      <c r="D5" s="2549" t="s">
        <v>3328</v>
      </c>
      <c r="E5" s="2549" t="s">
        <v>3332</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2456</v>
      </c>
      <c r="C6" s="959">
        <f ca="1">'收益法（办公）'!B3</f>
        <v>6785</v>
      </c>
      <c r="D6" s="959"/>
      <c r="E6" s="959">
        <f ca="1">'收益法（地下车库）'!B3</f>
        <v>2376</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2457</v>
      </c>
      <c r="B7" s="139" t="s">
        <v>2458</v>
      </c>
      <c r="C7" s="320">
        <f>SUMIF('数据-汇总表'!$C19:$C33,假设开发法!C5,'数据-汇总表'!$E19:$E33)</f>
        <v>42389.05</v>
      </c>
      <c r="D7" s="320">
        <f>SUMIF('数据-汇总表'!$C19:$C33,假设开发法!D5,'数据-汇总表'!$E19:$E33)</f>
        <v>0</v>
      </c>
      <c r="E7" s="320">
        <f>SUMIF('数据-汇总表'!$C19:$C33,假设开发法!E5,'数据-汇总表'!$E19:$E33)</f>
        <v>32753.93</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2459</v>
      </c>
      <c r="B8" s="176" t="s">
        <v>2460</v>
      </c>
      <c r="C8" s="994">
        <f ca="1">'收益法（办公）'!B2</f>
        <v>28763</v>
      </c>
      <c r="D8" s="994"/>
      <c r="E8" s="994">
        <f ca="1">'收益法（地下车库）'!B2</f>
        <v>7782</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2461</v>
      </c>
      <c r="B9" s="951"/>
      <c r="C9" s="951"/>
      <c r="D9" s="951"/>
      <c r="E9" s="951"/>
      <c r="F9" s="951"/>
      <c r="G9" s="951"/>
      <c r="H9" s="951"/>
      <c r="I9" s="951"/>
      <c r="J9" s="951"/>
      <c r="K9" s="952"/>
    </row>
    <row r="10" spans="1:33" s="967" customFormat="1" ht="13.5" customHeight="1">
      <c r="A10" s="954" t="s">
        <v>2462</v>
      </c>
      <c r="B10" s="8" t="s">
        <v>2463</v>
      </c>
      <c r="C10" s="963" t="s">
        <v>2464</v>
      </c>
      <c r="D10" s="964" t="s">
        <v>2465</v>
      </c>
      <c r="E10" s="964" t="s">
        <v>2466</v>
      </c>
      <c r="F10" s="964" t="s">
        <v>2467</v>
      </c>
      <c r="G10" s="8"/>
      <c r="H10" s="965"/>
      <c r="I10" s="965"/>
      <c r="J10" s="965"/>
      <c r="K10" s="966"/>
    </row>
    <row r="11" spans="1:33" s="972" customFormat="1" ht="13.5" customHeight="1">
      <c r="A11" s="968" t="s">
        <v>1330</v>
      </c>
      <c r="B11" s="969" t="s">
        <v>2468</v>
      </c>
      <c r="C11" s="322">
        <f ca="1">IF(C1="",'数据-取费表'!P16,INDIRECT("'数据-取费表'!p"&amp;$K$1)+INDIRECT("'数据-取费表'!ar"&amp;$K$1))</f>
        <v>232</v>
      </c>
      <c r="D11" s="970"/>
      <c r="E11" s="374"/>
      <c r="F11" s="971">
        <f ca="1">1-IF('数据-取费表'!B24=0,1,IF(C1="",'数据-取费表'!N16,INDIRECT("'数据-取费表'!n"&amp;$K$1)))</f>
        <v>1.0000000000000009E-2</v>
      </c>
      <c r="G11" s="8"/>
      <c r="H11" s="965"/>
      <c r="I11" s="965"/>
      <c r="J11" s="965"/>
      <c r="K11" s="966"/>
    </row>
    <row r="12" spans="1:33" s="972" customFormat="1" ht="13.5" customHeight="1">
      <c r="A12" s="968" t="s">
        <v>1331</v>
      </c>
      <c r="B12" s="969" t="s">
        <v>2469</v>
      </c>
      <c r="C12" s="24">
        <f ca="1">ROUND(C11*F12,0)</f>
        <v>7</v>
      </c>
      <c r="D12" s="970"/>
      <c r="E12" s="374"/>
      <c r="F12" s="973">
        <f>'数据-取费表'!B33</f>
        <v>0.03</v>
      </c>
      <c r="G12" s="8" t="s">
        <v>2470</v>
      </c>
      <c r="H12" s="965"/>
      <c r="I12" s="965"/>
      <c r="J12" s="965"/>
      <c r="K12" s="966"/>
    </row>
    <row r="13" spans="1:33" s="972" customFormat="1" ht="13.5" customHeight="1">
      <c r="A13" s="968" t="s">
        <v>1332</v>
      </c>
      <c r="B13" s="969" t="s">
        <v>2471</v>
      </c>
      <c r="C13" s="24">
        <f ca="1">ROUND(IF(C1="",SUMIF('数据-取费表'!C:C,"住宅",'数据-取费表'!P:P)*F13,IF(INDIRECT("'数据-取费表'!c"&amp;$K$1)="住宅",INDIRECT("'数据-取费表'!P"&amp;$K$1)*F13,0)),0)</f>
        <v>0</v>
      </c>
      <c r="D13" s="1030"/>
      <c r="E13" s="374"/>
      <c r="F13" s="973">
        <f>'数据-取费表'!B34</f>
        <v>0</v>
      </c>
      <c r="G13" s="8" t="s">
        <v>2472</v>
      </c>
      <c r="H13" s="965"/>
      <c r="I13" s="965"/>
      <c r="J13" s="965"/>
      <c r="K13" s="966"/>
    </row>
    <row r="14" spans="1:33" s="974" customFormat="1" ht="13.5" customHeight="1">
      <c r="A14" s="968" t="s">
        <v>1333</v>
      </c>
      <c r="B14" s="969" t="s">
        <v>2473</v>
      </c>
      <c r="C14" s="24">
        <f ca="1">ROUND(D14*E14*F11/10000,0)</f>
        <v>15</v>
      </c>
      <c r="D14" s="1030">
        <f ca="1">IF(C1="",'数据-汇总表'!E3,INDIRECT("'数据-取费表'!K"&amp;$K$1)+INDIRECT("'数据-取费表'!S"&amp;$K$1))</f>
        <v>75745.560000000012</v>
      </c>
      <c r="E14" s="24">
        <f>'数据-取费表'!B35</f>
        <v>200</v>
      </c>
      <c r="F14" s="973"/>
      <c r="G14" s="8" t="s">
        <v>2474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2475</v>
      </c>
      <c r="C15" s="980">
        <f ca="1">ROUND(C11*F15,0)</f>
        <v>3</v>
      </c>
      <c r="D15" s="975"/>
      <c r="E15" s="980"/>
      <c r="F15" s="981">
        <f>'数据-取费表'!B36</f>
        <v>1.4999999999999999E-2</v>
      </c>
      <c r="G15" s="139" t="s">
        <v>2476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2477</v>
      </c>
      <c r="C16" s="980">
        <f ca="1">SUM(C11:C15)</f>
        <v>257</v>
      </c>
      <c r="D16" s="975"/>
      <c r="E16" s="980"/>
      <c r="F16" s="981"/>
      <c r="G16" s="139"/>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2478</v>
      </c>
      <c r="C17" s="24">
        <f ca="1">ROUND(D17*E17/10000,0)</f>
        <v>0</v>
      </c>
      <c r="D17" s="1030">
        <f ca="1">D14</f>
        <v>75745.560000000012</v>
      </c>
      <c r="E17" s="24">
        <f>'数据-取费表'!B32</f>
        <v>0</v>
      </c>
      <c r="F17" s="975"/>
      <c r="G17" s="139" t="s">
        <v>2479</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2480</v>
      </c>
      <c r="C18" s="24">
        <f ca="1">C19+C20-IF(C1="",'数据-取费表'!B29,IF(G18="已全部缴纳",C19+C20,H18))</f>
        <v>682</v>
      </c>
      <c r="D18" s="1030"/>
      <c r="E18" s="24"/>
      <c r="F18" s="973"/>
      <c r="G18" s="2551"/>
      <c r="H18" s="1573"/>
      <c r="I18" s="2552" t="s">
        <v>2481</v>
      </c>
      <c r="J18" s="976"/>
      <c r="K18" s="977"/>
    </row>
    <row r="19" spans="1:33" s="972" customFormat="1" ht="13.5" customHeight="1">
      <c r="A19" s="968" t="s">
        <v>805</v>
      </c>
      <c r="B19" s="969" t="s">
        <v>2482</v>
      </c>
      <c r="C19" s="24">
        <f ca="1">ROUND(D19*E19/10000,0)</f>
        <v>0</v>
      </c>
      <c r="D19" s="1030">
        <f ca="1">IF(C1="",'数据-汇总表'!E5,IF(INDIRECT("'数据-取费表'!c"&amp;$K$1)="住宅",INDIRECT("'数据-取费表'!k"&amp;$K$1),0))</f>
        <v>0</v>
      </c>
      <c r="E19" s="24">
        <f>'数据-取费表'!B27</f>
        <v>90</v>
      </c>
      <c r="F19" s="973"/>
      <c r="G19" s="15"/>
      <c r="H19" s="1575"/>
      <c r="I19" s="978"/>
      <c r="J19" s="978"/>
      <c r="K19" s="979"/>
    </row>
    <row r="20" spans="1:33" s="972" customFormat="1" ht="13.5" customHeight="1">
      <c r="A20" s="968" t="s">
        <v>806</v>
      </c>
      <c r="B20" s="969" t="s">
        <v>2483</v>
      </c>
      <c r="C20" s="24">
        <f ca="1">ROUND(D20*E20/10000,0)</f>
        <v>682</v>
      </c>
      <c r="D20" s="1030">
        <f ca="1">IF(C1="",'数据-汇总表'!E6,IF(INDIRECT("'数据-取费表'!c"&amp;$K$1)="住宅",INDIRECT("'数据-取费表'!s"&amp;$K$1),INDIRECT("'数据-取费表'!k"&amp;$K$1)+INDIRECT("'数据-取费表'!s"&amp;$K$1)))</f>
        <v>75745.560000000012</v>
      </c>
      <c r="E20" s="24">
        <f>'数据-取费表'!B28</f>
        <v>90</v>
      </c>
      <c r="F20" s="973"/>
      <c r="G20" s="15"/>
      <c r="H20" s="978"/>
      <c r="I20" s="978"/>
      <c r="J20" s="978"/>
      <c r="K20" s="979"/>
    </row>
    <row r="21" spans="1:33" s="972" customFormat="1" ht="13.5" customHeight="1">
      <c r="A21" s="958" t="s">
        <v>802</v>
      </c>
      <c r="B21" s="982" t="s">
        <v>2484</v>
      </c>
      <c r="C21" s="983">
        <f ca="1">C16+C17+C18</f>
        <v>939</v>
      </c>
      <c r="D21" s="984"/>
      <c r="E21" s="324"/>
      <c r="F21" s="324"/>
      <c r="G21" s="139" t="s">
        <v>2485</v>
      </c>
      <c r="H21" s="976"/>
      <c r="I21" s="976"/>
      <c r="J21" s="976"/>
      <c r="K21" s="977"/>
    </row>
    <row r="22" spans="1:33" s="972" customFormat="1" ht="13.5" customHeight="1">
      <c r="A22" s="958" t="s">
        <v>2457</v>
      </c>
      <c r="B22" s="982" t="s">
        <v>2486</v>
      </c>
      <c r="C22" s="983">
        <f ca="1">ROUND(C21*F22,0)</f>
        <v>19</v>
      </c>
      <c r="D22" s="324"/>
      <c r="E22" s="324"/>
      <c r="F22" s="985">
        <f>'数据-取费表'!B37</f>
        <v>0.02</v>
      </c>
      <c r="G22" s="8" t="s">
        <v>2487</v>
      </c>
      <c r="H22" s="965"/>
      <c r="I22" s="965"/>
      <c r="J22" s="965"/>
      <c r="K22" s="966"/>
    </row>
    <row r="23" spans="1:33" s="972" customFormat="1" ht="13.5" customHeight="1">
      <c r="A23" s="958" t="s">
        <v>2459</v>
      </c>
      <c r="B23" s="982" t="s">
        <v>2488</v>
      </c>
      <c r="C23" s="983">
        <f ca="1">ROUND(C4*F23*F11,0)</f>
        <v>11</v>
      </c>
      <c r="D23" s="324"/>
      <c r="E23" s="324"/>
      <c r="F23" s="985">
        <f>'数据-取费表'!B38</f>
        <v>0.03</v>
      </c>
      <c r="G23" s="8" t="s">
        <v>2489</v>
      </c>
      <c r="H23" s="965"/>
      <c r="I23" s="965"/>
      <c r="J23" s="965"/>
      <c r="K23" s="966"/>
    </row>
    <row r="24" spans="1:33" s="972" customFormat="1" ht="13.5" customHeight="1">
      <c r="A24" s="958" t="s">
        <v>2490</v>
      </c>
      <c r="B24" s="982" t="s">
        <v>2491</v>
      </c>
      <c r="C24" s="323">
        <f>ROUND(F24/(1+'数据-取费表'!C42),4)</f>
        <v>3.8600000000000002E-2</v>
      </c>
      <c r="D24" s="324" t="s">
        <v>15</v>
      </c>
      <c r="E24" s="324"/>
      <c r="F24" s="985">
        <f>'数据-取费表'!B48+'数据-取费表'!B49</f>
        <v>4.0500000000000001E-2</v>
      </c>
      <c r="G24" s="8" t="s">
        <v>2492</v>
      </c>
      <c r="H24" s="987"/>
      <c r="I24" s="987"/>
      <c r="J24" s="987"/>
      <c r="K24" s="988"/>
    </row>
    <row r="25" spans="1:33" s="972" customFormat="1" ht="13.5" customHeight="1">
      <c r="A25" s="958" t="s">
        <v>2493</v>
      </c>
      <c r="B25" s="984" t="s">
        <v>2494</v>
      </c>
      <c r="C25" s="1353">
        <f ca="1">C27</f>
        <v>2</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2495</v>
      </c>
      <c r="C26" s="1354">
        <f ca="1">ROUND(IF('数据-取费表'!B22&lt;=1,(1+C24)*F25*'数据-取费表'!B24,(1+C24)*(POWER((1+F25),'数据-取费表'!B24)-1)),4)</f>
        <v>4.7999999999999996E-3</v>
      </c>
      <c r="D26" s="327"/>
      <c r="E26" s="328"/>
      <c r="F26" s="329"/>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2496</v>
      </c>
      <c r="C27" s="1355">
        <f ca="1">ROUND(IF('数据-取费表'!B22&lt;=1,(C21+C22+C23)*F25*'数据-取费表'!B24/2,(C21+C22+C23)*(POWER((1+F25),'数据-取费表'!B24/2)-1)),0)</f>
        <v>2</v>
      </c>
      <c r="D27" s="327"/>
      <c r="E27" s="328"/>
      <c r="F27" s="329"/>
      <c r="G27" s="2553" t="str">
        <f>IF('数据-取费表'!B22&lt;=1,"（1）-（3）项×年利率×建设期÷2","（1）-（3）项×((1+年利率)^(建设期÷2)-1)")</f>
        <v>（1）-（3）项×((1+年利率)^(建设期÷2)-1)</v>
      </c>
      <c r="H27" s="976"/>
      <c r="I27" s="976"/>
      <c r="J27" s="976"/>
      <c r="K27" s="977"/>
    </row>
    <row r="28" spans="1:33" s="332" customFormat="1" ht="13.5" customHeight="1">
      <c r="A28" s="958" t="s">
        <v>2497</v>
      </c>
      <c r="B28" s="2554" t="s">
        <v>2498</v>
      </c>
      <c r="C28" s="330">
        <f ca="1">C30</f>
        <v>97</v>
      </c>
      <c r="D28" s="323">
        <f ca="1">C29</f>
        <v>5.1999999999999998E-3</v>
      </c>
      <c r="E28" s="325" t="s">
        <v>15</v>
      </c>
      <c r="F28" s="331">
        <f ca="1">IF(C1="",'数据-取费表'!Q16,INDIRECT("'数据-取费表'!q"&amp;$K$1))</f>
        <v>0.1</v>
      </c>
      <c r="G28" s="986"/>
      <c r="H28" s="987"/>
      <c r="I28" s="987"/>
      <c r="J28" s="987"/>
      <c r="K28" s="988"/>
    </row>
    <row r="29" spans="1:33" s="334" customFormat="1" ht="13.5" customHeight="1">
      <c r="A29" s="968" t="s">
        <v>803</v>
      </c>
      <c r="B29" s="991" t="s">
        <v>2499</v>
      </c>
      <c r="C29" s="327">
        <f ca="1">ROUND((1+C24)*F28*'数据-取费表'!B24/'数据-取费表'!B20,4)</f>
        <v>5.1999999999999998E-3</v>
      </c>
      <c r="D29" s="327"/>
      <c r="E29" s="328"/>
      <c r="F29" s="333"/>
      <c r="G29" s="139" t="s">
        <v>2500</v>
      </c>
      <c r="H29" s="976"/>
      <c r="I29" s="976"/>
      <c r="J29" s="976"/>
      <c r="K29" s="977"/>
    </row>
    <row r="30" spans="1:33" s="334" customFormat="1" ht="13.5" customHeight="1">
      <c r="A30" s="968" t="s">
        <v>804</v>
      </c>
      <c r="B30" s="991" t="s">
        <v>2501</v>
      </c>
      <c r="C30" s="335">
        <f ca="1">ROUND((C21+C22+C23)*F28,0)</f>
        <v>97</v>
      </c>
      <c r="D30" s="327"/>
      <c r="E30" s="328"/>
      <c r="F30" s="333"/>
      <c r="G30" s="139"/>
      <c r="H30" s="976"/>
      <c r="I30" s="976"/>
      <c r="J30" s="976"/>
      <c r="K30" s="977"/>
    </row>
    <row r="31" spans="1:33" s="972" customFormat="1" ht="13.5" customHeight="1" thickBot="1">
      <c r="A31" s="2555" t="s">
        <v>2502</v>
      </c>
      <c r="B31" s="1002" t="s">
        <v>2503</v>
      </c>
      <c r="C31" s="1003">
        <f ca="1">ROUND(C4*F31/(1+'数据-取费表'!C42),0)</f>
        <v>1949</v>
      </c>
      <c r="D31" s="1004"/>
      <c r="E31" s="1005"/>
      <c r="F31" s="1006">
        <f>'数据-取费表'!B41</f>
        <v>5.6000000000000001E-2</v>
      </c>
      <c r="G31" s="1007" t="s">
        <v>2504</v>
      </c>
      <c r="H31" s="1008"/>
      <c r="I31" s="1008"/>
      <c r="J31" s="1008"/>
      <c r="K31" s="1009"/>
    </row>
    <row r="32" spans="1:33" s="967" customFormat="1" ht="13.5" customHeight="1" thickBot="1">
      <c r="A32" s="997" t="s">
        <v>2505</v>
      </c>
      <c r="B32" s="998"/>
      <c r="C32" s="999">
        <f ca="1">ROUND((C4-C21-C22-C23-C25-C28-C31)/(1+C24+D25+D28),0)</f>
        <v>31974</v>
      </c>
      <c r="D32" s="998"/>
      <c r="E32" s="998"/>
      <c r="F32" s="998"/>
      <c r="G32" s="1000" t="s">
        <v>2506</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5" sqref="A35"/>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2514</v>
      </c>
      <c r="B1" s="2557"/>
      <c r="C1" s="2557"/>
      <c r="D1" s="2557"/>
      <c r="E1" s="2558"/>
    </row>
    <row r="2" spans="1:6" ht="15.75">
      <c r="A2" s="2559" t="s">
        <v>2318</v>
      </c>
      <c r="B2" s="2560">
        <f ca="1">SUMIF(B6:B13,"&lt;&gt;#ref!",B6:B13)</f>
        <v>36545</v>
      </c>
      <c r="C2" s="2561" t="s">
        <v>2507</v>
      </c>
      <c r="D2" s="2562" t="s">
        <v>2508</v>
      </c>
      <c r="E2" s="2563">
        <f>SUM(E6:E13)</f>
        <v>75745.56</v>
      </c>
    </row>
    <row r="3" spans="1:6" ht="15.75">
      <c r="A3" s="2559" t="s">
        <v>1391</v>
      </c>
      <c r="B3" s="2560">
        <f ca="1">ROUND(B2*10000/E2,0)</f>
        <v>4825</v>
      </c>
      <c r="C3" s="2561" t="s">
        <v>2515</v>
      </c>
      <c r="D3" s="2564"/>
      <c r="E3" s="2565"/>
    </row>
    <row r="4" spans="1:6" ht="15.75">
      <c r="A4" s="2566"/>
      <c r="B4" s="2564"/>
      <c r="C4" s="2564"/>
      <c r="D4" s="2564"/>
      <c r="E4" s="2565"/>
    </row>
    <row r="5" spans="1:6" ht="15">
      <c r="A5" s="2567" t="s">
        <v>2509</v>
      </c>
      <c r="B5" s="3288" t="s">
        <v>2510</v>
      </c>
      <c r="C5" s="3288"/>
      <c r="D5" s="2568"/>
      <c r="E5" s="3019" t="s">
        <v>2511</v>
      </c>
      <c r="F5" s="3017" t="s">
        <v>2512</v>
      </c>
    </row>
    <row r="6" spans="1:6">
      <c r="A6" s="2570" t="str">
        <f>'数据-取费表'!AN6</f>
        <v>收益法（办公）</v>
      </c>
      <c r="B6" s="2569">
        <f ca="1">IF(F6="是",'数据-取费表'!AO6,0)</f>
        <v>28763</v>
      </c>
      <c r="C6" s="2561" t="s">
        <v>2507</v>
      </c>
      <c r="D6" s="2564"/>
      <c r="E6" s="2563">
        <f>IF(OR(A6=0,F6="否"),0,'数据-取费表'!K6+'数据-取费表'!S6)</f>
        <v>42728.97</v>
      </c>
      <c r="F6" s="3018" t="s">
        <v>2513</v>
      </c>
    </row>
    <row r="7" spans="1:6">
      <c r="A7" s="2570">
        <f>'数据-取费表'!AN7</f>
        <v>0</v>
      </c>
      <c r="B7" s="2569" t="e">
        <f ca="1">IF(F7="是",'数据-取费表'!AO7,0)</f>
        <v>#REF!</v>
      </c>
      <c r="C7" s="2561" t="s">
        <v>2507</v>
      </c>
      <c r="D7" s="2564"/>
      <c r="E7" s="2563">
        <f>IF(OR(A7=0,F7="否"),0,'数据-取费表'!K7+'数据-取费表'!S7)</f>
        <v>0</v>
      </c>
      <c r="F7" s="3018" t="s">
        <v>2513</v>
      </c>
    </row>
    <row r="8" spans="1:6">
      <c r="A8" s="2570" t="str">
        <f>'数据-取费表'!AN8</f>
        <v>收益法（地下车库）</v>
      </c>
      <c r="B8" s="2569">
        <f ca="1">IF(F8="是",'数据-取费表'!AO8,0)</f>
        <v>7782</v>
      </c>
      <c r="C8" s="2561" t="s">
        <v>2507</v>
      </c>
      <c r="D8" s="2564"/>
      <c r="E8" s="2563">
        <f>IF(OR(A8=0,F8="否"),0,'数据-取费表'!K8+'数据-取费表'!S8)</f>
        <v>33016.590000000004</v>
      </c>
      <c r="F8" s="3018" t="s">
        <v>2513</v>
      </c>
    </row>
    <row r="9" spans="1:6">
      <c r="A9" s="2570">
        <f>'数据-取费表'!AN9</f>
        <v>0</v>
      </c>
      <c r="B9" s="2569" t="e">
        <f ca="1">IF(F9="是",'数据-取费表'!AO9,0)</f>
        <v>#REF!</v>
      </c>
      <c r="C9" s="2561" t="s">
        <v>2507</v>
      </c>
      <c r="D9" s="2564"/>
      <c r="E9" s="2563">
        <f>IF(OR(A9=0,F9="否"),0,'数据-取费表'!K9+'数据-取费表'!S9)</f>
        <v>0</v>
      </c>
      <c r="F9" s="3018" t="s">
        <v>2513</v>
      </c>
    </row>
    <row r="10" spans="1:6">
      <c r="A10" s="2570">
        <f>'数据-取费表'!AN10</f>
        <v>0</v>
      </c>
      <c r="B10" s="2569" t="e">
        <f ca="1">IF(F10="是",'数据-取费表'!AO10,0)</f>
        <v>#REF!</v>
      </c>
      <c r="C10" s="2561" t="s">
        <v>2507</v>
      </c>
      <c r="D10" s="2564"/>
      <c r="E10" s="2563">
        <f>IF(OR(A10=0,F10="否"),0,'数据-取费表'!K10+'数据-取费表'!S10)</f>
        <v>0</v>
      </c>
      <c r="F10" s="3018" t="s">
        <v>2513</v>
      </c>
    </row>
    <row r="11" spans="1:6">
      <c r="A11" s="2570">
        <f>'数据-取费表'!AN11</f>
        <v>0</v>
      </c>
      <c r="B11" s="2569" t="e">
        <f ca="1">IF(F11="是",'数据-取费表'!AO11,0)</f>
        <v>#REF!</v>
      </c>
      <c r="C11" s="2561" t="s">
        <v>2507</v>
      </c>
      <c r="D11" s="2564"/>
      <c r="E11" s="2563">
        <f>IF(OR(A11=0,F11="否"),0,'数据-取费表'!K11+'数据-取费表'!S11)</f>
        <v>0</v>
      </c>
      <c r="F11" s="3018" t="s">
        <v>2513</v>
      </c>
    </row>
    <row r="12" spans="1:6">
      <c r="A12" s="2570">
        <f>'数据-取费表'!AN12</f>
        <v>0</v>
      </c>
      <c r="B12" s="2569" t="e">
        <f ca="1">IF(F12="是",'数据-取费表'!AO12,0)</f>
        <v>#REF!</v>
      </c>
      <c r="C12" s="2561" t="s">
        <v>2507</v>
      </c>
      <c r="D12" s="2564"/>
      <c r="E12" s="2563">
        <f>IF(OR(A12=0,F12="否"),0,'数据-取费表'!K12+'数据-取费表'!S12)</f>
        <v>0</v>
      </c>
      <c r="F12" s="3018" t="s">
        <v>2513</v>
      </c>
    </row>
    <row r="13" spans="1:6" ht="15" thickBot="1">
      <c r="A13" s="2571">
        <f>'数据-取费表'!AN13</f>
        <v>0</v>
      </c>
      <c r="B13" s="3020" t="e">
        <f ca="1">IF(F13="是",'数据-取费表'!AO13,0)</f>
        <v>#REF!</v>
      </c>
      <c r="C13" s="2572" t="s">
        <v>2507</v>
      </c>
      <c r="D13" s="2573"/>
      <c r="E13" s="3021">
        <f>IF(OR(A13=0,F13="否"),0,'数据-取费表'!K13+'数据-取费表'!S13)</f>
        <v>0</v>
      </c>
      <c r="F13" s="3018"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5" sqref="B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27</v>
      </c>
      <c r="D1" s="1816" t="s">
        <v>3338</v>
      </c>
      <c r="E1" s="1817" t="s">
        <v>1383</v>
      </c>
      <c r="F1" s="1280">
        <f ca="1">J53</f>
        <v>37.869999999999997</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28763</v>
      </c>
      <c r="C2" s="1841" t="s">
        <v>1512</v>
      </c>
      <c r="D2" s="1841"/>
      <c r="E2" s="1842"/>
      <c r="F2" s="1843"/>
      <c r="G2" s="1844"/>
      <c r="H2" s="1836"/>
      <c r="I2" s="1836"/>
      <c r="J2" s="1836"/>
      <c r="K2" s="1837"/>
      <c r="L2" s="1836"/>
      <c r="M2" s="1836"/>
    </row>
    <row r="3" spans="1:37" ht="18" customHeight="1" thickBot="1">
      <c r="A3" s="1845" t="s">
        <v>1513</v>
      </c>
      <c r="B3" s="1846">
        <f ca="1">IF(ISERROR(B2*10000/F43),0,ROUND(B2*10000/F43,0))</f>
        <v>6785</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1949</v>
      </c>
      <c r="D5" s="1818" t="s">
        <v>1398</v>
      </c>
      <c r="E5" s="1290"/>
      <c r="F5" s="1291"/>
      <c r="G5" s="1847"/>
      <c r="H5" s="343">
        <v>1</v>
      </c>
      <c r="I5" s="344" t="s">
        <v>1397</v>
      </c>
      <c r="J5" s="1289">
        <f ca="1">J6+J10+J12</f>
        <v>0</v>
      </c>
      <c r="K5" s="1818" t="s">
        <v>1398</v>
      </c>
      <c r="L5" s="1290"/>
      <c r="M5" s="1291"/>
    </row>
    <row r="6" spans="1:37" ht="18" customHeight="1">
      <c r="A6" s="1288" t="s">
        <v>1032</v>
      </c>
      <c r="B6" s="3291" t="s">
        <v>1399</v>
      </c>
      <c r="C6" s="1293">
        <f ca="1">ROUND(F6*F8*F7*(1-F9)/10000,0)</f>
        <v>1949</v>
      </c>
      <c r="D6" s="163" t="s">
        <v>3020</v>
      </c>
      <c r="E6" s="346" t="s">
        <v>1401</v>
      </c>
      <c r="F6" s="347">
        <f ca="1">INDIRECT("'数据-取费表'!u"&amp;$G$1)</f>
        <v>1.4</v>
      </c>
      <c r="G6" s="1847"/>
      <c r="H6" s="1288" t="s">
        <v>1032</v>
      </c>
      <c r="I6" s="3291" t="s">
        <v>1399</v>
      </c>
      <c r="J6" s="345">
        <f ca="1">ROUND(M6*M8*M7*(1-M9)/10000,0)</f>
        <v>0</v>
      </c>
      <c r="K6" s="163" t="s">
        <v>3019</v>
      </c>
      <c r="L6" s="346" t="s">
        <v>1401</v>
      </c>
      <c r="M6" s="347">
        <f ca="1">INDIRECT("'数据-取费表'!z"&amp;$G$1)</f>
        <v>0</v>
      </c>
    </row>
    <row r="7" spans="1:37" ht="18" customHeight="1">
      <c r="A7" s="1292"/>
      <c r="B7" s="3292"/>
      <c r="C7" s="1294"/>
      <c r="D7" s="351"/>
      <c r="E7" s="1295" t="s">
        <v>1402</v>
      </c>
      <c r="F7" s="347">
        <f ca="1">IF(INDIRECT("'数据-取费表'!ah"&amp;$G$1)="",INDIRECT("'数据-取费表'!k"&amp;$G$1),INDIRECT("'数据-取费表'!ah"&amp;$G$1))</f>
        <v>42389.05</v>
      </c>
      <c r="G7" s="1847"/>
      <c r="H7" s="348"/>
      <c r="I7" s="3292"/>
      <c r="J7" s="350"/>
      <c r="K7" s="351"/>
      <c r="L7" s="346" t="s">
        <v>1402</v>
      </c>
      <c r="M7" s="347">
        <f ca="1">F7</f>
        <v>42389.05</v>
      </c>
    </row>
    <row r="8" spans="1:37" ht="18" customHeight="1">
      <c r="A8" s="348"/>
      <c r="B8" s="3292"/>
      <c r="C8" s="350"/>
      <c r="D8" s="351"/>
      <c r="E8" s="346" t="s">
        <v>1403</v>
      </c>
      <c r="F8" s="347">
        <f ca="1">INDIRECT("'数据-取费表'!ai"&amp;$G$1)</f>
        <v>365</v>
      </c>
      <c r="G8" s="1847"/>
      <c r="H8" s="348"/>
      <c r="I8" s="3292"/>
      <c r="J8" s="350"/>
      <c r="K8" s="351"/>
      <c r="L8" s="346" t="s">
        <v>1403</v>
      </c>
      <c r="M8" s="347">
        <f ca="1">INDIRECT("'数据-取费表'!ai"&amp;$G$1)</f>
        <v>365</v>
      </c>
    </row>
    <row r="9" spans="1:37" ht="18" customHeight="1">
      <c r="A9" s="348"/>
      <c r="B9" s="3293"/>
      <c r="C9" s="350"/>
      <c r="D9" s="351"/>
      <c r="E9" s="346" t="s">
        <v>1404</v>
      </c>
      <c r="F9" s="356">
        <f ca="1">INDIRECT("'数据-取费表'!w"&amp;$G$1)</f>
        <v>0.1</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3029</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22059</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14921</v>
      </c>
      <c r="D14" s="1796" t="s">
        <v>1414</v>
      </c>
      <c r="E14" s="1790"/>
      <c r="F14" s="363"/>
      <c r="G14" s="1847"/>
      <c r="H14" s="1198" t="s">
        <v>1032</v>
      </c>
      <c r="I14" s="346" t="s">
        <v>1415</v>
      </c>
      <c r="J14" s="24">
        <f ca="1">C29</f>
        <v>22059</v>
      </c>
      <c r="K14" s="15"/>
      <c r="L14" s="976"/>
      <c r="M14" s="977"/>
    </row>
    <row r="15" spans="1:37" s="1854" customFormat="1" ht="18" customHeight="1" thickBot="1">
      <c r="A15" s="1198" t="s">
        <v>1033</v>
      </c>
      <c r="B15" s="346" t="s">
        <v>1416</v>
      </c>
      <c r="C15" s="24">
        <f ca="1">ROUND(C14*F15,0)</f>
        <v>448</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539</v>
      </c>
      <c r="K16" s="1334" t="s">
        <v>1421</v>
      </c>
      <c r="L16" s="1335"/>
      <c r="M16" s="1291"/>
    </row>
    <row r="17" spans="1:37" s="1854" customFormat="1" ht="18" customHeight="1">
      <c r="A17" s="1198" t="s">
        <v>1386</v>
      </c>
      <c r="B17" s="346" t="s">
        <v>1422</v>
      </c>
      <c r="C17" s="24">
        <f ca="1">ROUND(F17*(F43+INDIRECT("'数据-取费表'!S"&amp;$G$1))/10000,0)</f>
        <v>855</v>
      </c>
      <c r="D17" s="346" t="s">
        <v>1423</v>
      </c>
      <c r="E17" s="346" t="s">
        <v>1424</v>
      </c>
      <c r="F17" s="26">
        <f>'数据-取费表'!B35</f>
        <v>200</v>
      </c>
      <c r="G17" s="1850"/>
      <c r="H17" s="1198" t="s">
        <v>1032</v>
      </c>
      <c r="I17" s="346" t="s">
        <v>1425</v>
      </c>
      <c r="J17" s="24">
        <f ca="1">ROUND(IF(项目基本情况!B11="自然人",J5*M17,J18+J19+J20),1)</f>
        <v>208.3</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224</v>
      </c>
      <c r="D18" s="346" t="s">
        <v>1417</v>
      </c>
      <c r="E18" s="346" t="s">
        <v>1418</v>
      </c>
      <c r="F18" s="366">
        <f>'数据-取费表'!B36</f>
        <v>1.4999999999999999E-2</v>
      </c>
      <c r="G18" s="1850"/>
      <c r="H18" s="1198" t="s">
        <v>1031</v>
      </c>
      <c r="I18" s="346" t="s">
        <v>1429</v>
      </c>
      <c r="J18" s="24">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16448</v>
      </c>
      <c r="D19" s="139" t="s">
        <v>1432</v>
      </c>
      <c r="E19" s="1814"/>
      <c r="F19" s="26"/>
      <c r="G19" s="1847"/>
      <c r="H19" s="1198" t="s">
        <v>1033</v>
      </c>
      <c r="I19" s="346" t="s">
        <v>1433</v>
      </c>
      <c r="J19" s="24">
        <f ca="1">IF(K19="按租金收入计税",ROUND(J5*M19,2),ROUND(C29*M19*0.7,2))</f>
        <v>185.3</v>
      </c>
      <c r="K19" s="1824" t="s">
        <v>1434</v>
      </c>
      <c r="L19" s="346" t="s">
        <v>1418</v>
      </c>
      <c r="M19" s="366">
        <f>IF(K19="按租金收入计税",'数据-取费表'!B51,'数据-取费表'!B50)</f>
        <v>1.2E-2</v>
      </c>
    </row>
    <row r="20" spans="1:37" s="1854" customFormat="1" ht="18" customHeight="1">
      <c r="A20" s="1198" t="s">
        <v>1036</v>
      </c>
      <c r="B20" s="346" t="s">
        <v>1435</v>
      </c>
      <c r="C20" s="24">
        <f ca="1">ROUND(C19*F20,0)</f>
        <v>329</v>
      </c>
      <c r="D20" s="368" t="s">
        <v>1436</v>
      </c>
      <c r="E20" s="346" t="s">
        <v>1418</v>
      </c>
      <c r="F20" s="366">
        <f>'数据-取费表'!B37</f>
        <v>0.02</v>
      </c>
      <c r="G20" s="1850"/>
      <c r="H20" s="1198" t="s">
        <v>1385</v>
      </c>
      <c r="I20" s="163" t="s">
        <v>1437</v>
      </c>
      <c r="J20" s="25">
        <f ca="1">ROUND(M20*M21/10000,2)</f>
        <v>22.98</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18</v>
      </c>
      <c r="D21" s="368" t="s">
        <v>1441</v>
      </c>
      <c r="E21" s="346" t="s">
        <v>1442</v>
      </c>
      <c r="F21" s="366">
        <f>'数据-取费表'!B38</f>
        <v>0.03</v>
      </c>
      <c r="G21" s="1850"/>
      <c r="H21" s="371"/>
      <c r="I21" s="355"/>
      <c r="J21" s="29"/>
      <c r="K21" s="372"/>
      <c r="L21" s="346" t="s">
        <v>1443</v>
      </c>
      <c r="M21" s="347">
        <f ca="1">INDIRECT("'数据-取费表'!r"&amp;$G$1)</f>
        <v>22976.26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ROUND(J14*M22,1)</f>
        <v>330.9</v>
      </c>
      <c r="K22" s="1794"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797</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1814"/>
      <c r="F25" s="26"/>
      <c r="G25" s="1847"/>
      <c r="H25" s="1326" t="s">
        <v>1028</v>
      </c>
      <c r="I25" s="1341" t="s">
        <v>1459</v>
      </c>
      <c r="J25" s="354">
        <f ca="1">J5-J16</f>
        <v>-539</v>
      </c>
      <c r="K25" s="1342" t="s">
        <v>1460</v>
      </c>
      <c r="L25" s="1343"/>
      <c r="M25" s="1344"/>
    </row>
    <row r="26" spans="1:37">
      <c r="A26" s="1198" t="s">
        <v>1031</v>
      </c>
      <c r="B26" s="346" t="s">
        <v>1461</v>
      </c>
      <c r="C26" s="24">
        <f ca="1">ROUND((C19+C20)*F26,0)</f>
        <v>2517</v>
      </c>
      <c r="D26" s="368" t="s">
        <v>1462</v>
      </c>
      <c r="E26" s="357" t="s">
        <v>1463</v>
      </c>
      <c r="F26" s="356">
        <f ca="1">INDIRECT("'数据-取费表'!q"&amp;$G$1)</f>
        <v>0.15</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4.4999999999999997E-3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22059</v>
      </c>
      <c r="D29" s="1339"/>
      <c r="E29" s="1337"/>
      <c r="F29" s="1340"/>
      <c r="G29" s="1850"/>
      <c r="H29" s="379" t="s">
        <v>1030</v>
      </c>
      <c r="I29" s="380" t="s">
        <v>1475</v>
      </c>
      <c r="J29" s="381">
        <f ca="1">ROUND(J26/(1+F40)^F41,0)</f>
        <v>0</v>
      </c>
      <c r="K29" s="382" t="s">
        <v>1476</v>
      </c>
      <c r="L29" s="383"/>
      <c r="M29" s="384">
        <f ca="1">INDIRECT("'数据-取费表'!k"&amp;$G$1)</f>
        <v>42389.05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744</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ROUND(IF(项目基本情况!B11="自然人",C5*F31,C32+C33+C34),1)</f>
        <v>360.8</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103.95</v>
      </c>
      <c r="D32" s="1794"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233.88</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22.98</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22976.26</v>
      </c>
      <c r="G35" s="1847"/>
      <c r="H35" s="744"/>
      <c r="I35" s="1856"/>
      <c r="J35" s="1857"/>
      <c r="K35" s="1858"/>
      <c r="L35" s="1855"/>
      <c r="M35" s="1855"/>
    </row>
    <row r="36" spans="1:18" ht="18" customHeight="1">
      <c r="A36" s="1349" t="s">
        <v>1036</v>
      </c>
      <c r="B36" s="346" t="s">
        <v>1445</v>
      </c>
      <c r="C36" s="24">
        <f ca="1">ROUND(C29*F36,1)</f>
        <v>330.9</v>
      </c>
      <c r="D36" s="1794"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33.1</v>
      </c>
      <c r="D37" s="1794" t="s">
        <v>1450</v>
      </c>
      <c r="E37" s="346" t="s">
        <v>1451</v>
      </c>
      <c r="F37" s="375">
        <f ca="1">INDIRECT("'数据-取费表'!Al"&amp;$G$1)</f>
        <v>1.5E-3</v>
      </c>
      <c r="G37" s="1847"/>
      <c r="H37" s="1855"/>
      <c r="I37" s="1856"/>
      <c r="J37" s="1857"/>
      <c r="K37" s="750"/>
      <c r="L37" s="1855"/>
      <c r="M37" s="1855"/>
    </row>
    <row r="38" spans="1:18" ht="18" customHeight="1" thickBot="1">
      <c r="A38" s="1336" t="s">
        <v>1389</v>
      </c>
      <c r="B38" s="1337" t="s">
        <v>1435</v>
      </c>
      <c r="C38" s="1338">
        <f ca="1">ROUND(C5*F38,1)</f>
        <v>19.5</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1205</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28763</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37.869999999999997</v>
      </c>
      <c r="G41" s="1847"/>
      <c r="H41" s="731"/>
      <c r="I41" s="1856"/>
      <c r="J41" s="1857"/>
      <c r="K41" s="750"/>
      <c r="L41" s="731"/>
      <c r="M41" s="731"/>
    </row>
    <row r="42" spans="1:18" ht="18" customHeight="1">
      <c r="A42" s="352"/>
      <c r="B42" s="353"/>
      <c r="C42" s="354"/>
      <c r="D42" s="372"/>
      <c r="E42" s="346" t="s">
        <v>1473</v>
      </c>
      <c r="F42" s="356">
        <f ca="1">INDIRECT("'数据-取费表'!v"&amp;$G$1)</f>
        <v>0.03</v>
      </c>
      <c r="G42" s="1847"/>
      <c r="H42" s="731"/>
      <c r="I42" s="1856"/>
      <c r="J42" s="1857"/>
      <c r="K42" s="750"/>
      <c r="L42" s="731"/>
      <c r="M42" s="731"/>
    </row>
    <row r="43" spans="1:18" ht="18" customHeight="1" thickBot="1">
      <c r="A43" s="379" t="s">
        <v>1030</v>
      </c>
      <c r="B43" s="380" t="s">
        <v>1483</v>
      </c>
      <c r="C43" s="381">
        <f ca="1">ROUND(C40*10000/F43,0)</f>
        <v>6785</v>
      </c>
      <c r="D43" s="382" t="s">
        <v>1484</v>
      </c>
      <c r="E43" s="383" t="s">
        <v>1485</v>
      </c>
      <c r="F43" s="384">
        <f ca="1">INDIRECT("'数据-取费表'!k"&amp;$G$1)</f>
        <v>42389.05</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-64128</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f ca="1">C40+J29</f>
        <v>28763</v>
      </c>
      <c r="R47" s="1882" t="s">
        <v>1525</v>
      </c>
    </row>
    <row r="48" spans="1:18" s="1838" customFormat="1" ht="28.5" thickBot="1">
      <c r="A48" s="1357" t="s">
        <v>1132</v>
      </c>
      <c r="B48" s="344" t="s">
        <v>1397</v>
      </c>
      <c r="C48" s="181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3021</v>
      </c>
      <c r="E49" s="1826" t="s">
        <v>1487</v>
      </c>
      <c r="F49" s="1278"/>
      <c r="G49" s="1887"/>
      <c r="H49" s="792"/>
      <c r="I49" s="1883" t="s">
        <v>1530</v>
      </c>
      <c r="J49" s="1888">
        <v>2018</v>
      </c>
      <c r="K49" s="1885" t="s">
        <v>1531</v>
      </c>
      <c r="L49" s="1889"/>
      <c r="O49" s="1890" t="s">
        <v>1039</v>
      </c>
      <c r="P49" s="1881" t="s">
        <v>1532</v>
      </c>
      <c r="Q49" s="1882">
        <f ca="1">C29</f>
        <v>22059</v>
      </c>
      <c r="R49" s="1882" t="s">
        <v>1525</v>
      </c>
    </row>
    <row r="50" spans="1:18" s="1838" customFormat="1" ht="13.5" thickBot="1">
      <c r="A50" s="1192"/>
      <c r="B50" s="1195"/>
      <c r="C50" s="1365"/>
      <c r="D50" s="1169"/>
      <c r="E50" s="1274" t="s">
        <v>1402</v>
      </c>
      <c r="F50" s="1275">
        <f ca="1">F7</f>
        <v>42389.05</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59</v>
      </c>
      <c r="K51" s="1896" t="s">
        <v>1537</v>
      </c>
      <c r="L51" s="1897">
        <f ca="1">ROUND(-PV(INDIRECT("'数据-取费表'!h"&amp;$G$1),L48,(C39-C13*C76),0),0)</f>
        <v>-11299</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89" t="s">
        <v>1544</v>
      </c>
      <c r="L53" s="3290"/>
      <c r="O53" s="1880" t="s">
        <v>1043</v>
      </c>
      <c r="P53" s="1881" t="s">
        <v>1545</v>
      </c>
      <c r="Q53" s="1882">
        <f ca="1">Q47+Q48</f>
        <v>28763</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22059</v>
      </c>
      <c r="D56" s="1910"/>
      <c r="E56" s="1911"/>
      <c r="F56" s="1903"/>
      <c r="I56" s="1912" t="s">
        <v>1550</v>
      </c>
      <c r="J56" s="1913" t="s">
        <v>3144</v>
      </c>
      <c r="K56" s="1883" t="s">
        <v>1551</v>
      </c>
      <c r="L56" s="1886" t="str">
        <f ca="1">IF(L48&lt;J51,"——",L48-J53)</f>
        <v>——</v>
      </c>
      <c r="O56" s="1880" t="s">
        <v>1037</v>
      </c>
      <c r="P56" s="1881" t="s">
        <v>1524</v>
      </c>
      <c r="Q56" s="1882">
        <f ca="1">C40+J29</f>
        <v>28763</v>
      </c>
      <c r="R56" s="1882" t="s">
        <v>1525</v>
      </c>
    </row>
    <row r="57" spans="1:18" s="1838" customFormat="1" ht="24.75" thickBot="1">
      <c r="A57" s="1914"/>
      <c r="B57" s="1166" t="s">
        <v>1474</v>
      </c>
      <c r="C57" s="281">
        <f ca="1">C29</f>
        <v>22059</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2240</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1875.9</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IF(项目基本情况!B11="自然人","——",IF(D61="按租金收入计税",ROUND(C48*F61,2),IF(D61="按房产原值计税",ROUND(C57*F61*0.7,2),INDIRECT("'数据-取费表'!Aj"&amp;$G$1))))</f>
        <v>1852.96</v>
      </c>
      <c r="D61" s="1824" t="s">
        <v>1434</v>
      </c>
      <c r="E61" s="1166" t="s">
        <v>1490</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IF(项目基本情况!B11="自然人","——",ROUND(F62*F63/10000,2))</f>
        <v>22.98</v>
      </c>
      <c r="D62" s="1181" t="s">
        <v>1493</v>
      </c>
      <c r="E62" s="1166" t="s">
        <v>1494</v>
      </c>
      <c r="F62" s="370">
        <f t="shared" si="0"/>
        <v>10</v>
      </c>
      <c r="I62" s="1925" t="s">
        <v>1566</v>
      </c>
      <c r="J62" s="1926" t="s">
        <v>1567</v>
      </c>
      <c r="K62" s="1926" t="s">
        <v>1568</v>
      </c>
      <c r="L62" s="1926" t="s">
        <v>1569</v>
      </c>
      <c r="M62" s="1927" t="s">
        <v>1570</v>
      </c>
      <c r="O62" s="1880" t="s">
        <v>1043</v>
      </c>
      <c r="P62" s="1881" t="s">
        <v>1571</v>
      </c>
      <c r="Q62" s="1882">
        <f ca="1">Q56+Q57</f>
        <v>28763</v>
      </c>
      <c r="R62" s="1882" t="s">
        <v>1044</v>
      </c>
    </row>
    <row r="63" spans="1:18" s="1838" customFormat="1" ht="13.5" thickBot="1">
      <c r="A63" s="371"/>
      <c r="B63" s="1172"/>
      <c r="C63" s="29"/>
      <c r="D63" s="1182"/>
      <c r="E63" s="1166" t="s">
        <v>1495</v>
      </c>
      <c r="F63" s="347">
        <f t="shared" ca="1" si="0"/>
        <v>22976.26</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ROUND(C57*F64,1)</f>
        <v>330.9</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33.1</v>
      </c>
      <c r="D65" s="1180" t="s">
        <v>1450</v>
      </c>
      <c r="E65" s="1166" t="s">
        <v>1451</v>
      </c>
      <c r="F65" s="375">
        <f t="shared" ca="1" si="0"/>
        <v>1.5E-3</v>
      </c>
      <c r="I65" s="1925" t="s">
        <v>1575</v>
      </c>
      <c r="J65" s="1926">
        <v>40</v>
      </c>
      <c r="K65" s="1926">
        <v>30</v>
      </c>
      <c r="L65" s="1926">
        <v>50</v>
      </c>
      <c r="M65" s="1928">
        <v>0.02</v>
      </c>
      <c r="O65" s="1880" t="s">
        <v>1037</v>
      </c>
      <c r="P65" s="1881" t="s">
        <v>1576</v>
      </c>
      <c r="Q65" s="1882">
        <f ca="1">C40+J29</f>
        <v>28763</v>
      </c>
      <c r="R65" s="1882" t="s">
        <v>1525</v>
      </c>
    </row>
    <row r="66" spans="1:18" s="1838" customFormat="1" ht="16.5" thickBot="1">
      <c r="A66" s="1198" t="s">
        <v>1500</v>
      </c>
      <c r="B66" s="1166" t="s">
        <v>1435</v>
      </c>
      <c r="C66" s="24">
        <f ca="1">ROUND(C48*F66,1)</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-2240</v>
      </c>
      <c r="D67" s="1179" t="s">
        <v>1460</v>
      </c>
      <c r="E67" s="1184"/>
      <c r="F67" s="1185"/>
      <c r="O67" s="1890" t="s">
        <v>1039</v>
      </c>
      <c r="P67" s="1881" t="s">
        <v>1558</v>
      </c>
      <c r="Q67" s="1929">
        <f ca="1">L51</f>
        <v>-11299</v>
      </c>
      <c r="R67" s="1882" t="s">
        <v>1578</v>
      </c>
    </row>
    <row r="68" spans="1:18" s="1838" customFormat="1" ht="16.5" thickBot="1">
      <c r="A68" s="1163" t="s">
        <v>1029</v>
      </c>
      <c r="B68" s="1164" t="s">
        <v>1481</v>
      </c>
      <c r="C68" s="345">
        <f ca="1">ROUND(C67*(1-((1+F70)/(1+F68))^F69)/(F68-F70),0)</f>
        <v>-35365</v>
      </c>
      <c r="D68" s="1181" t="s">
        <v>1465</v>
      </c>
      <c r="E68" s="1166" t="s">
        <v>1466</v>
      </c>
      <c r="F68" s="356">
        <f ca="1">F40</f>
        <v>5.5E-2</v>
      </c>
      <c r="O68" s="1890" t="s">
        <v>1040</v>
      </c>
      <c r="P68" s="1930" t="s">
        <v>1579</v>
      </c>
      <c r="Q68" s="1882">
        <f ca="1">ROUND(Q69-Q70*Q71,0)</f>
        <v>-670</v>
      </c>
      <c r="R68" s="1882" t="s">
        <v>1048</v>
      </c>
    </row>
    <row r="69" spans="1:18" s="1838" customFormat="1" ht="13.5" thickBot="1">
      <c r="A69" s="1167"/>
      <c r="B69" s="1168"/>
      <c r="C69" s="350"/>
      <c r="D69" s="1186" t="s">
        <v>1469</v>
      </c>
      <c r="E69" s="1166" t="s">
        <v>1470</v>
      </c>
      <c r="F69" s="378">
        <f ca="1">F41</f>
        <v>37.869999999999997</v>
      </c>
      <c r="O69" s="1890" t="s">
        <v>1045</v>
      </c>
      <c r="P69" s="1930" t="s">
        <v>1580</v>
      </c>
      <c r="Q69" s="1882">
        <f ca="1">C39</f>
        <v>1205</v>
      </c>
      <c r="R69" s="1882" t="s">
        <v>1525</v>
      </c>
    </row>
    <row r="70" spans="1:18" s="1838" customFormat="1" ht="13.5" thickBot="1">
      <c r="A70" s="1170"/>
      <c r="B70" s="1171"/>
      <c r="C70" s="354"/>
      <c r="D70" s="1182"/>
      <c r="E70" s="1166" t="s">
        <v>1473</v>
      </c>
      <c r="F70" s="1272"/>
      <c r="O70" s="1890" t="s">
        <v>1046</v>
      </c>
      <c r="P70" s="1930" t="s">
        <v>1581</v>
      </c>
      <c r="Q70" s="1882">
        <f ca="1">C13</f>
        <v>22059</v>
      </c>
      <c r="R70" s="1882" t="s">
        <v>1525</v>
      </c>
    </row>
    <row r="71" spans="1:18" s="1838" customFormat="1" ht="13.5" thickBot="1">
      <c r="A71" s="1187" t="s">
        <v>1030</v>
      </c>
      <c r="B71" s="1188" t="s">
        <v>1483</v>
      </c>
      <c r="C71" s="381">
        <f ca="1">ROUND(C68*10000/F71,0)</f>
        <v>-8343</v>
      </c>
      <c r="D71" s="1189" t="s">
        <v>1484</v>
      </c>
      <c r="E71" s="1190" t="s">
        <v>1485</v>
      </c>
      <c r="F71" s="384">
        <f ca="1">F43</f>
        <v>42389.05</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1875</v>
      </c>
      <c r="D75" s="1838"/>
      <c r="E75" s="1838"/>
      <c r="F75" s="1838"/>
      <c r="K75" s="1864"/>
      <c r="L75" s="1838"/>
      <c r="O75" s="1880" t="s">
        <v>1043</v>
      </c>
      <c r="P75" s="1881" t="s">
        <v>1545</v>
      </c>
      <c r="Q75" s="1882">
        <f ca="1">Q65+Q66</f>
        <v>28763</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-0.55600000000000005</v>
      </c>
    </row>
    <row r="80" spans="1:18">
      <c r="B80" s="385" t="s">
        <v>1507</v>
      </c>
      <c r="C80" s="317">
        <f ca="1">ROUND(C75/C39,3)</f>
        <v>1.556</v>
      </c>
    </row>
    <row r="81" spans="2:3">
      <c r="B81" s="313" t="s">
        <v>1508</v>
      </c>
      <c r="C81" s="281"/>
    </row>
    <row r="82" spans="2:3">
      <c r="B82" s="316" t="s">
        <v>1509</v>
      </c>
      <c r="C82" s="318">
        <f ca="1">1-C83</f>
        <v>0.23299999999999998</v>
      </c>
    </row>
    <row r="83" spans="2:3">
      <c r="B83" s="316" t="s">
        <v>1510</v>
      </c>
      <c r="C83" s="317">
        <f ca="1">ROUND(C13/C40,3)</f>
        <v>0.76700000000000002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国民信托有限公司：</v>
      </c>
    </row>
    <row r="4" spans="1:1" ht="54">
      <c r="A4" s="1944" t="str">
        <f>"受贵公司委托，我公司对"&amp;项目基本情况!S1&amp;"进行了预评估。"</f>
        <v>受贵公司委托，我公司对贵州省贵阳市白云区（高新）沙文生态科技产业园“贵州科学城•智谷”项目01-02-13地块出让国有建设用地使用权及在建建筑物房地产抵押价值进行了预评估。</v>
      </c>
    </row>
    <row r="5" spans="1:1" ht="18.75">
      <c r="A5" s="1945" t="s">
        <v>1608</v>
      </c>
    </row>
    <row r="6" spans="1:1" ht="18.75">
      <c r="A6" s="1946" t="s">
        <v>1609</v>
      </c>
    </row>
    <row r="7" spans="1:1" ht="108">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白云区（高新）沙文生态科技产业园“贵州科学城•智谷”项目01-02-13地块出让国有建设用地使用权及在建建筑物房地产，为贵州高新中关村贵阳科技园投资开发有限公司所有。根据《不动产权证书》[黔（2018）高新区（白）不动产权第0000796号]，估价对象（分摊）出让国有建设用地使用权面积为40729.97平方米。根据《房屋所有权证》[]、《测绘报告》[]，估价对象建筑面积为75745.56平方米。</v>
      </c>
    </row>
    <row r="8" spans="1:1" ht="57.75">
      <c r="A8" s="1947" t="s">
        <v>1610</v>
      </c>
    </row>
    <row r="9" spans="1:1" ht="18.75">
      <c r="A9" s="1946" t="s">
        <v>1611</v>
      </c>
    </row>
    <row r="10" spans="1:1" ht="126">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白云区（高新）沙文生态科技产业园“贵州科学城•智谷”项目01-02-13地块出让国有建设用地使用权及在建建筑物房地产,属贵州高新中关村贵阳科技园投资开发有限公司开发建设的综合项目（商业、办公），该项目尚在开发建设中。根据《不动产权证书》[黔（2018）高新区（白）不动产权第0000796号]，估价对象（分摊）出让国有建设用地使用权面积为40729.97平方米。根据《房屋所有权证》[]、《测绘报告》[]，估价对象规划建筑面积为75745.56平方米。</v>
      </c>
    </row>
    <row r="11" spans="1:1" ht="76.5">
      <c r="A11" s="1947" t="s">
        <v>1612</v>
      </c>
    </row>
    <row r="12" spans="1:1" ht="18.75">
      <c r="A12" s="1945" t="s">
        <v>1613</v>
      </c>
    </row>
    <row r="13" spans="1:1" ht="38.25" customHeight="1">
      <c r="A13" s="1948" t="str">
        <f>IF(项目基本情况!B8="抵押",IF(项目基本情况!B5=项目基本情况!B6,定义!C51,定义!B51),定义!D51)</f>
        <v>贵州高新中关村贵阳科技园投资开发有限公司拟使用贵州省贵阳市白云区（高新）沙文生态科技产业园“贵州科学城•智谷”项目01-02-13地块出让国有建设用地使用权及在建建筑物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2019年3月1日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日，估价对象规划用途为办公及地下车库，土地取得方式为出让，出让国有建设用地使用权剩余土地使用年限为办公及地下车库37.97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及地下车库，实际开发程度为宗地红线外“七通”（即通路、通电、通讯、通上水、通下水、、）、红线内场地平整条件下，剩余土地使用年限为办公及地下车库37.97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c r="D1" s="1816"/>
      <c r="E1" s="1817" t="s">
        <v>1383</v>
      </c>
      <c r="F1" s="1280"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9">
        <f ca="1">C6+C10+C12</f>
        <v>0</v>
      </c>
      <c r="D5" s="1818" t="s">
        <v>1597</v>
      </c>
      <c r="E5" s="1290"/>
      <c r="F5" s="1291"/>
      <c r="G5" s="1847"/>
      <c r="H5" s="343">
        <v>1</v>
      </c>
      <c r="I5" s="344" t="s">
        <v>1596</v>
      </c>
      <c r="J5" s="1289">
        <f ca="1">J6+J10+J12</f>
        <v>0</v>
      </c>
      <c r="K5" s="1818" t="s">
        <v>1597</v>
      </c>
      <c r="L5" s="1290"/>
      <c r="M5" s="1291"/>
    </row>
    <row r="6" spans="1:37" ht="18" customHeight="1">
      <c r="A6" s="1288" t="s">
        <v>1032</v>
      </c>
      <c r="B6" s="3291" t="s">
        <v>1399</v>
      </c>
      <c r="C6" s="1293">
        <f ca="1">ROUND(F6*F8*F7*(1-F9),0)</f>
        <v>0</v>
      </c>
      <c r="D6" s="163" t="s">
        <v>3017</v>
      </c>
      <c r="E6" s="346" t="s">
        <v>1401</v>
      </c>
      <c r="F6" s="347">
        <f ca="1">INDIRECT("'数据-取费表'!u"&amp;$G$1)</f>
        <v>0</v>
      </c>
      <c r="G6" s="1847"/>
      <c r="H6" s="1288" t="s">
        <v>1032</v>
      </c>
      <c r="I6" s="3291" t="s">
        <v>1399</v>
      </c>
      <c r="J6" s="345">
        <f ca="1">ROUND(M6*M8*M7*(1-M9),0)</f>
        <v>0</v>
      </c>
      <c r="K6" s="1830" t="s">
        <v>3018</v>
      </c>
      <c r="L6" s="346" t="s">
        <v>1401</v>
      </c>
      <c r="M6" s="347">
        <f ca="1">INDIRECT("'数据-取费表'!z"&amp;$G$1)</f>
        <v>0</v>
      </c>
    </row>
    <row r="7" spans="1:37" ht="18" customHeight="1">
      <c r="A7" s="1292"/>
      <c r="B7" s="3292"/>
      <c r="C7" s="1294"/>
      <c r="D7" s="351"/>
      <c r="E7" s="1295" t="s">
        <v>1402</v>
      </c>
      <c r="F7" s="347">
        <f ca="1">IF(INDIRECT("'数据-取费表'!ah"&amp;$G$1)="",INDIRECT("'数据-取费表'!k"&amp;$G$1),INDIRECT("'数据-取费表'!ah"&amp;$G$1))</f>
        <v>0</v>
      </c>
      <c r="G7" s="1847"/>
      <c r="H7" s="348"/>
      <c r="I7" s="3292"/>
      <c r="J7" s="350"/>
      <c r="K7" s="351"/>
      <c r="L7" s="346" t="s">
        <v>1402</v>
      </c>
      <c r="M7" s="347">
        <f ca="1">F7</f>
        <v>0</v>
      </c>
    </row>
    <row r="8" spans="1:37" ht="18" customHeight="1">
      <c r="A8" s="348"/>
      <c r="B8" s="3292"/>
      <c r="C8" s="350"/>
      <c r="D8" s="351"/>
      <c r="E8" s="346" t="s">
        <v>1403</v>
      </c>
      <c r="F8" s="347">
        <f ca="1">INDIRECT("'数据-取费表'!ai"&amp;$G$1)</f>
        <v>0</v>
      </c>
      <c r="G8" s="1847"/>
      <c r="H8" s="348"/>
      <c r="I8" s="3292"/>
      <c r="J8" s="350"/>
      <c r="K8" s="351"/>
      <c r="L8" s="346" t="s">
        <v>1403</v>
      </c>
      <c r="M8" s="347">
        <f ca="1">INDIRECT("'数据-取费表'!ai"&amp;$G$1)</f>
        <v>0</v>
      </c>
    </row>
    <row r="9" spans="1:37" ht="18" customHeight="1">
      <c r="A9" s="348"/>
      <c r="B9" s="3293"/>
      <c r="C9" s="350"/>
      <c r="D9" s="351"/>
      <c r="E9" s="346" t="s">
        <v>1404</v>
      </c>
      <c r="F9" s="356">
        <f ca="1">INDIRECT("'数据-取费表'!w"&amp;$G$1)</f>
        <v>0</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31" t="s">
        <v>3030</v>
      </c>
      <c r="L10" s="357" t="s">
        <v>1406</v>
      </c>
      <c r="M10" s="1363"/>
    </row>
    <row r="11" spans="1:37" ht="18" customHeight="1">
      <c r="A11" s="352"/>
      <c r="B11" s="1821" t="s">
        <v>1598</v>
      </c>
      <c r="C11" s="1175"/>
      <c r="D11" s="351"/>
      <c r="E11" s="357" t="s">
        <v>1408</v>
      </c>
      <c r="F11" s="358">
        <f ca="1">'数据-取费表'!B39</f>
        <v>1.4999999999999999E-2</v>
      </c>
      <c r="G11" s="1847"/>
      <c r="H11" s="1296"/>
      <c r="I11" s="1821" t="s">
        <v>1599</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ROUND(INDIRECT("'数据-取费表'!l"&amp;$G$1)*F43+'数据-取费表'!L14*INDIRECT("'数据-取费表'!S"&amp;$G$1),0)</f>
        <v>0</v>
      </c>
      <c r="D14" s="1796" t="s">
        <v>1414</v>
      </c>
      <c r="E14" s="1790"/>
      <c r="F14" s="363"/>
      <c r="G14" s="1847"/>
      <c r="H14" s="1198" t="s">
        <v>1032</v>
      </c>
      <c r="I14" s="346" t="s">
        <v>1415</v>
      </c>
      <c r="J14" s="24">
        <f ca="1">C29</f>
        <v>0</v>
      </c>
      <c r="K14" s="1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1335"/>
      <c r="M16" s="1291"/>
    </row>
    <row r="17" spans="1:37" s="1854" customFormat="1" ht="18" customHeight="1">
      <c r="A17" s="1198" t="s">
        <v>1386</v>
      </c>
      <c r="B17" s="346" t="s">
        <v>1422</v>
      </c>
      <c r="C17" s="24">
        <f ca="1">ROUND(F17*(F43+INDIRECT("'数据-取费表'!S"&amp;$G$1)),0)</f>
        <v>0</v>
      </c>
      <c r="D17" s="346" t="s">
        <v>1423</v>
      </c>
      <c r="E17" s="346" t="s">
        <v>1424</v>
      </c>
      <c r="F17" s="26">
        <f>'数据-取费表'!B35</f>
        <v>200</v>
      </c>
      <c r="G17" s="1850"/>
      <c r="H17" s="1198"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1814"/>
      <c r="F19" s="26"/>
      <c r="G19" s="1847"/>
      <c r="H19" s="1198"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ROUND(M20*M21,0)</f>
        <v>0</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4"/>
      <c r="F22" s="26"/>
      <c r="G22" s="1847"/>
      <c r="H22" s="1198" t="s">
        <v>1036</v>
      </c>
      <c r="I22" s="346" t="s">
        <v>1445</v>
      </c>
      <c r="J22" s="24">
        <f ca="1">ROUND(J14*M22,0)</f>
        <v>0</v>
      </c>
      <c r="K22" s="1794"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ROUND(J13*M23,0)</f>
        <v>0</v>
      </c>
      <c r="K23" s="1794" t="s">
        <v>1450</v>
      </c>
      <c r="L23" s="346" t="s">
        <v>1451</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4"/>
      <c r="D25" s="139" t="s">
        <v>1458</v>
      </c>
      <c r="E25" s="1814"/>
      <c r="F25" s="26"/>
      <c r="G25" s="1847"/>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1335"/>
      <c r="F30" s="1291"/>
      <c r="G30" s="1847"/>
      <c r="H30" s="744"/>
      <c r="I30" s="745"/>
      <c r="J30" s="746"/>
      <c r="K30" s="747"/>
      <c r="L30" s="748"/>
      <c r="M30" s="749"/>
    </row>
    <row r="31" spans="1:37" ht="18" customHeight="1">
      <c r="A31" s="1198"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IF(项目基本情况!B11="自然人","——",ROUND(C5*F32/(1+'数据-取费表'!C42),0))</f>
        <v>0</v>
      </c>
      <c r="D32" s="1794"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8" t="s">
        <v>1385</v>
      </c>
      <c r="B34" s="163" t="s">
        <v>1437</v>
      </c>
      <c r="C34" s="25">
        <f ca="1">IF(项目基本情况!B11="自然人","——",ROUND(F34*F35,))</f>
        <v>0</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ROUND(C29*F36,0)</f>
        <v>0</v>
      </c>
      <c r="D36" s="1794"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ROUND(C13*F37,0)</f>
        <v>0</v>
      </c>
      <c r="D37" s="1794" t="s">
        <v>1450</v>
      </c>
      <c r="E37" s="346" t="s">
        <v>1451</v>
      </c>
      <c r="F37" s="375">
        <f ca="1">INDIRECT("'数据-取费表'!Al"&amp;$G$1)</f>
        <v>0</v>
      </c>
      <c r="G37" s="1847"/>
      <c r="H37" s="1855"/>
      <c r="I37" s="1856"/>
      <c r="J37" s="1857"/>
      <c r="K37" s="750"/>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4">
        <f ca="1">C5-C30</f>
        <v>0</v>
      </c>
      <c r="D39" s="1342" t="s">
        <v>1480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1813">
        <f ca="1">C49+C53+C55</f>
        <v>0</v>
      </c>
      <c r="D48" s="1359"/>
      <c r="E48" s="1360"/>
      <c r="F48" s="1178"/>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1" t="s">
        <v>1133</v>
      </c>
      <c r="B49" s="1825" t="s">
        <v>1486</v>
      </c>
      <c r="C49" s="1361">
        <f ca="1">ROUND(F49*F51*F50*(1-F52),0)</f>
        <v>0</v>
      </c>
      <c r="D49" s="1273" t="s">
        <v>1400</v>
      </c>
      <c r="E49" s="1826" t="s">
        <v>1487</v>
      </c>
      <c r="F49" s="1278"/>
      <c r="G49" s="1887"/>
      <c r="H49" s="792"/>
      <c r="I49" s="1883" t="s">
        <v>1530</v>
      </c>
      <c r="J49" s="1888"/>
      <c r="K49" s="1885" t="s">
        <v>1531</v>
      </c>
      <c r="L49" s="1889"/>
      <c r="O49" s="1890" t="s">
        <v>1039</v>
      </c>
      <c r="P49" s="1881" t="s">
        <v>1532</v>
      </c>
      <c r="Q49" s="1882">
        <f ca="1">C29</f>
        <v>0</v>
      </c>
      <c r="R49" s="1882" t="s">
        <v>1525</v>
      </c>
    </row>
    <row r="50" spans="1:18" s="1838" customFormat="1" ht="13.5" thickBot="1">
      <c r="A50" s="1192"/>
      <c r="B50" s="1195"/>
      <c r="C50" s="1196"/>
      <c r="D50" s="1169"/>
      <c r="E50" s="1274" t="s">
        <v>1402</v>
      </c>
      <c r="F50" s="1275">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3"/>
      <c r="B51" s="1195"/>
      <c r="C51" s="1196"/>
      <c r="D51" s="1169"/>
      <c r="E51" s="1197" t="s">
        <v>1403</v>
      </c>
      <c r="F51" s="347">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8" t="s">
        <v>1405</v>
      </c>
      <c r="C53" s="360">
        <f ca="1">ROUND(IF(F53="押一",C49/12*F11,IF(F53="押二",C49/12*2*F11,IF(F53="押三",C49/12*3*F11,C54*F11))),0)</f>
        <v>0</v>
      </c>
      <c r="D53" s="1820" t="s">
        <v>3031</v>
      </c>
      <c r="E53" s="357"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289" t="s">
        <v>1544</v>
      </c>
      <c r="L53" s="3290"/>
      <c r="O53" s="1880" t="s">
        <v>1043</v>
      </c>
      <c r="P53" s="1881" t="s">
        <v>1545</v>
      </c>
      <c r="Q53" s="1882" t="e">
        <f ca="1">Q47+Q48</f>
        <v>#DIV/0!</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9" t="s">
        <v>1027</v>
      </c>
      <c r="B58" s="1174" t="s">
        <v>1420</v>
      </c>
      <c r="C58" s="360">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IF(项目基本情况!B11="自然人","——",ROUND(F62*F63,0))</f>
        <v>0</v>
      </c>
      <c r="D62" s="1181" t="s">
        <v>1493</v>
      </c>
      <c r="E62" s="1166" t="s">
        <v>1494</v>
      </c>
      <c r="F62" s="370">
        <f t="shared" si="0"/>
        <v>10</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1"/>
      <c r="B63" s="1172"/>
      <c r="C63" s="29"/>
      <c r="D63" s="1182"/>
      <c r="E63" s="1166" t="s">
        <v>1495</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ROUND(C57*F64,0)</f>
        <v>0</v>
      </c>
      <c r="D64" s="1180" t="s">
        <v>1498</v>
      </c>
      <c r="E64" s="1166" t="s">
        <v>1490</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ROUND(C56*F65,0)</f>
        <v>0</v>
      </c>
      <c r="D65" s="1180" t="s">
        <v>1450</v>
      </c>
      <c r="E65" s="1166" t="s">
        <v>1451</v>
      </c>
      <c r="F65" s="375">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8" t="s">
        <v>1500</v>
      </c>
      <c r="B66" s="1166" t="s">
        <v>1435</v>
      </c>
      <c r="C66" s="24">
        <f ca="1">ROUND(C48*F66,0)</f>
        <v>0</v>
      </c>
      <c r="D66" s="1180" t="s">
        <v>1501</v>
      </c>
      <c r="E66" s="1166" t="s">
        <v>1418</v>
      </c>
      <c r="F66" s="356">
        <f t="shared" ca="1" si="0"/>
        <v>0</v>
      </c>
      <c r="O66" s="1880" t="s">
        <v>1038</v>
      </c>
      <c r="P66" s="1881" t="s">
        <v>1554</v>
      </c>
      <c r="Q66" s="1882" t="e">
        <f ca="1">L60</f>
        <v>#DIV/0!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f ca="1">F42</f>
        <v>0</v>
      </c>
      <c r="O70" s="1890" t="s">
        <v>1046</v>
      </c>
      <c r="P70" s="1930" t="s">
        <v>1581</v>
      </c>
      <c r="Q70" s="1882">
        <f ca="1">C13</f>
        <v>0</v>
      </c>
      <c r="R70" s="1882" t="s">
        <v>1525</v>
      </c>
    </row>
    <row r="71" spans="1:18" s="1838" customFormat="1" ht="13.5" thickBot="1">
      <c r="A71" s="1187" t="s">
        <v>1030</v>
      </c>
      <c r="B71" s="1188" t="s">
        <v>1483</v>
      </c>
      <c r="C71" s="381" t="e">
        <f ca="1">ROUND(C68/F71,0)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310" t="s">
        <v>1073</v>
      </c>
      <c r="B1" s="3311"/>
      <c r="C1" s="3312"/>
      <c r="D1" s="3313">
        <f>SUM(I10,I15,I20,I21,I23)</f>
        <v>0</v>
      </c>
      <c r="E1" s="3313"/>
      <c r="F1" s="3313"/>
      <c r="G1" s="3313"/>
      <c r="H1" s="3313"/>
      <c r="I1" s="3314"/>
    </row>
    <row r="2" spans="1:9">
      <c r="A2" s="3300" t="s">
        <v>1074</v>
      </c>
      <c r="B2" s="3301" t="s">
        <v>1075</v>
      </c>
      <c r="C2" s="3301"/>
      <c r="D2" s="1298" t="s">
        <v>1076</v>
      </c>
      <c r="E2" s="1298" t="s">
        <v>1077</v>
      </c>
      <c r="F2" s="1298" t="s">
        <v>1078</v>
      </c>
      <c r="G2" s="1298" t="s">
        <v>1079</v>
      </c>
      <c r="H2" s="1298" t="s">
        <v>1080</v>
      </c>
      <c r="I2" s="1299" t="s">
        <v>1081</v>
      </c>
    </row>
    <row r="3" spans="1:9">
      <c r="A3" s="3300"/>
      <c r="B3" s="3301" t="s">
        <v>1082</v>
      </c>
      <c r="C3" s="3301"/>
      <c r="D3" s="1300"/>
      <c r="E3" s="1298"/>
      <c r="F3" s="1301"/>
      <c r="G3" s="1301"/>
      <c r="H3" s="1302"/>
      <c r="I3" s="1303">
        <f>ROUND(D3*E3*F3*G3*H3/10000,0)</f>
        <v>0</v>
      </c>
    </row>
    <row r="4" spans="1:9">
      <c r="A4" s="3300"/>
      <c r="B4" s="3301" t="s">
        <v>1083</v>
      </c>
      <c r="C4" s="3301"/>
      <c r="D4" s="1300"/>
      <c r="E4" s="1298"/>
      <c r="F4" s="1301"/>
      <c r="G4" s="1301"/>
      <c r="H4" s="1302"/>
      <c r="I4" s="1303">
        <f t="shared" ref="I4:I9" si="0">ROUND(D4*E4*F4*G4*H4/10000,0)</f>
        <v>0</v>
      </c>
    </row>
    <row r="5" spans="1:9">
      <c r="A5" s="3300"/>
      <c r="B5" s="3301" t="s">
        <v>1084</v>
      </c>
      <c r="C5" s="3301"/>
      <c r="D5" s="1300"/>
      <c r="E5" s="1298"/>
      <c r="F5" s="1301"/>
      <c r="G5" s="1301"/>
      <c r="H5" s="1302"/>
      <c r="I5" s="1303">
        <f t="shared" si="0"/>
        <v>0</v>
      </c>
    </row>
    <row r="6" spans="1:9">
      <c r="A6" s="3300"/>
      <c r="B6" s="3301" t="s">
        <v>1085</v>
      </c>
      <c r="C6" s="3301"/>
      <c r="D6" s="1300"/>
      <c r="E6" s="1298"/>
      <c r="F6" s="1301"/>
      <c r="G6" s="1301"/>
      <c r="H6" s="1302"/>
      <c r="I6" s="1303">
        <f t="shared" si="0"/>
        <v>0</v>
      </c>
    </row>
    <row r="7" spans="1:9">
      <c r="A7" s="3300"/>
      <c r="B7" s="3301" t="s">
        <v>1086</v>
      </c>
      <c r="C7" s="3301"/>
      <c r="D7" s="1300"/>
      <c r="E7" s="1298"/>
      <c r="F7" s="1301"/>
      <c r="G7" s="1301"/>
      <c r="H7" s="1302"/>
      <c r="I7" s="1303">
        <f t="shared" si="0"/>
        <v>0</v>
      </c>
    </row>
    <row r="8" spans="1:9">
      <c r="A8" s="3300"/>
      <c r="B8" s="3301" t="s">
        <v>1087</v>
      </c>
      <c r="C8" s="3301"/>
      <c r="D8" s="1300"/>
      <c r="E8" s="1298"/>
      <c r="F8" s="1301"/>
      <c r="G8" s="1301"/>
      <c r="H8" s="1302"/>
      <c r="I8" s="1303">
        <f t="shared" si="0"/>
        <v>0</v>
      </c>
    </row>
    <row r="9" spans="1:9">
      <c r="A9" s="3300"/>
      <c r="B9" s="3301" t="s">
        <v>1088</v>
      </c>
      <c r="C9" s="3301"/>
      <c r="D9" s="1300"/>
      <c r="E9" s="1298"/>
      <c r="F9" s="1301"/>
      <c r="G9" s="1301"/>
      <c r="H9" s="1302"/>
      <c r="I9" s="1303">
        <f t="shared" si="0"/>
        <v>0</v>
      </c>
    </row>
    <row r="10" spans="1:9">
      <c r="A10" s="3300"/>
      <c r="B10" s="3302" t="s">
        <v>1089</v>
      </c>
      <c r="C10" s="3302"/>
      <c r="D10" s="1304"/>
      <c r="E10" s="1304" t="e">
        <f>ROUND(D1*10000/D10/H9,0)</f>
        <v>#DIV/0!</v>
      </c>
      <c r="F10" s="1305"/>
      <c r="G10" s="1305"/>
      <c r="H10" s="1306"/>
      <c r="I10" s="1307">
        <f>SUM(I3:I9)</f>
        <v>0</v>
      </c>
    </row>
    <row r="11" spans="1:9" ht="14.25">
      <c r="A11" s="3300" t="s">
        <v>1090</v>
      </c>
      <c r="B11" s="3301" t="s">
        <v>1091</v>
      </c>
      <c r="C11" s="3301"/>
      <c r="D11" s="1300" t="s">
        <v>1092</v>
      </c>
      <c r="E11" s="1300" t="s">
        <v>1093</v>
      </c>
      <c r="F11" s="1301" t="s">
        <v>1094</v>
      </c>
      <c r="G11" s="1301" t="s">
        <v>1080</v>
      </c>
      <c r="H11" s="1308" t="s">
        <v>1095</v>
      </c>
      <c r="I11" s="1299" t="s">
        <v>1081</v>
      </c>
    </row>
    <row r="12" spans="1:9">
      <c r="A12" s="3300"/>
      <c r="B12" s="3301" t="s">
        <v>1096</v>
      </c>
      <c r="C12" s="3301"/>
      <c r="D12" s="1300"/>
      <c r="E12" s="1300"/>
      <c r="F12" s="1301"/>
      <c r="G12" s="1302"/>
      <c r="H12" s="1309"/>
      <c r="I12" s="1299">
        <f>ROUND(D12*E12*F12*G12/10000,0)</f>
        <v>0</v>
      </c>
    </row>
    <row r="13" spans="1:9">
      <c r="A13" s="3300"/>
      <c r="B13" s="3301" t="s">
        <v>1097</v>
      </c>
      <c r="C13" s="3301"/>
      <c r="D13" s="1300"/>
      <c r="E13" s="1300"/>
      <c r="F13" s="1301"/>
      <c r="G13" s="1302"/>
      <c r="H13" s="1309"/>
      <c r="I13" s="1299">
        <f>ROUND(D13*E13*F13*G13/10000,0)</f>
        <v>0</v>
      </c>
    </row>
    <row r="14" spans="1:9">
      <c r="A14" s="3300"/>
      <c r="B14" s="3301" t="s">
        <v>1098</v>
      </c>
      <c r="C14" s="3301"/>
      <c r="D14" s="1300"/>
      <c r="E14" s="1300"/>
      <c r="F14" s="1301"/>
      <c r="G14" s="1302"/>
      <c r="H14" s="1309"/>
      <c r="I14" s="1299">
        <f>ROUND(D14*E14*F14*G14/10000,0)</f>
        <v>0</v>
      </c>
    </row>
    <row r="15" spans="1:9">
      <c r="A15" s="3300"/>
      <c r="B15" s="3302" t="s">
        <v>1089</v>
      </c>
      <c r="C15" s="3302"/>
      <c r="D15" s="1304"/>
      <c r="E15" s="1304">
        <f>SUM(E12:E14)</f>
        <v>0</v>
      </c>
      <c r="F15" s="1305"/>
      <c r="G15" s="1302"/>
      <c r="H15" s="1309"/>
      <c r="I15" s="1310">
        <f>SUM(I12:I14)</f>
        <v>0</v>
      </c>
    </row>
    <row r="16" spans="1:9" ht="24">
      <c r="A16" s="3300" t="s">
        <v>1099</v>
      </c>
      <c r="B16" s="3301" t="s">
        <v>1100</v>
      </c>
      <c r="C16" s="3301"/>
      <c r="D16" s="1300" t="s">
        <v>1076</v>
      </c>
      <c r="E16" s="1311" t="s">
        <v>1101</v>
      </c>
      <c r="F16" s="1301" t="s">
        <v>1102</v>
      </c>
      <c r="G16" s="1302" t="s">
        <v>1080</v>
      </c>
      <c r="H16" s="1308" t="s">
        <v>1095</v>
      </c>
      <c r="I16" s="1299" t="s">
        <v>1081</v>
      </c>
    </row>
    <row r="17" spans="1:9" ht="14.25">
      <c r="A17" s="3300"/>
      <c r="B17" s="3301" t="s">
        <v>1103</v>
      </c>
      <c r="C17" s="3301"/>
      <c r="D17" s="1300"/>
      <c r="E17" s="1300"/>
      <c r="F17" s="1301"/>
      <c r="G17" s="1302"/>
      <c r="H17" s="1312"/>
      <c r="I17" s="1313">
        <f>ROUND(D17*E17*F17*G17/10000,0)</f>
        <v>0</v>
      </c>
    </row>
    <row r="18" spans="1:9" ht="14.25">
      <c r="A18" s="3300"/>
      <c r="B18" s="3301" t="s">
        <v>1104</v>
      </c>
      <c r="C18" s="3301"/>
      <c r="D18" s="1300"/>
      <c r="E18" s="1300"/>
      <c r="F18" s="1301"/>
      <c r="G18" s="1302"/>
      <c r="H18" s="1312"/>
      <c r="I18" s="1313">
        <f>ROUND(D18*E18*F18*G18/10000,0)</f>
        <v>0</v>
      </c>
    </row>
    <row r="19" spans="1:9" ht="14.25">
      <c r="A19" s="3300"/>
      <c r="B19" s="3301" t="s">
        <v>1105</v>
      </c>
      <c r="C19" s="3301"/>
      <c r="D19" s="1300"/>
      <c r="E19" s="1300"/>
      <c r="F19" s="1301"/>
      <c r="G19" s="1302"/>
      <c r="H19" s="1312"/>
      <c r="I19" s="1313">
        <f>ROUND(D19*E19*F19*G19/10000,0)</f>
        <v>0</v>
      </c>
    </row>
    <row r="20" spans="1:9">
      <c r="A20" s="3300"/>
      <c r="B20" s="3302" t="s">
        <v>1089</v>
      </c>
      <c r="C20" s="3302"/>
      <c r="D20" s="1304">
        <f>SUM(D17:D19)</f>
        <v>0</v>
      </c>
      <c r="E20" s="1304"/>
      <c r="F20" s="1305"/>
      <c r="G20" s="1302"/>
      <c r="H20" s="1309"/>
      <c r="I20" s="1310">
        <f>SUM(I17:I19)</f>
        <v>0</v>
      </c>
    </row>
    <row r="21" spans="1:9">
      <c r="A21" s="3300" t="s">
        <v>1106</v>
      </c>
      <c r="B21" s="3303"/>
      <c r="C21" s="3303"/>
      <c r="D21" s="3303"/>
      <c r="E21" s="3303"/>
      <c r="F21" s="3303"/>
      <c r="G21" s="3303"/>
      <c r="H21" s="1761">
        <v>0.1</v>
      </c>
      <c r="I21" s="1307">
        <f>ROUND(I10*H21,0)</f>
        <v>0</v>
      </c>
    </row>
    <row r="22" spans="1:9" ht="14.25">
      <c r="A22" s="3304" t="s">
        <v>1107</v>
      </c>
      <c r="B22" s="3305"/>
      <c r="C22" s="3306"/>
      <c r="D22" s="1314" t="s">
        <v>1108</v>
      </c>
      <c r="E22" s="1314" t="s">
        <v>1109</v>
      </c>
      <c r="F22" s="1315" t="s">
        <v>1110</v>
      </c>
      <c r="G22" s="1315" t="s">
        <v>1111</v>
      </c>
      <c r="H22" s="1308" t="s">
        <v>1112</v>
      </c>
      <c r="I22" s="1299" t="s">
        <v>1113</v>
      </c>
    </row>
    <row r="23" spans="1:9" ht="14.25" thickBot="1">
      <c r="A23" s="3307"/>
      <c r="B23" s="3308"/>
      <c r="C23" s="3309"/>
      <c r="D23" s="1316"/>
      <c r="E23" s="1316"/>
      <c r="F23" s="1316"/>
      <c r="G23" s="1317"/>
      <c r="H23" s="1318"/>
      <c r="I23" s="1319">
        <f>ROUND(E23*D23*F23*(1-G23)/10000,0)</f>
        <v>0</v>
      </c>
    </row>
    <row r="26" spans="1:9">
      <c r="A26" s="1320" t="s">
        <v>1114</v>
      </c>
      <c r="B26" s="1320"/>
      <c r="C26" s="1320"/>
      <c r="D26" s="1320"/>
      <c r="E26" s="3297">
        <f>C27-C30-C31-C32</f>
        <v>0</v>
      </c>
      <c r="F26" s="3297"/>
      <c r="G26" s="3297"/>
      <c r="H26" s="1733" t="s">
        <v>1336</v>
      </c>
    </row>
    <row r="27" spans="1:9">
      <c r="A27" s="1321">
        <v>1</v>
      </c>
      <c r="B27" s="1322" t="s">
        <v>1115</v>
      </c>
      <c r="C27" s="1322">
        <f>C28+C29</f>
        <v>0</v>
      </c>
      <c r="D27" s="1322"/>
      <c r="E27" s="3298"/>
      <c r="F27" s="3298"/>
      <c r="G27" s="3298"/>
    </row>
    <row r="28" spans="1:9">
      <c r="A28" s="1323" t="s">
        <v>1116</v>
      </c>
      <c r="B28" s="1322" t="s">
        <v>1117</v>
      </c>
      <c r="C28" s="1322"/>
      <c r="D28" s="1322"/>
      <c r="E28" s="3298"/>
      <c r="F28" s="3298"/>
      <c r="G28" s="329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99"/>
      <c r="F32" s="3299"/>
      <c r="G32" s="3299"/>
    </row>
    <row r="33" spans="1:7" hidden="1">
      <c r="A33" s="3294" t="s">
        <v>1126</v>
      </c>
      <c r="B33" s="3295"/>
      <c r="C33" s="3295"/>
      <c r="D33" s="3296"/>
      <c r="E33" s="3297"/>
      <c r="F33" s="3297"/>
      <c r="G33" s="3297"/>
    </row>
    <row r="34" spans="1:7" hidden="1">
      <c r="A34" s="1325">
        <v>1</v>
      </c>
      <c r="B34" s="1322" t="s">
        <v>1127</v>
      </c>
      <c r="C34" s="1322"/>
      <c r="D34" s="1322"/>
      <c r="E34" s="3298"/>
      <c r="F34" s="3298"/>
      <c r="G34" s="3298"/>
    </row>
    <row r="35" spans="1:7" hidden="1">
      <c r="A35" s="1325">
        <v>2</v>
      </c>
      <c r="B35" s="1322" t="s">
        <v>1128</v>
      </c>
      <c r="C35" s="1322"/>
      <c r="D35" s="1322"/>
      <c r="E35" s="3298"/>
      <c r="F35" s="3298"/>
      <c r="G35" s="3298"/>
    </row>
    <row r="36" spans="1:7" hidden="1">
      <c r="A36" s="1325">
        <v>3</v>
      </c>
      <c r="B36" s="1322" t="s">
        <v>1129</v>
      </c>
      <c r="C36" s="1322"/>
      <c r="D36" s="1322"/>
      <c r="E36" s="3298"/>
      <c r="F36" s="3298"/>
      <c r="G36" s="3298"/>
    </row>
    <row r="37" spans="1:7" hidden="1">
      <c r="A37" s="1325">
        <v>4</v>
      </c>
      <c r="B37" s="1322" t="s">
        <v>1130</v>
      </c>
      <c r="C37" s="1322"/>
      <c r="D37" s="1322"/>
      <c r="E37" s="3298"/>
      <c r="F37" s="3298"/>
      <c r="G37" s="3298"/>
    </row>
    <row r="38" spans="1:7" hidden="1">
      <c r="A38" s="3294" t="s">
        <v>1131</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4" t="s">
        <v>2517</v>
      </c>
      <c r="C1" s="1630" t="s">
        <v>2518</v>
      </c>
      <c r="D1" s="1617"/>
      <c r="E1" s="2575"/>
      <c r="F1" s="2576" t="s">
        <v>2519</v>
      </c>
      <c r="G1" s="1627" t="s">
        <v>2520</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2" customFormat="1" ht="28.5" customHeight="1" thickTop="1">
      <c r="A2" s="1613" t="s">
        <v>1390</v>
      </c>
      <c r="B2" s="1415" t="e">
        <f ca="1">IF(C2="——",ROUND(C49*D3/10000,0),ROUND(C49*D3/10000,0)-D2)</f>
        <v>#DIV/0!</v>
      </c>
      <c r="C2" s="2578"/>
      <c r="D2" s="1362" t="e">
        <f ca="1">SUMIF(INDIRECT("'"&amp;F2&amp;"'"&amp;"!A:A"),"承租人权益价值",INDIRECT("'"&amp;F2&amp;"'"&amp;"!c:c"))</f>
        <v>#REF!</v>
      </c>
      <c r="E2" s="2579" t="s">
        <v>2521</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1391</v>
      </c>
      <c r="B3" s="398" t="e">
        <f ca="1">IF(C2="——",C49,ROUND(B2*10000/D3,0))</f>
        <v>#DIV/0!</v>
      </c>
      <c r="C3" s="399" t="s">
        <v>2522</v>
      </c>
      <c r="D3" s="398">
        <f>IF(D1="",'数据-汇总表'!E3,SUMIF('数据-汇总表'!$C19:$C33,D1,'数据-汇总表'!$E19:$E33))</f>
        <v>75745.560000000012</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0" t="s">
        <v>2523</v>
      </c>
      <c r="B4" s="401"/>
      <c r="C4" s="3249" t="s">
        <v>2524</v>
      </c>
      <c r="D4" s="3262"/>
      <c r="E4" s="3263" t="s">
        <v>2525</v>
      </c>
      <c r="F4" s="3264"/>
      <c r="G4" s="3249" t="s">
        <v>2526</v>
      </c>
      <c r="H4" s="3262"/>
      <c r="I4" s="3249" t="s">
        <v>2527</v>
      </c>
      <c r="J4" s="3262"/>
      <c r="K4" s="2588" t="s">
        <v>2528</v>
      </c>
      <c r="L4" s="1127"/>
      <c r="M4" s="1128"/>
      <c r="N4" s="1128"/>
      <c r="O4" s="1128"/>
      <c r="P4" s="3265" t="s">
        <v>2529</v>
      </c>
      <c r="Q4" s="3266"/>
      <c r="R4" s="3271" t="s">
        <v>2525</v>
      </c>
      <c r="S4" s="3272"/>
      <c r="T4" s="3271" t="s">
        <v>2526</v>
      </c>
      <c r="U4" s="3272"/>
      <c r="V4" s="3258" t="s">
        <v>2527</v>
      </c>
      <c r="W4" s="3258"/>
      <c r="X4" s="1809"/>
      <c r="Y4" s="3271" t="s">
        <v>2529</v>
      </c>
      <c r="Z4" s="3272"/>
      <c r="AA4" s="3259" t="s">
        <v>2525</v>
      </c>
      <c r="AB4" s="3259" t="s">
        <v>2526</v>
      </c>
      <c r="AC4" s="3259" t="s">
        <v>2527</v>
      </c>
    </row>
    <row r="5" spans="1:29" ht="15">
      <c r="A5" s="403"/>
      <c r="B5" s="404"/>
      <c r="C5" s="3279" t="s">
        <v>2530</v>
      </c>
      <c r="D5" s="3280"/>
      <c r="E5" s="3286" t="s">
        <v>2531</v>
      </c>
      <c r="F5" s="3287"/>
      <c r="G5" s="3279" t="s">
        <v>2532</v>
      </c>
      <c r="H5" s="3280"/>
      <c r="I5" s="3279" t="s">
        <v>2533</v>
      </c>
      <c r="J5" s="3280"/>
      <c r="K5" s="2589"/>
      <c r="L5" s="1127"/>
      <c r="M5" s="1128"/>
      <c r="N5" s="1128"/>
      <c r="O5" s="1128"/>
      <c r="P5" s="3267"/>
      <c r="Q5" s="3268"/>
      <c r="R5" s="3273"/>
      <c r="S5" s="3274"/>
      <c r="T5" s="3273"/>
      <c r="U5" s="3274"/>
      <c r="V5" s="3258"/>
      <c r="W5" s="3258"/>
      <c r="X5" s="1809"/>
      <c r="Y5" s="3273"/>
      <c r="Z5" s="3274"/>
      <c r="AA5" s="3260"/>
      <c r="AB5" s="3260"/>
      <c r="AC5" s="3260"/>
    </row>
    <row r="6" spans="1:29" ht="15.75" thickBot="1">
      <c r="A6" s="405"/>
      <c r="B6" s="406"/>
      <c r="C6" s="3277" t="s">
        <v>2534</v>
      </c>
      <c r="D6" s="3278"/>
      <c r="E6" s="3284" t="s">
        <v>2534</v>
      </c>
      <c r="F6" s="3285"/>
      <c r="G6" s="3277" t="s">
        <v>2534</v>
      </c>
      <c r="H6" s="3278"/>
      <c r="I6" s="3277" t="s">
        <v>2534</v>
      </c>
      <c r="J6" s="3278"/>
      <c r="K6" s="2589" t="s">
        <v>2535</v>
      </c>
      <c r="L6" s="1127"/>
      <c r="M6" s="1128"/>
      <c r="N6" s="1128"/>
      <c r="O6" s="1128"/>
      <c r="P6" s="3269"/>
      <c r="Q6" s="3270"/>
      <c r="R6" s="3273"/>
      <c r="S6" s="3274"/>
      <c r="T6" s="3275"/>
      <c r="U6" s="3276"/>
      <c r="V6" s="3258"/>
      <c r="W6" s="3258"/>
      <c r="X6" s="1809"/>
      <c r="Y6" s="3275"/>
      <c r="Z6" s="3276"/>
      <c r="AA6" s="3261"/>
      <c r="AB6" s="3261"/>
      <c r="AC6" s="3261"/>
    </row>
    <row r="7" spans="1:29" s="117" customFormat="1" ht="15.75" thickBot="1">
      <c r="A7" s="407" t="s">
        <v>2536</v>
      </c>
      <c r="B7" s="408"/>
      <c r="C7" s="409">
        <f>'数据-取费表'!B2</f>
        <v>43525</v>
      </c>
      <c r="D7" s="410">
        <v>100</v>
      </c>
      <c r="E7" s="411"/>
      <c r="F7" s="412">
        <f>SUMIF(58:58,YEAR(E7)&amp;"-"&amp;MONTH(E7),59:59)</f>
        <v>0</v>
      </c>
      <c r="G7" s="411"/>
      <c r="H7" s="410">
        <f>SUMIF(58:58,YEAR(G7)&amp;"-"&amp;MONTH(G7),59:59)</f>
        <v>0</v>
      </c>
      <c r="I7" s="411"/>
      <c r="J7" s="410">
        <f>SUMIF(58:58,YEAR(I7)&amp;"-"&amp;MONTH(I7),59:59)</f>
        <v>0</v>
      </c>
      <c r="K7" s="2590"/>
      <c r="L7" s="1129"/>
      <c r="M7" s="1130"/>
      <c r="N7" s="1130"/>
      <c r="O7" s="1130"/>
      <c r="P7" s="3281" t="s">
        <v>2537</v>
      </c>
      <c r="Q7" s="3283"/>
      <c r="R7" s="769" t="s">
        <v>23</v>
      </c>
      <c r="S7" s="770">
        <f t="shared" ref="S7:S15" si="0">F7</f>
        <v>0</v>
      </c>
      <c r="T7" s="769" t="s">
        <v>23</v>
      </c>
      <c r="U7" s="770">
        <f t="shared" ref="U7:U15" si="1">H7</f>
        <v>0</v>
      </c>
      <c r="V7" s="769" t="s">
        <v>23</v>
      </c>
      <c r="W7" s="770">
        <f t="shared" ref="W7:W15" si="2">J7</f>
        <v>0</v>
      </c>
      <c r="X7" s="771"/>
      <c r="Y7" s="3281" t="s">
        <v>2537</v>
      </c>
      <c r="Z7" s="3282"/>
      <c r="AA7" s="772" t="e">
        <f>D7/F7</f>
        <v>#DIV/0!</v>
      </c>
      <c r="AB7" s="772" t="e">
        <f>D7/H7</f>
        <v>#DIV/0!</v>
      </c>
      <c r="AC7" s="772" t="e">
        <f>D7/J7</f>
        <v>#DIV/0!</v>
      </c>
    </row>
    <row r="8" spans="1:29" s="117" customFormat="1" ht="15.75" thickBot="1">
      <c r="A8" s="407" t="s">
        <v>2538</v>
      </c>
      <c r="B8" s="408"/>
      <c r="C8" s="413" t="s">
        <v>2539</v>
      </c>
      <c r="D8" s="410">
        <v>100</v>
      </c>
      <c r="E8" s="2591"/>
      <c r="F8" s="412">
        <f>SUMIF(61:61,E8,62:62)-SUMIF(61:61,C8,62:62)+100</f>
        <v>0</v>
      </c>
      <c r="G8" s="413"/>
      <c r="H8" s="410">
        <f>SUMIF(61:61,G8,62:62)-SUMIF(61:61,C8,62:62)+100</f>
        <v>0</v>
      </c>
      <c r="I8" s="2591"/>
      <c r="J8" s="410">
        <f>SUMIF(61:61,I8,62:62)-SUMIF(61:61,C8,62:62)+100</f>
        <v>0</v>
      </c>
      <c r="K8" s="2590"/>
      <c r="L8" s="1129"/>
      <c r="M8" s="1130"/>
      <c r="N8" s="1130"/>
      <c r="O8" s="1130"/>
      <c r="P8" s="3281" t="s">
        <v>2540</v>
      </c>
      <c r="Q8" s="3282"/>
      <c r="R8" s="769" t="s">
        <v>23</v>
      </c>
      <c r="S8" s="770">
        <f t="shared" si="0"/>
        <v>0</v>
      </c>
      <c r="T8" s="769" t="s">
        <v>23</v>
      </c>
      <c r="U8" s="770">
        <f t="shared" si="1"/>
        <v>0</v>
      </c>
      <c r="V8" s="769" t="s">
        <v>23</v>
      </c>
      <c r="W8" s="770">
        <f t="shared" si="2"/>
        <v>0</v>
      </c>
      <c r="X8" s="771"/>
      <c r="Y8" s="3281" t="s">
        <v>2540</v>
      </c>
      <c r="Z8" s="3282"/>
      <c r="AA8" s="772" t="e">
        <f t="shared" ref="AA8:AA19" si="3">D8/F8</f>
        <v>#DIV/0!</v>
      </c>
      <c r="AB8" s="772" t="e">
        <f t="shared" ref="AB8:AB19" si="4">D8/H8</f>
        <v>#DIV/0!</v>
      </c>
      <c r="AC8" s="772" t="e">
        <f t="shared" ref="AC8:AC19" si="5">D8/J8</f>
        <v>#DIV/0!</v>
      </c>
    </row>
    <row r="9" spans="1:29" s="117" customFormat="1">
      <c r="A9" s="414" t="s">
        <v>2541</v>
      </c>
      <c r="B9" s="71" t="s">
        <v>2542</v>
      </c>
      <c r="C9" s="415"/>
      <c r="D9" s="134">
        <v>100</v>
      </c>
      <c r="E9" s="416"/>
      <c r="F9" s="417">
        <f>SUMIF(63:63,E9,64:64)-SUMIF(63:63,C9,64:64)+100</f>
        <v>100</v>
      </c>
      <c r="G9" s="418"/>
      <c r="H9" s="134">
        <f>SUMIF(63:63,G9,64:64)-SUMIF(63:63,C9,64:64)+100</f>
        <v>100</v>
      </c>
      <c r="I9" s="418"/>
      <c r="J9" s="134">
        <f>SUMIF(63:63,I9,64:64)-SUMIF(63:63,C9,64:64)+100</f>
        <v>100</v>
      </c>
      <c r="K9" s="2590"/>
      <c r="L9" s="1129"/>
      <c r="M9" s="1130"/>
      <c r="N9" s="1130"/>
      <c r="O9" s="1130"/>
      <c r="P9" s="3251" t="s">
        <v>2543</v>
      </c>
      <c r="Q9" s="1791" t="str">
        <f t="shared" ref="Q9:Q15" si="6">B9</f>
        <v>用途</v>
      </c>
      <c r="R9" s="769" t="s">
        <v>17</v>
      </c>
      <c r="S9" s="770">
        <f t="shared" si="0"/>
        <v>100</v>
      </c>
      <c r="T9" s="769" t="s">
        <v>17</v>
      </c>
      <c r="U9" s="770">
        <f t="shared" si="1"/>
        <v>100</v>
      </c>
      <c r="V9" s="769" t="s">
        <v>17</v>
      </c>
      <c r="W9" s="770">
        <f t="shared" si="2"/>
        <v>100</v>
      </c>
      <c r="X9" s="771"/>
      <c r="Y9" s="3075"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51"/>
      <c r="Q10" s="1791"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51"/>
      <c r="Q11" s="1791" t="str">
        <f t="shared" si="6"/>
        <v>容积率</v>
      </c>
      <c r="R11" s="769" t="s">
        <v>21</v>
      </c>
      <c r="S11" s="770" t="e">
        <f t="shared" si="0"/>
        <v>#N/A</v>
      </c>
      <c r="T11" s="769" t="s">
        <v>21</v>
      </c>
      <c r="U11" s="770" t="e">
        <f t="shared" si="1"/>
        <v>#N/A</v>
      </c>
      <c r="V11" s="769" t="s">
        <v>21</v>
      </c>
      <c r="W11" s="770" t="e">
        <f t="shared" si="2"/>
        <v>#N/A</v>
      </c>
      <c r="X11" s="771"/>
      <c r="Y11" s="3075"/>
      <c r="Z11" s="55" t="str">
        <f t="shared" si="7"/>
        <v>容积率</v>
      </c>
      <c r="AA11" s="772" t="e">
        <f t="shared" si="3"/>
        <v>#N/A</v>
      </c>
      <c r="AB11" s="772" t="e">
        <f t="shared" si="4"/>
        <v>#N/A</v>
      </c>
      <c r="AC11" s="772" t="e">
        <f t="shared" si="5"/>
        <v>#N/A</v>
      </c>
    </row>
    <row r="12" spans="1:29" s="117"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29"/>
      <c r="M12" s="1130"/>
      <c r="N12" s="1130"/>
      <c r="O12" s="1130"/>
      <c r="P12" s="3251"/>
      <c r="Q12" s="1791">
        <f t="shared" si="6"/>
        <v>111</v>
      </c>
      <c r="R12" s="769" t="s">
        <v>21</v>
      </c>
      <c r="S12" s="770">
        <f t="shared" si="0"/>
        <v>100</v>
      </c>
      <c r="T12" s="769" t="s">
        <v>21</v>
      </c>
      <c r="U12" s="770">
        <f t="shared" si="1"/>
        <v>100</v>
      </c>
      <c r="V12" s="769" t="s">
        <v>21</v>
      </c>
      <c r="W12" s="770">
        <f t="shared" si="2"/>
        <v>100</v>
      </c>
      <c r="X12" s="771"/>
      <c r="Y12" s="3075"/>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7"/>
      <c r="M13" s="1128"/>
      <c r="N13" s="1128"/>
      <c r="O13" s="1128"/>
      <c r="P13" s="3251"/>
      <c r="Q13" s="1791">
        <f t="shared" si="6"/>
        <v>111</v>
      </c>
      <c r="R13" s="769" t="s">
        <v>21</v>
      </c>
      <c r="S13" s="770">
        <f t="shared" si="0"/>
        <v>100</v>
      </c>
      <c r="T13" s="769" t="s">
        <v>21</v>
      </c>
      <c r="U13" s="770">
        <f t="shared" si="1"/>
        <v>100</v>
      </c>
      <c r="V13" s="769" t="s">
        <v>21</v>
      </c>
      <c r="W13" s="770">
        <f t="shared" si="2"/>
        <v>100</v>
      </c>
      <c r="X13" s="771"/>
      <c r="Y13" s="3075"/>
      <c r="Z13" s="55">
        <f t="shared" si="7"/>
        <v>111</v>
      </c>
      <c r="AA13" s="772">
        <f t="shared" si="3"/>
        <v>1</v>
      </c>
      <c r="AB13" s="772">
        <f t="shared" si="4"/>
        <v>1</v>
      </c>
      <c r="AC13" s="772">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7"/>
      <c r="M14" s="1128"/>
      <c r="N14" s="1128"/>
      <c r="O14" s="1128"/>
      <c r="P14" s="3251"/>
      <c r="Q14" s="1791">
        <f t="shared" si="6"/>
        <v>111</v>
      </c>
      <c r="R14" s="769" t="s">
        <v>21</v>
      </c>
      <c r="S14" s="770">
        <f t="shared" si="0"/>
        <v>100</v>
      </c>
      <c r="T14" s="769" t="s">
        <v>21</v>
      </c>
      <c r="U14" s="770">
        <f t="shared" si="1"/>
        <v>100</v>
      </c>
      <c r="V14" s="769" t="s">
        <v>21</v>
      </c>
      <c r="W14" s="770">
        <f t="shared" si="2"/>
        <v>100</v>
      </c>
      <c r="X14" s="771"/>
      <c r="Y14" s="3075"/>
      <c r="Z14" s="55">
        <f t="shared" si="7"/>
        <v>111</v>
      </c>
      <c r="AA14" s="772">
        <f t="shared" si="3"/>
        <v>1</v>
      </c>
      <c r="AB14" s="772">
        <f t="shared" si="4"/>
        <v>1</v>
      </c>
      <c r="AC14" s="772">
        <f t="shared" si="5"/>
        <v>1</v>
      </c>
    </row>
    <row r="15" spans="1:29" ht="99.75">
      <c r="A15" s="439" t="s">
        <v>2547</v>
      </c>
      <c r="B15" s="69" t="s">
        <v>2078</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21" t="s">
        <v>2548</v>
      </c>
      <c r="Q15" s="1806" t="str">
        <f t="shared" si="6"/>
        <v>居住社区成熟度</v>
      </c>
      <c r="R15" s="773" t="s">
        <v>21</v>
      </c>
      <c r="S15" s="774">
        <f t="shared" si="0"/>
        <v>100</v>
      </c>
      <c r="T15" s="773" t="s">
        <v>21</v>
      </c>
      <c r="U15" s="774">
        <f t="shared" si="1"/>
        <v>100</v>
      </c>
      <c r="V15" s="773" t="s">
        <v>21</v>
      </c>
      <c r="W15" s="774">
        <f t="shared" si="2"/>
        <v>100</v>
      </c>
      <c r="X15" s="1809"/>
      <c r="Y15" s="3254" t="s">
        <v>2548</v>
      </c>
      <c r="Z15" s="1810" t="str">
        <f t="shared" si="7"/>
        <v>居住社区成熟度</v>
      </c>
      <c r="AA15" s="1807">
        <f t="shared" si="3"/>
        <v>1</v>
      </c>
      <c r="AB15" s="1807">
        <f t="shared" si="4"/>
        <v>1</v>
      </c>
      <c r="AC15" s="1807">
        <f t="shared" si="5"/>
        <v>1</v>
      </c>
    </row>
    <row r="16" spans="1:29" ht="15">
      <c r="A16" s="427"/>
      <c r="B16" s="445"/>
      <c r="C16" s="446"/>
      <c r="D16" s="447"/>
      <c r="E16" s="2596"/>
      <c r="F16" s="447"/>
      <c r="G16" s="2597"/>
      <c r="H16" s="449"/>
      <c r="I16" s="2597"/>
      <c r="J16" s="447"/>
      <c r="K16" s="2598"/>
      <c r="L16" s="1137"/>
      <c r="M16" s="1128"/>
      <c r="N16" s="1128"/>
      <c r="O16" s="1128"/>
      <c r="P16" s="3322"/>
      <c r="Q16" s="1806"/>
      <c r="R16" s="773"/>
      <c r="S16" s="774"/>
      <c r="T16" s="773"/>
      <c r="U16" s="774"/>
      <c r="V16" s="773"/>
      <c r="W16" s="774"/>
      <c r="X16" s="1809"/>
      <c r="Y16" s="3255"/>
      <c r="Z16" s="1810"/>
      <c r="AA16" s="1807">
        <v>1</v>
      </c>
      <c r="AB16" s="1807">
        <v>1</v>
      </c>
      <c r="AC16" s="1807">
        <v>1</v>
      </c>
    </row>
    <row r="17" spans="1:29" ht="85.5">
      <c r="A17" s="427"/>
      <c r="B17" s="450" t="s">
        <v>2090</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22"/>
      <c r="Q17" s="1806" t="str">
        <f>B17</f>
        <v>交通便捷度</v>
      </c>
      <c r="R17" s="773" t="s">
        <v>21</v>
      </c>
      <c r="S17" s="774">
        <f>F17</f>
        <v>100</v>
      </c>
      <c r="T17" s="773" t="s">
        <v>21</v>
      </c>
      <c r="U17" s="774">
        <f>H17</f>
        <v>100</v>
      </c>
      <c r="V17" s="773" t="s">
        <v>21</v>
      </c>
      <c r="W17" s="774">
        <f>J17</f>
        <v>100</v>
      </c>
      <c r="X17" s="1809"/>
      <c r="Y17" s="3255"/>
      <c r="Z17" s="1810" t="str">
        <f>Q17</f>
        <v>交通便捷度</v>
      </c>
      <c r="AA17" s="1807">
        <f t="shared" si="3"/>
        <v>1</v>
      </c>
      <c r="AB17" s="1807">
        <f t="shared" si="4"/>
        <v>1</v>
      </c>
      <c r="AC17" s="1807">
        <f t="shared" si="5"/>
        <v>1</v>
      </c>
    </row>
    <row r="18" spans="1:29" ht="15">
      <c r="A18" s="427"/>
      <c r="B18" s="455"/>
      <c r="C18" s="2600"/>
      <c r="D18" s="449"/>
      <c r="E18" s="2601"/>
      <c r="F18" s="449"/>
      <c r="G18" s="2602"/>
      <c r="H18" s="447"/>
      <c r="I18" s="2602"/>
      <c r="J18" s="447"/>
      <c r="K18" s="2598"/>
      <c r="L18" s="1137"/>
      <c r="M18" s="1128"/>
      <c r="N18" s="1128"/>
      <c r="O18" s="1128"/>
      <c r="P18" s="3322"/>
      <c r="Q18" s="1806"/>
      <c r="R18" s="773"/>
      <c r="S18" s="774"/>
      <c r="T18" s="773"/>
      <c r="U18" s="774"/>
      <c r="V18" s="773"/>
      <c r="W18" s="774"/>
      <c r="X18" s="1809"/>
      <c r="Y18" s="3255"/>
      <c r="Z18" s="1810"/>
      <c r="AA18" s="1807">
        <v>1</v>
      </c>
      <c r="AB18" s="1807">
        <v>1</v>
      </c>
      <c r="AC18" s="1807">
        <v>1</v>
      </c>
    </row>
    <row r="19" spans="1:29" ht="42.75">
      <c r="A19" s="427"/>
      <c r="B19" s="450" t="s">
        <v>2088</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22"/>
      <c r="Q19" s="1806" t="str">
        <f>B19</f>
        <v>公共配套设施</v>
      </c>
      <c r="R19" s="773" t="s">
        <v>21</v>
      </c>
      <c r="S19" s="774">
        <f>F19</f>
        <v>100</v>
      </c>
      <c r="T19" s="773" t="s">
        <v>21</v>
      </c>
      <c r="U19" s="774">
        <f>H19</f>
        <v>100</v>
      </c>
      <c r="V19" s="773" t="s">
        <v>21</v>
      </c>
      <c r="W19" s="774">
        <f>J19</f>
        <v>100</v>
      </c>
      <c r="X19" s="1809"/>
      <c r="Y19" s="3255"/>
      <c r="Z19" s="1810" t="str">
        <f>Q19</f>
        <v>公共配套设施</v>
      </c>
      <c r="AA19" s="1807">
        <f t="shared" si="3"/>
        <v>1</v>
      </c>
      <c r="AB19" s="1807">
        <f t="shared" si="4"/>
        <v>1</v>
      </c>
      <c r="AC19" s="1807">
        <f t="shared" si="5"/>
        <v>1</v>
      </c>
    </row>
    <row r="20" spans="1:29" ht="15">
      <c r="A20" s="427"/>
      <c r="B20" s="455"/>
      <c r="C20" s="446"/>
      <c r="D20" s="447"/>
      <c r="E20" s="2596"/>
      <c r="F20" s="447"/>
      <c r="G20" s="2597"/>
      <c r="H20" s="447"/>
      <c r="I20" s="2597"/>
      <c r="J20" s="447"/>
      <c r="K20" s="2598"/>
      <c r="L20" s="1137"/>
      <c r="M20" s="1128"/>
      <c r="N20" s="1128"/>
      <c r="O20" s="1128"/>
      <c r="P20" s="3322"/>
      <c r="Q20" s="1806"/>
      <c r="R20" s="773"/>
      <c r="S20" s="774"/>
      <c r="T20" s="773"/>
      <c r="U20" s="774"/>
      <c r="V20" s="773"/>
      <c r="W20" s="774"/>
      <c r="X20" s="1809"/>
      <c r="Y20" s="3255"/>
      <c r="Z20" s="1810"/>
      <c r="AA20" s="1807">
        <v>1</v>
      </c>
      <c r="AB20" s="1807">
        <v>1</v>
      </c>
      <c r="AC20" s="1807">
        <v>1</v>
      </c>
    </row>
    <row r="21" spans="1:29" ht="28.5">
      <c r="A21" s="427"/>
      <c r="B21" s="1381" t="s">
        <v>2091</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22"/>
      <c r="Q21" s="1806" t="str">
        <f>B21</f>
        <v>基础设施水平</v>
      </c>
      <c r="R21" s="773" t="s">
        <v>17</v>
      </c>
      <c r="S21" s="774">
        <f>F21</f>
        <v>100</v>
      </c>
      <c r="T21" s="773" t="s">
        <v>17</v>
      </c>
      <c r="U21" s="774">
        <f>H21</f>
        <v>100</v>
      </c>
      <c r="V21" s="773" t="s">
        <v>17</v>
      </c>
      <c r="W21" s="774">
        <f>J21</f>
        <v>100</v>
      </c>
      <c r="X21" s="1809"/>
      <c r="Y21" s="3255"/>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7"/>
      <c r="G22" s="2603"/>
      <c r="H22" s="447"/>
      <c r="I22" s="446"/>
      <c r="J22" s="447"/>
      <c r="K22" s="2604"/>
      <c r="L22" s="1137"/>
      <c r="M22" s="1128"/>
      <c r="N22" s="1128"/>
      <c r="O22" s="1128"/>
      <c r="P22" s="3322"/>
      <c r="Q22" s="1806"/>
      <c r="R22" s="773"/>
      <c r="S22" s="774"/>
      <c r="T22" s="773"/>
      <c r="U22" s="774"/>
      <c r="V22" s="773"/>
      <c r="W22" s="774"/>
      <c r="X22" s="1809"/>
      <c r="Y22" s="3255"/>
      <c r="Z22" s="1810"/>
      <c r="AA22" s="1807">
        <v>1</v>
      </c>
      <c r="AB22" s="1807">
        <v>1</v>
      </c>
      <c r="AC22" s="1807">
        <v>1</v>
      </c>
    </row>
    <row r="23" spans="1:29" ht="57">
      <c r="A23" s="427"/>
      <c r="B23" s="450" t="s">
        <v>2095</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22"/>
      <c r="Q23" s="1806" t="str">
        <f>B23</f>
        <v>自然及人文环境</v>
      </c>
      <c r="R23" s="773" t="s">
        <v>21</v>
      </c>
      <c r="S23" s="774">
        <f>F23</f>
        <v>100</v>
      </c>
      <c r="T23" s="773" t="s">
        <v>21</v>
      </c>
      <c r="U23" s="774">
        <f>H23</f>
        <v>100</v>
      </c>
      <c r="V23" s="773" t="s">
        <v>21</v>
      </c>
      <c r="W23" s="774">
        <f>J23</f>
        <v>100</v>
      </c>
      <c r="X23" s="1809"/>
      <c r="Y23" s="3255"/>
      <c r="Z23" s="1810" t="str">
        <f>Q23</f>
        <v>自然及人文环境</v>
      </c>
      <c r="AA23" s="1807">
        <f>D23/F23</f>
        <v>1</v>
      </c>
      <c r="AB23" s="1807">
        <f>D23/H23</f>
        <v>1</v>
      </c>
      <c r="AC23" s="1807">
        <f>D23/J23</f>
        <v>1</v>
      </c>
    </row>
    <row r="24" spans="1:29" ht="15">
      <c r="A24" s="427"/>
      <c r="B24" s="455"/>
      <c r="C24" s="446"/>
      <c r="D24" s="447"/>
      <c r="E24" s="2596"/>
      <c r="F24" s="447"/>
      <c r="G24" s="2597"/>
      <c r="H24" s="447"/>
      <c r="I24" s="2597"/>
      <c r="J24" s="447"/>
      <c r="K24" s="2598"/>
      <c r="L24" s="1137"/>
      <c r="M24" s="1128"/>
      <c r="N24" s="1128"/>
      <c r="O24" s="1128"/>
      <c r="P24" s="3322"/>
      <c r="Q24" s="1806"/>
      <c r="R24" s="773"/>
      <c r="S24" s="774"/>
      <c r="T24" s="773"/>
      <c r="U24" s="774"/>
      <c r="V24" s="773"/>
      <c r="W24" s="774"/>
      <c r="X24" s="1809"/>
      <c r="Y24" s="3255"/>
      <c r="Z24" s="1810"/>
      <c r="AA24" s="1807">
        <v>1</v>
      </c>
      <c r="AB24" s="1807">
        <v>1</v>
      </c>
      <c r="AC24" s="1807">
        <v>1</v>
      </c>
    </row>
    <row r="25" spans="1:29" ht="15">
      <c r="A25" s="427"/>
      <c r="B25" s="421" t="s">
        <v>2549</v>
      </c>
      <c r="C25" s="459"/>
      <c r="D25" s="434">
        <v>100</v>
      </c>
      <c r="E25" s="2605"/>
      <c r="F25" s="434">
        <f>SUMIF(86:86,E25,87:87)-SUMIF(86:86,C25,87:87)+100</f>
        <v>100</v>
      </c>
      <c r="G25" s="2606"/>
      <c r="H25" s="434">
        <f>SUMIF(86:86,G25,87:87)-SUMIF(86:86,C25,87:87)+100</f>
        <v>100</v>
      </c>
      <c r="I25" s="2606"/>
      <c r="J25" s="434">
        <f>SUMIF(86:86,I25,87:87)-SUMIF(86:86,C25,87:87)+100</f>
        <v>100</v>
      </c>
      <c r="K25" s="425"/>
      <c r="L25" s="1137"/>
      <c r="M25" s="1128"/>
      <c r="N25" s="1128"/>
      <c r="O25" s="1128"/>
      <c r="P25" s="3322"/>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55"/>
      <c r="Z25" s="1810" t="str">
        <f>Q25</f>
        <v>楼层-1</v>
      </c>
      <c r="AA25" s="1807">
        <f t="shared" ref="AA25:AA46" si="15">D25/F25</f>
        <v>1</v>
      </c>
      <c r="AB25" s="1807">
        <f t="shared" ref="AB25:AB46" si="16">D25/H25</f>
        <v>1</v>
      </c>
      <c r="AC25" s="1807">
        <f t="shared" ref="AC25:AC46" si="17">D25/J25</f>
        <v>1</v>
      </c>
    </row>
    <row r="26" spans="1:29" ht="15">
      <c r="A26" s="427"/>
      <c r="B26" s="421" t="s">
        <v>2550</v>
      </c>
      <c r="C26" s="459"/>
      <c r="D26" s="434">
        <v>100</v>
      </c>
      <c r="E26" s="2605"/>
      <c r="F26" s="434">
        <f>SUMIF(88:88,E26,89:89)-SUMIF(88:88,C26,89:89)+100</f>
        <v>100</v>
      </c>
      <c r="G26" s="2606"/>
      <c r="H26" s="434">
        <f>SUMIF(88:88,G26,89:89)-SUMIF(88:88,C26,89:89)+100</f>
        <v>100</v>
      </c>
      <c r="I26" s="2606"/>
      <c r="J26" s="434">
        <f>SUMIF(88:88,I26,89:89)-SUMIF(88:88,C26,89:89)+100</f>
        <v>100</v>
      </c>
      <c r="K26" s="425"/>
      <c r="L26" s="1137"/>
      <c r="M26" s="1128"/>
      <c r="N26" s="1128"/>
      <c r="O26" s="1128"/>
      <c r="P26" s="3322"/>
      <c r="Q26" s="1806" t="str">
        <f t="shared" si="11"/>
        <v>朝向</v>
      </c>
      <c r="R26" s="773" t="s">
        <v>21</v>
      </c>
      <c r="S26" s="774">
        <f t="shared" si="12"/>
        <v>100</v>
      </c>
      <c r="T26" s="773" t="s">
        <v>21</v>
      </c>
      <c r="U26" s="774">
        <f t="shared" si="13"/>
        <v>100</v>
      </c>
      <c r="V26" s="773" t="s">
        <v>21</v>
      </c>
      <c r="W26" s="774">
        <f t="shared" si="14"/>
        <v>100</v>
      </c>
      <c r="X26" s="1809"/>
      <c r="Y26" s="3255"/>
      <c r="Z26" s="1810" t="str">
        <f>Q26</f>
        <v>朝向</v>
      </c>
      <c r="AA26" s="1807">
        <f t="shared" si="15"/>
        <v>1</v>
      </c>
      <c r="AB26" s="1807">
        <f t="shared" si="16"/>
        <v>1</v>
      </c>
      <c r="AC26" s="1807">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3"/>
      <c r="L27" s="1129"/>
      <c r="M27" s="1130"/>
      <c r="N27" s="1130"/>
      <c r="O27" s="1130"/>
      <c r="P27" s="3322"/>
      <c r="Q27" s="1791">
        <f t="shared" si="11"/>
        <v>111</v>
      </c>
      <c r="R27" s="769" t="s">
        <v>21</v>
      </c>
      <c r="S27" s="770">
        <f t="shared" si="12"/>
        <v>100</v>
      </c>
      <c r="T27" s="769" t="s">
        <v>21</v>
      </c>
      <c r="U27" s="770">
        <f t="shared" si="13"/>
        <v>100</v>
      </c>
      <c r="V27" s="769" t="s">
        <v>21</v>
      </c>
      <c r="W27" s="770">
        <f t="shared" si="14"/>
        <v>100</v>
      </c>
      <c r="X27" s="771"/>
      <c r="Y27" s="3255"/>
      <c r="Z27" s="55">
        <f>Q27</f>
        <v>111</v>
      </c>
      <c r="AA27" s="1807">
        <f t="shared" si="15"/>
        <v>1</v>
      </c>
      <c r="AB27" s="1807">
        <f t="shared" si="16"/>
        <v>1</v>
      </c>
      <c r="AC27" s="1807">
        <f t="shared" si="17"/>
        <v>1</v>
      </c>
    </row>
    <row r="28" spans="1:29" ht="15">
      <c r="A28" s="427"/>
      <c r="B28" s="1383">
        <v>111</v>
      </c>
      <c r="C28" s="433"/>
      <c r="D28" s="434">
        <v>100</v>
      </c>
      <c r="E28" s="433"/>
      <c r="F28" s="434">
        <f>SUMIF(92:92,E28,93:93)-SUMIF(92:92,C28,93:93)+100</f>
        <v>100</v>
      </c>
      <c r="G28" s="2607"/>
      <c r="H28" s="434">
        <f>SUMIF(92:92,G28,93:93)-SUMIF(92:92,C28,93:93)+100</f>
        <v>100</v>
      </c>
      <c r="I28" s="433"/>
      <c r="J28" s="434">
        <f>SUMIF(92:92,I28,93:93)-SUMIF(92:92,C28,93:93)+100</f>
        <v>100</v>
      </c>
      <c r="K28" s="2593"/>
      <c r="L28" s="1137"/>
      <c r="M28" s="1128"/>
      <c r="N28" s="1128"/>
      <c r="O28" s="1128"/>
      <c r="P28" s="3322"/>
      <c r="Q28" s="1806">
        <f t="shared" si="11"/>
        <v>111</v>
      </c>
      <c r="R28" s="773" t="s">
        <v>21</v>
      </c>
      <c r="S28" s="774">
        <f t="shared" si="12"/>
        <v>100</v>
      </c>
      <c r="T28" s="773" t="s">
        <v>21</v>
      </c>
      <c r="U28" s="774">
        <f t="shared" si="13"/>
        <v>100</v>
      </c>
      <c r="V28" s="773" t="s">
        <v>21</v>
      </c>
      <c r="W28" s="774">
        <f t="shared" si="14"/>
        <v>100</v>
      </c>
      <c r="X28" s="1809"/>
      <c r="Y28" s="3255"/>
      <c r="Z28" s="1810">
        <f t="shared" ref="Z28:Z46" si="18">Q28</f>
        <v>111</v>
      </c>
      <c r="AA28" s="1807">
        <f t="shared" si="15"/>
        <v>1</v>
      </c>
      <c r="AB28" s="1807">
        <f t="shared" si="16"/>
        <v>1</v>
      </c>
      <c r="AC28" s="1807">
        <f t="shared" si="17"/>
        <v>1</v>
      </c>
    </row>
    <row r="29" spans="1:29" ht="15">
      <c r="A29" s="427"/>
      <c r="B29" s="1383">
        <v>111</v>
      </c>
      <c r="C29" s="433"/>
      <c r="D29" s="434">
        <v>100</v>
      </c>
      <c r="E29" s="433"/>
      <c r="F29" s="434">
        <f>SUMIF(94:94,E29,95:95)-SUMIF(94:94,C29,95:95)+100</f>
        <v>100</v>
      </c>
      <c r="G29" s="2607"/>
      <c r="H29" s="434">
        <f>SUMIF(94:94,G29,95:95)-SUMIF(94:94,C29,95:95)+100</f>
        <v>100</v>
      </c>
      <c r="I29" s="433"/>
      <c r="J29" s="434">
        <f>SUMIF(94:94,I29,95:95)-SUMIF(94:94,C29,95:95)+100</f>
        <v>100</v>
      </c>
      <c r="K29" s="2593"/>
      <c r="L29" s="1137"/>
      <c r="M29" s="1128"/>
      <c r="N29" s="1128"/>
      <c r="O29" s="1128"/>
      <c r="P29" s="3322"/>
      <c r="Q29" s="1806">
        <f t="shared" si="11"/>
        <v>111</v>
      </c>
      <c r="R29" s="773" t="s">
        <v>21</v>
      </c>
      <c r="S29" s="774">
        <f t="shared" si="12"/>
        <v>100</v>
      </c>
      <c r="T29" s="773" t="s">
        <v>21</v>
      </c>
      <c r="U29" s="774">
        <f t="shared" si="13"/>
        <v>100</v>
      </c>
      <c r="V29" s="773" t="s">
        <v>21</v>
      </c>
      <c r="W29" s="774">
        <f t="shared" si="14"/>
        <v>100</v>
      </c>
      <c r="X29" s="1809"/>
      <c r="Y29" s="3255"/>
      <c r="Z29" s="1810">
        <f t="shared" si="18"/>
        <v>111</v>
      </c>
      <c r="AA29" s="1807">
        <f t="shared" si="15"/>
        <v>1</v>
      </c>
      <c r="AB29" s="1807">
        <f t="shared" si="16"/>
        <v>1</v>
      </c>
      <c r="AC29" s="1807">
        <f t="shared" si="17"/>
        <v>1</v>
      </c>
    </row>
    <row r="30" spans="1:29" ht="15">
      <c r="A30" s="427"/>
      <c r="B30" s="1383">
        <v>111</v>
      </c>
      <c r="C30" s="433"/>
      <c r="D30" s="434">
        <v>100</v>
      </c>
      <c r="E30" s="433"/>
      <c r="F30" s="434">
        <f>SUMIF(96:96,E30,97:97)-SUMIF(96:96,C30,97:97)+100</f>
        <v>100</v>
      </c>
      <c r="G30" s="2607"/>
      <c r="H30" s="434">
        <f>SUMIF(96:96,G30,97:97)-SUMIF(96:96,C30,97:97)+100</f>
        <v>100</v>
      </c>
      <c r="I30" s="433"/>
      <c r="J30" s="434">
        <f>SUMIF(96:96,I30,97:97)-SUMIF(96:96,C30,97:97)+100</f>
        <v>100</v>
      </c>
      <c r="K30" s="2593"/>
      <c r="L30" s="1137"/>
      <c r="M30" s="1128"/>
      <c r="N30" s="1128"/>
      <c r="O30" s="1128"/>
      <c r="P30" s="3322"/>
      <c r="Q30" s="1806">
        <f t="shared" si="11"/>
        <v>111</v>
      </c>
      <c r="R30" s="773" t="s">
        <v>21</v>
      </c>
      <c r="S30" s="774">
        <f t="shared" si="12"/>
        <v>100</v>
      </c>
      <c r="T30" s="773" t="s">
        <v>21</v>
      </c>
      <c r="U30" s="774">
        <f t="shared" si="13"/>
        <v>100</v>
      </c>
      <c r="V30" s="773" t="s">
        <v>21</v>
      </c>
      <c r="W30" s="774">
        <f t="shared" si="14"/>
        <v>100</v>
      </c>
      <c r="X30" s="1809"/>
      <c r="Y30" s="3255"/>
      <c r="Z30" s="1810">
        <f t="shared" si="18"/>
        <v>111</v>
      </c>
      <c r="AA30" s="1807">
        <f t="shared" si="15"/>
        <v>1</v>
      </c>
      <c r="AB30" s="1807">
        <f t="shared" si="16"/>
        <v>1</v>
      </c>
      <c r="AC30" s="1807">
        <f t="shared" si="17"/>
        <v>1</v>
      </c>
    </row>
    <row r="31" spans="1:29" ht="15.75" thickBot="1">
      <c r="A31" s="435"/>
      <c r="B31" s="1383">
        <v>111</v>
      </c>
      <c r="C31" s="436"/>
      <c r="D31" s="437">
        <v>100</v>
      </c>
      <c r="E31" s="436"/>
      <c r="F31" s="437">
        <f>SUMIF(98:98,E31,99:99)-SUMIF(98:98,C31,99:99)+100</f>
        <v>100</v>
      </c>
      <c r="G31" s="2608"/>
      <c r="H31" s="437">
        <f>SUMIF(98:98,G31,99:99)-SUMIF(98:98,C31,99:99)+100</f>
        <v>100</v>
      </c>
      <c r="I31" s="436"/>
      <c r="J31" s="437">
        <f>SUMIF(98:98,I31,99:99)-SUMIF(98:98,C31,99:99)+100</f>
        <v>100</v>
      </c>
      <c r="K31" s="2593"/>
      <c r="L31" s="1137"/>
      <c r="M31" s="1128"/>
      <c r="N31" s="1128"/>
      <c r="O31" s="1128"/>
      <c r="P31" s="3322"/>
      <c r="Q31" s="1806">
        <f t="shared" si="11"/>
        <v>111</v>
      </c>
      <c r="R31" s="773" t="s">
        <v>21</v>
      </c>
      <c r="S31" s="774">
        <f t="shared" si="12"/>
        <v>100</v>
      </c>
      <c r="T31" s="773" t="s">
        <v>21</v>
      </c>
      <c r="U31" s="774">
        <f t="shared" si="13"/>
        <v>100</v>
      </c>
      <c r="V31" s="773" t="s">
        <v>21</v>
      </c>
      <c r="W31" s="774">
        <f t="shared" si="14"/>
        <v>100</v>
      </c>
      <c r="X31" s="1809"/>
      <c r="Y31" s="3255"/>
      <c r="Z31" s="1810">
        <f t="shared" si="18"/>
        <v>111</v>
      </c>
      <c r="AA31" s="1807">
        <f t="shared" si="15"/>
        <v>1</v>
      </c>
      <c r="AB31" s="1807">
        <f t="shared" si="16"/>
        <v>1</v>
      </c>
      <c r="AC31" s="1807">
        <f t="shared" si="17"/>
        <v>1</v>
      </c>
    </row>
    <row r="32" spans="1:29" ht="15">
      <c r="A32" s="439" t="s">
        <v>2551</v>
      </c>
      <c r="B32" s="71" t="s">
        <v>2552</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7"/>
      <c r="M32" s="1128"/>
      <c r="N32" s="1128"/>
      <c r="O32" s="1128"/>
      <c r="P32" s="3317" t="s">
        <v>2553</v>
      </c>
      <c r="Q32" s="1806" t="str">
        <f t="shared" si="11"/>
        <v>建筑类型</v>
      </c>
      <c r="R32" s="773" t="s">
        <v>21</v>
      </c>
      <c r="S32" s="774">
        <f t="shared" si="12"/>
        <v>100</v>
      </c>
      <c r="T32" s="773" t="s">
        <v>21</v>
      </c>
      <c r="U32" s="774">
        <f t="shared" si="13"/>
        <v>100</v>
      </c>
      <c r="V32" s="773" t="s">
        <v>21</v>
      </c>
      <c r="W32" s="774">
        <f t="shared" si="14"/>
        <v>100</v>
      </c>
      <c r="X32" s="1809"/>
      <c r="Y32" s="3257" t="s">
        <v>2553</v>
      </c>
      <c r="Z32" s="1810" t="str">
        <f t="shared" si="18"/>
        <v>建筑类型</v>
      </c>
      <c r="AA32" s="1807">
        <f t="shared" si="15"/>
        <v>1</v>
      </c>
      <c r="AB32" s="1807">
        <f t="shared" si="16"/>
        <v>1</v>
      </c>
      <c r="AC32" s="1807">
        <f t="shared" si="17"/>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5"/>
      <c r="M33" s="1138"/>
      <c r="N33" s="1138"/>
      <c r="O33" s="1138"/>
      <c r="P33" s="3318"/>
      <c r="Q33" s="775" t="str">
        <f t="shared" si="11"/>
        <v>项目建筑规模</v>
      </c>
      <c r="R33" s="776" t="s">
        <v>21</v>
      </c>
      <c r="S33" s="777" t="e">
        <f t="shared" si="12"/>
        <v>#N/A</v>
      </c>
      <c r="T33" s="776" t="s">
        <v>21</v>
      </c>
      <c r="U33" s="777" t="e">
        <f t="shared" si="13"/>
        <v>#N/A</v>
      </c>
      <c r="V33" s="776" t="s">
        <v>21</v>
      </c>
      <c r="W33" s="777" t="e">
        <f t="shared" si="14"/>
        <v>#N/A</v>
      </c>
      <c r="X33" s="778"/>
      <c r="Y33" s="3257"/>
      <c r="Z33" s="779" t="str">
        <f t="shared" si="18"/>
        <v>项目建筑规模</v>
      </c>
      <c r="AA33" s="1807" t="e">
        <f t="shared" si="15"/>
        <v>#N/A</v>
      </c>
      <c r="AB33" s="1807" t="e">
        <f t="shared" si="16"/>
        <v>#N/A</v>
      </c>
      <c r="AC33" s="1807" t="e">
        <f t="shared" si="17"/>
        <v>#N/A</v>
      </c>
    </row>
    <row r="34" spans="1:29" ht="15">
      <c r="A34" s="471"/>
      <c r="B34" s="421" t="s">
        <v>2555</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7"/>
      <c r="M34" s="1128"/>
      <c r="N34" s="1128"/>
      <c r="O34" s="1128"/>
      <c r="P34" s="3318"/>
      <c r="Q34" s="1806" t="str">
        <f t="shared" si="11"/>
        <v>建筑结构</v>
      </c>
      <c r="R34" s="773" t="s">
        <v>21</v>
      </c>
      <c r="S34" s="774">
        <f t="shared" si="12"/>
        <v>100</v>
      </c>
      <c r="T34" s="773" t="s">
        <v>21</v>
      </c>
      <c r="U34" s="774">
        <f t="shared" si="13"/>
        <v>100</v>
      </c>
      <c r="V34" s="773" t="s">
        <v>21</v>
      </c>
      <c r="W34" s="774">
        <f t="shared" si="14"/>
        <v>100</v>
      </c>
      <c r="X34" s="1809"/>
      <c r="Y34" s="3257"/>
      <c r="Z34" s="1810" t="str">
        <f t="shared" si="18"/>
        <v>建筑结构</v>
      </c>
      <c r="AA34" s="1807">
        <f t="shared" si="15"/>
        <v>1</v>
      </c>
      <c r="AB34" s="1807">
        <f t="shared" si="16"/>
        <v>1</v>
      </c>
      <c r="AC34" s="1807">
        <f t="shared" si="17"/>
        <v>1</v>
      </c>
    </row>
    <row r="35" spans="1:29" ht="15">
      <c r="A35" s="471"/>
      <c r="B35" s="421" t="s">
        <v>2556</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7"/>
      <c r="M35" s="1128"/>
      <c r="N35" s="1128"/>
      <c r="O35" s="1128"/>
      <c r="P35" s="3318"/>
      <c r="Q35" s="1806" t="str">
        <f t="shared" si="11"/>
        <v>建筑品质</v>
      </c>
      <c r="R35" s="773" t="s">
        <v>21</v>
      </c>
      <c r="S35" s="774">
        <f t="shared" si="12"/>
        <v>100</v>
      </c>
      <c r="T35" s="773" t="s">
        <v>21</v>
      </c>
      <c r="U35" s="774">
        <f t="shared" si="13"/>
        <v>100</v>
      </c>
      <c r="V35" s="773" t="s">
        <v>21</v>
      </c>
      <c r="W35" s="774">
        <f t="shared" si="14"/>
        <v>100</v>
      </c>
      <c r="X35" s="1809"/>
      <c r="Y35" s="3257"/>
      <c r="Z35" s="1810" t="str">
        <f t="shared" si="18"/>
        <v>建筑品质</v>
      </c>
      <c r="AA35" s="1807">
        <f t="shared" si="15"/>
        <v>1</v>
      </c>
      <c r="AB35" s="1807">
        <f t="shared" si="16"/>
        <v>1</v>
      </c>
      <c r="AC35" s="1807">
        <f t="shared" si="17"/>
        <v>1</v>
      </c>
    </row>
    <row r="36" spans="1:29" ht="15">
      <c r="A36" s="471"/>
      <c r="B36" s="421" t="s">
        <v>2557</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7"/>
      <c r="M36" s="1128"/>
      <c r="N36" s="1128"/>
      <c r="O36" s="1128"/>
      <c r="P36" s="3318"/>
      <c r="Q36" s="1806" t="str">
        <f t="shared" si="11"/>
        <v>公共部分装修</v>
      </c>
      <c r="R36" s="773" t="s">
        <v>21</v>
      </c>
      <c r="S36" s="774">
        <f t="shared" si="12"/>
        <v>100</v>
      </c>
      <c r="T36" s="773" t="s">
        <v>21</v>
      </c>
      <c r="U36" s="774">
        <f t="shared" si="13"/>
        <v>100</v>
      </c>
      <c r="V36" s="773" t="s">
        <v>21</v>
      </c>
      <c r="W36" s="774">
        <f t="shared" si="14"/>
        <v>100</v>
      </c>
      <c r="X36" s="1809"/>
      <c r="Y36" s="3257"/>
      <c r="Z36" s="1810" t="str">
        <f t="shared" si="18"/>
        <v>公共部分装修</v>
      </c>
      <c r="AA36" s="1807">
        <f t="shared" si="15"/>
        <v>1</v>
      </c>
      <c r="AB36" s="1807">
        <f t="shared" si="16"/>
        <v>1</v>
      </c>
      <c r="AC36" s="1807">
        <f t="shared" si="17"/>
        <v>1</v>
      </c>
    </row>
    <row r="37" spans="1:29" s="117" customFormat="1" ht="15">
      <c r="A37" s="472"/>
      <c r="B37" s="421" t="s">
        <v>2558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18"/>
      <c r="Q37" s="1791" t="str">
        <f t="shared" si="11"/>
        <v>成新度</v>
      </c>
      <c r="R37" s="769" t="s">
        <v>21</v>
      </c>
      <c r="S37" s="770" t="e">
        <f t="shared" si="12"/>
        <v>#N/A</v>
      </c>
      <c r="T37" s="769" t="s">
        <v>21</v>
      </c>
      <c r="U37" s="770" t="e">
        <f t="shared" si="13"/>
        <v>#N/A</v>
      </c>
      <c r="V37" s="769" t="s">
        <v>21</v>
      </c>
      <c r="W37" s="770" t="e">
        <f t="shared" si="14"/>
        <v>#N/A</v>
      </c>
      <c r="X37" s="771"/>
      <c r="Y37" s="3257"/>
      <c r="Z37" s="55" t="str">
        <f t="shared" si="18"/>
        <v>成新度</v>
      </c>
      <c r="AA37" s="772" t="e">
        <f t="shared" si="15"/>
        <v>#N/A</v>
      </c>
      <c r="AB37" s="772" t="e">
        <f t="shared" si="16"/>
        <v>#N/A</v>
      </c>
      <c r="AC37" s="772" t="e">
        <f t="shared" si="17"/>
        <v>#N/A</v>
      </c>
    </row>
    <row r="38" spans="1:29" ht="15">
      <c r="A38" s="471"/>
      <c r="B38" s="421" t="s">
        <v>2559</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7"/>
      <c r="M38" s="1128"/>
      <c r="N38" s="1128"/>
      <c r="O38" s="1128"/>
      <c r="P38" s="3318" t="s">
        <v>2553</v>
      </c>
      <c r="Q38" s="1806" t="str">
        <f t="shared" si="11"/>
        <v>物业管理</v>
      </c>
      <c r="R38" s="773" t="s">
        <v>21</v>
      </c>
      <c r="S38" s="774">
        <f t="shared" si="12"/>
        <v>100</v>
      </c>
      <c r="T38" s="773" t="s">
        <v>21</v>
      </c>
      <c r="U38" s="774">
        <f t="shared" si="13"/>
        <v>100</v>
      </c>
      <c r="V38" s="773" t="s">
        <v>21</v>
      </c>
      <c r="W38" s="774">
        <f t="shared" si="14"/>
        <v>100</v>
      </c>
      <c r="X38" s="1809"/>
      <c r="Y38" s="3257" t="s">
        <v>2553</v>
      </c>
      <c r="Z38" s="1810" t="str">
        <f t="shared" si="18"/>
        <v>物业管理</v>
      </c>
      <c r="AA38" s="1807">
        <f t="shared" si="15"/>
        <v>1</v>
      </c>
      <c r="AB38" s="1807">
        <f t="shared" si="16"/>
        <v>1</v>
      </c>
      <c r="AC38" s="1807">
        <f t="shared" si="17"/>
        <v>1</v>
      </c>
    </row>
    <row r="39" spans="1:29" ht="15">
      <c r="A39" s="471"/>
      <c r="B39" s="421" t="s">
        <v>2560</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7"/>
      <c r="M39" s="1128"/>
      <c r="N39" s="1128"/>
      <c r="O39" s="1128"/>
      <c r="P39" s="3318"/>
      <c r="Q39" s="1806" t="str">
        <f t="shared" si="11"/>
        <v>市政基础设施</v>
      </c>
      <c r="R39" s="773" t="s">
        <v>21</v>
      </c>
      <c r="S39" s="774">
        <f t="shared" si="12"/>
        <v>100</v>
      </c>
      <c r="T39" s="773" t="s">
        <v>21</v>
      </c>
      <c r="U39" s="774">
        <f t="shared" si="13"/>
        <v>100</v>
      </c>
      <c r="V39" s="773" t="s">
        <v>21</v>
      </c>
      <c r="W39" s="774">
        <f t="shared" si="14"/>
        <v>100</v>
      </c>
      <c r="X39" s="1809"/>
      <c r="Y39" s="3257"/>
      <c r="Z39" s="1810" t="str">
        <f t="shared" si="18"/>
        <v>市政基础设施</v>
      </c>
      <c r="AA39" s="1807">
        <f t="shared" si="15"/>
        <v>1</v>
      </c>
      <c r="AB39" s="1807">
        <f t="shared" si="16"/>
        <v>1</v>
      </c>
      <c r="AC39" s="1807">
        <f t="shared" si="17"/>
        <v>1</v>
      </c>
    </row>
    <row r="40" spans="1:29" ht="15">
      <c r="A40" s="471"/>
      <c r="B40" s="421" t="s">
        <v>2561</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7"/>
      <c r="M40" s="1128"/>
      <c r="N40" s="1128"/>
      <c r="O40" s="1128"/>
      <c r="P40" s="3318"/>
      <c r="Q40" s="1806" t="str">
        <f t="shared" si="11"/>
        <v>房型</v>
      </c>
      <c r="R40" s="773" t="s">
        <v>21</v>
      </c>
      <c r="S40" s="774">
        <f t="shared" si="12"/>
        <v>100</v>
      </c>
      <c r="T40" s="773" t="s">
        <v>21</v>
      </c>
      <c r="U40" s="774">
        <f t="shared" si="13"/>
        <v>100</v>
      </c>
      <c r="V40" s="773" t="s">
        <v>21</v>
      </c>
      <c r="W40" s="774">
        <f t="shared" si="14"/>
        <v>100</v>
      </c>
      <c r="X40" s="1809"/>
      <c r="Y40" s="3257"/>
      <c r="Z40" s="1810" t="str">
        <f t="shared" si="18"/>
        <v>房型</v>
      </c>
      <c r="AA40" s="1807">
        <f t="shared" si="15"/>
        <v>1</v>
      </c>
      <c r="AB40" s="1807">
        <f t="shared" si="16"/>
        <v>1</v>
      </c>
      <c r="AC40" s="1807">
        <f t="shared" si="17"/>
        <v>1</v>
      </c>
    </row>
    <row r="41" spans="1:29" s="470" customFormat="1" ht="28.5">
      <c r="A41" s="467"/>
      <c r="B41" s="421" t="s">
        <v>2562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5"/>
      <c r="M41" s="1138"/>
      <c r="N41" s="1138"/>
      <c r="O41" s="1138"/>
      <c r="P41" s="3318"/>
      <c r="Q41" s="775" t="str">
        <f t="shared" si="11"/>
        <v>单套/主力户型建筑面积</v>
      </c>
      <c r="R41" s="776" t="s">
        <v>21</v>
      </c>
      <c r="S41" s="777">
        <f t="shared" si="12"/>
        <v>100</v>
      </c>
      <c r="T41" s="776" t="s">
        <v>21</v>
      </c>
      <c r="U41" s="777">
        <f t="shared" si="13"/>
        <v>100</v>
      </c>
      <c r="V41" s="776" t="s">
        <v>21</v>
      </c>
      <c r="W41" s="777">
        <f t="shared" si="14"/>
        <v>100</v>
      </c>
      <c r="X41" s="778"/>
      <c r="Y41" s="3257"/>
      <c r="Z41" s="779" t="str">
        <f t="shared" si="18"/>
        <v>单套/主力户型建筑面积</v>
      </c>
      <c r="AA41" s="1807">
        <f t="shared" si="15"/>
        <v>1</v>
      </c>
      <c r="AB41" s="1807">
        <f t="shared" si="16"/>
        <v>1</v>
      </c>
      <c r="AC41" s="1807">
        <f t="shared" si="17"/>
        <v>1</v>
      </c>
    </row>
    <row r="42" spans="1:29" ht="15">
      <c r="A42" s="471"/>
      <c r="B42" s="421" t="s">
        <v>2563</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7"/>
      <c r="M42" s="1128"/>
      <c r="N42" s="1128"/>
      <c r="O42" s="1128"/>
      <c r="P42" s="3318"/>
      <c r="Q42" s="1806" t="str">
        <f t="shared" si="11"/>
        <v>内部装修</v>
      </c>
      <c r="R42" s="773" t="s">
        <v>21</v>
      </c>
      <c r="S42" s="774">
        <f t="shared" si="12"/>
        <v>100</v>
      </c>
      <c r="T42" s="773" t="s">
        <v>21</v>
      </c>
      <c r="U42" s="774">
        <f t="shared" si="13"/>
        <v>100</v>
      </c>
      <c r="V42" s="773" t="s">
        <v>21</v>
      </c>
      <c r="W42" s="774">
        <f t="shared" si="14"/>
        <v>100</v>
      </c>
      <c r="X42" s="1809"/>
      <c r="Y42" s="3257"/>
      <c r="Z42" s="1810" t="str">
        <f t="shared" si="18"/>
        <v>内部装修</v>
      </c>
      <c r="AA42" s="1807">
        <f t="shared" si="15"/>
        <v>1</v>
      </c>
      <c r="AB42" s="1807">
        <f t="shared" si="16"/>
        <v>1</v>
      </c>
      <c r="AC42" s="1807">
        <f t="shared" si="17"/>
        <v>1</v>
      </c>
    </row>
    <row r="43" spans="1:29" ht="15">
      <c r="A43" s="471"/>
      <c r="B43" s="421" t="s">
        <v>2564</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7"/>
      <c r="M43" s="1128"/>
      <c r="N43" s="1128"/>
      <c r="O43" s="1128"/>
      <c r="P43" s="3318"/>
      <c r="Q43" s="1806" t="str">
        <f t="shared" si="11"/>
        <v>内部装修维护情况</v>
      </c>
      <c r="R43" s="773" t="s">
        <v>21</v>
      </c>
      <c r="S43" s="774">
        <f t="shared" si="12"/>
        <v>100</v>
      </c>
      <c r="T43" s="773" t="s">
        <v>21</v>
      </c>
      <c r="U43" s="774">
        <f t="shared" si="13"/>
        <v>100</v>
      </c>
      <c r="V43" s="773" t="s">
        <v>21</v>
      </c>
      <c r="W43" s="774">
        <f t="shared" si="14"/>
        <v>100</v>
      </c>
      <c r="X43" s="1809"/>
      <c r="Y43" s="3257"/>
      <c r="Z43" s="1810" t="str">
        <f t="shared" si="18"/>
        <v>内部装修维护情况</v>
      </c>
      <c r="AA43" s="1807">
        <f t="shared" si="15"/>
        <v>1</v>
      </c>
      <c r="AB43" s="1807">
        <f t="shared" si="16"/>
        <v>1</v>
      </c>
      <c r="AC43" s="1807">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29"/>
      <c r="M44" s="1130"/>
      <c r="N44" s="1130"/>
      <c r="O44" s="1130"/>
      <c r="P44" s="3318"/>
      <c r="Q44" s="1791">
        <f t="shared" si="11"/>
        <v>111</v>
      </c>
      <c r="R44" s="769" t="s">
        <v>21</v>
      </c>
      <c r="S44" s="770">
        <f t="shared" si="12"/>
        <v>100</v>
      </c>
      <c r="T44" s="769" t="s">
        <v>21</v>
      </c>
      <c r="U44" s="770">
        <f t="shared" si="13"/>
        <v>100</v>
      </c>
      <c r="V44" s="769" t="s">
        <v>21</v>
      </c>
      <c r="W44" s="770">
        <f t="shared" si="14"/>
        <v>100</v>
      </c>
      <c r="X44" s="771"/>
      <c r="Y44" s="3257"/>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7"/>
      <c r="M45" s="1128"/>
      <c r="N45" s="1128"/>
      <c r="O45" s="1128"/>
      <c r="P45" s="3318"/>
      <c r="Q45" s="1806">
        <f t="shared" si="11"/>
        <v>111</v>
      </c>
      <c r="R45" s="773" t="s">
        <v>21</v>
      </c>
      <c r="S45" s="774">
        <f t="shared" si="12"/>
        <v>100</v>
      </c>
      <c r="T45" s="773" t="s">
        <v>21</v>
      </c>
      <c r="U45" s="774">
        <f t="shared" si="13"/>
        <v>100</v>
      </c>
      <c r="V45" s="773" t="s">
        <v>21</v>
      </c>
      <c r="W45" s="774">
        <f t="shared" si="14"/>
        <v>100</v>
      </c>
      <c r="X45" s="1809"/>
      <c r="Y45" s="3257"/>
      <c r="Z45" s="1810">
        <f t="shared" si="18"/>
        <v>111</v>
      </c>
      <c r="AA45" s="1807">
        <f t="shared" si="15"/>
        <v>1</v>
      </c>
      <c r="AB45" s="1807">
        <f t="shared" si="16"/>
        <v>1</v>
      </c>
      <c r="AC45" s="1807">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7"/>
      <c r="M46" s="1128"/>
      <c r="N46" s="1128"/>
      <c r="O46" s="1128"/>
      <c r="P46" s="3319"/>
      <c r="Q46" s="1806">
        <f t="shared" si="11"/>
        <v>111</v>
      </c>
      <c r="R46" s="773" t="s">
        <v>20</v>
      </c>
      <c r="S46" s="774">
        <f t="shared" si="12"/>
        <v>100</v>
      </c>
      <c r="T46" s="773" t="s">
        <v>20</v>
      </c>
      <c r="U46" s="774">
        <f t="shared" si="13"/>
        <v>100</v>
      </c>
      <c r="V46" s="773" t="s">
        <v>20</v>
      </c>
      <c r="W46" s="774">
        <f t="shared" si="14"/>
        <v>100</v>
      </c>
      <c r="X46" s="1809"/>
      <c r="Y46" s="3320"/>
      <c r="Z46" s="1810">
        <f t="shared" si="18"/>
        <v>111</v>
      </c>
      <c r="AA46" s="1807">
        <f t="shared" si="15"/>
        <v>1</v>
      </c>
      <c r="AB46" s="1807">
        <f t="shared" si="16"/>
        <v>1</v>
      </c>
      <c r="AC46" s="1807">
        <f t="shared" si="17"/>
        <v>1</v>
      </c>
    </row>
    <row r="47" spans="1:29" ht="15">
      <c r="A47" s="478" t="s">
        <v>2565</v>
      </c>
      <c r="B47" s="479"/>
      <c r="C47" s="1404" t="s">
        <v>19</v>
      </c>
      <c r="D47" s="1405"/>
      <c r="E47" s="1406"/>
      <c r="F47" s="1407"/>
      <c r="G47" s="1408"/>
      <c r="H47" s="1409"/>
      <c r="I47" s="1406"/>
      <c r="J47" s="1409"/>
      <c r="K47" s="2613"/>
      <c r="L47" s="1140"/>
      <c r="M47" s="1141"/>
      <c r="N47" s="1128"/>
      <c r="O47" s="1141"/>
      <c r="P47" s="3252" t="str">
        <f>A47</f>
        <v>成交单价（元/平方米）</v>
      </c>
      <c r="Q47" s="3252"/>
      <c r="R47" s="3316">
        <f>E47</f>
        <v>0</v>
      </c>
      <c r="S47" s="3316"/>
      <c r="T47" s="3316">
        <f>G47</f>
        <v>0</v>
      </c>
      <c r="U47" s="3316"/>
      <c r="V47" s="3316">
        <f>I47</f>
        <v>0</v>
      </c>
      <c r="W47" s="3316"/>
      <c r="X47" s="758"/>
      <c r="Y47" s="780"/>
      <c r="Z47" s="758"/>
      <c r="AA47" s="758"/>
      <c r="AB47" s="758"/>
      <c r="AC47" s="758"/>
    </row>
    <row r="48" spans="1:29" ht="15.75" thickBot="1">
      <c r="A48" s="485" t="s">
        <v>2566</v>
      </c>
      <c r="B48" s="486"/>
      <c r="C48" s="1410" t="e">
        <f>R49</f>
        <v>#DIV/0!</v>
      </c>
      <c r="D48" s="1411"/>
      <c r="E48" s="1412" t="e">
        <f>R48</f>
        <v>#DIV/0!</v>
      </c>
      <c r="F48" s="1412"/>
      <c r="G48" s="1410" t="e">
        <f>T48</f>
        <v>#DIV/0!</v>
      </c>
      <c r="H48" s="1411"/>
      <c r="I48" s="1412" t="e">
        <f>V48</f>
        <v>#DIV/0!</v>
      </c>
      <c r="J48" s="1411"/>
      <c r="K48" s="2614"/>
      <c r="L48" s="1140"/>
      <c r="M48" s="1141"/>
      <c r="N48" s="1141"/>
      <c r="O48" s="1141"/>
      <c r="P48" s="3252" t="str">
        <f>A48</f>
        <v>比较价值（元/平方米）</v>
      </c>
      <c r="Q48" s="325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8"/>
      <c r="Y48" s="758"/>
      <c r="Z48" s="758"/>
      <c r="AA48" s="758"/>
      <c r="AB48" s="758"/>
      <c r="AC48" s="758"/>
    </row>
    <row r="49" spans="1:29" ht="15.75" thickBot="1">
      <c r="A49" s="491" t="s">
        <v>2567</v>
      </c>
      <c r="B49" s="492"/>
      <c r="C49" s="1413" t="e">
        <f>R49</f>
        <v>#DIV/0!</v>
      </c>
      <c r="D49" s="1414"/>
      <c r="E49" s="1414"/>
      <c r="F49" s="1414"/>
      <c r="G49" s="1414"/>
      <c r="H49" s="1414"/>
      <c r="I49" s="1414"/>
      <c r="J49" s="1414"/>
      <c r="K49" s="2615"/>
      <c r="L49" s="1140"/>
      <c r="M49" s="1141"/>
      <c r="N49" s="1141"/>
      <c r="O49" s="1141"/>
      <c r="P49" s="3246" t="str">
        <f>A49</f>
        <v>估价对象XX用房的比较价值（楼面单价，元/平方米）</v>
      </c>
      <c r="Q49" s="3247"/>
      <c r="R49" s="3315" t="e">
        <f>IF(F1="售价",ROUND(AVERAGE(R48:V48),0),ROUND(AVERAGE(R48:V48),1))</f>
        <v>#DIV/0!</v>
      </c>
      <c r="S49" s="3315"/>
      <c r="T49" s="3315"/>
      <c r="U49" s="3315"/>
      <c r="V49" s="3315"/>
      <c r="W49" s="3315"/>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7"/>
    </row>
    <row r="55" spans="1:29" s="501"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2" t="s">
        <v>2571</v>
      </c>
      <c r="B57" s="758"/>
      <c r="C57" s="763"/>
      <c r="D57" s="763"/>
      <c r="E57" s="763"/>
      <c r="F57" s="764"/>
      <c r="G57" s="764"/>
      <c r="H57" s="763"/>
      <c r="I57" s="763"/>
      <c r="J57" s="763"/>
      <c r="K57" s="1157"/>
      <c r="L57" s="1158"/>
      <c r="M57" s="1156"/>
      <c r="N57" s="1156"/>
      <c r="O57" s="1156"/>
      <c r="P57" s="2618"/>
      <c r="Q57" s="503"/>
    </row>
    <row r="58" spans="1:29" s="507" customFormat="1" ht="15">
      <c r="A58" s="504" t="s">
        <v>2572</v>
      </c>
      <c r="B58" s="505"/>
      <c r="C58" s="1572" t="str">
        <f>YEAR(C7)&amp;"-"&amp;MONTH(C7)</f>
        <v>2019-3</v>
      </c>
      <c r="D58" s="1571">
        <f>EDATE(C58,-1)</f>
        <v>43497</v>
      </c>
      <c r="E58" s="1571">
        <f>EDATE(D58,-1)</f>
        <v>43466</v>
      </c>
      <c r="F58" s="1571">
        <f t="shared" ref="F58:O58" si="19">EDATE(E58,-1)</f>
        <v>43435</v>
      </c>
      <c r="G58" s="1571">
        <f t="shared" si="19"/>
        <v>43405</v>
      </c>
      <c r="H58" s="1571">
        <f t="shared" si="19"/>
        <v>43374</v>
      </c>
      <c r="I58" s="1571">
        <f t="shared" si="19"/>
        <v>43344</v>
      </c>
      <c r="J58" s="1571">
        <f t="shared" si="19"/>
        <v>43313</v>
      </c>
      <c r="K58" s="1571">
        <f t="shared" si="19"/>
        <v>43282</v>
      </c>
      <c r="L58" s="1571">
        <f t="shared" si="19"/>
        <v>43252</v>
      </c>
      <c r="M58" s="1571">
        <f t="shared" si="19"/>
        <v>43221</v>
      </c>
      <c r="N58" s="1571">
        <f t="shared" si="19"/>
        <v>43191</v>
      </c>
      <c r="O58" s="1571">
        <f t="shared" si="19"/>
        <v>43160</v>
      </c>
      <c r="P58" s="1566"/>
    </row>
    <row r="59" spans="1:29" s="117" customFormat="1" ht="15">
      <c r="A59" s="508"/>
      <c r="B59" s="2619"/>
      <c r="C59" s="1569">
        <v>100</v>
      </c>
      <c r="D59" s="510"/>
      <c r="E59" s="511"/>
      <c r="F59" s="511"/>
      <c r="G59" s="511"/>
      <c r="H59" s="511"/>
      <c r="I59" s="511"/>
      <c r="J59" s="511"/>
      <c r="K59" s="511"/>
      <c r="L59" s="511"/>
      <c r="M59" s="512"/>
      <c r="N59" s="511"/>
      <c r="O59" s="512"/>
      <c r="P59" s="2620"/>
    </row>
    <row r="60" spans="1:29" s="117" customFormat="1" ht="15.75" thickBot="1">
      <c r="A60" s="514" t="s">
        <v>2573</v>
      </c>
      <c r="B60" s="515"/>
      <c r="C60" s="516"/>
      <c r="D60" s="517"/>
      <c r="E60" s="517"/>
      <c r="F60" s="517"/>
      <c r="G60" s="517"/>
      <c r="H60" s="517"/>
      <c r="I60" s="517"/>
      <c r="J60" s="517"/>
      <c r="K60" s="517"/>
      <c r="L60" s="517"/>
      <c r="M60" s="518"/>
      <c r="N60" s="517"/>
      <c r="O60" s="518"/>
      <c r="P60" s="2620"/>
      <c r="Q60" s="503"/>
    </row>
    <row r="61" spans="1:29" s="117" customFormat="1" ht="15">
      <c r="A61" s="520" t="s">
        <v>2574</v>
      </c>
      <c r="B61" s="509"/>
      <c r="C61" s="521" t="s">
        <v>2575</v>
      </c>
      <c r="D61" s="522"/>
      <c r="E61" s="522"/>
      <c r="F61" s="522"/>
      <c r="G61" s="522"/>
      <c r="H61" s="522"/>
      <c r="I61" s="522"/>
      <c r="J61" s="522"/>
      <c r="K61" s="522"/>
      <c r="L61" s="523"/>
      <c r="M61" s="524"/>
      <c r="N61" s="1148"/>
      <c r="O61" s="1148"/>
      <c r="P61" s="2621"/>
      <c r="Q61" s="503"/>
    </row>
    <row r="62" spans="1:29" s="117" customFormat="1" ht="15.75" thickBot="1">
      <c r="A62" s="520"/>
      <c r="B62" s="509"/>
      <c r="C62" s="510">
        <v>100</v>
      </c>
      <c r="D62" s="511"/>
      <c r="E62" s="511"/>
      <c r="F62" s="511"/>
      <c r="G62" s="511"/>
      <c r="H62" s="511"/>
      <c r="I62" s="511"/>
      <c r="J62" s="511"/>
      <c r="K62" s="511"/>
      <c r="L62" s="511"/>
      <c r="M62" s="513"/>
      <c r="N62" s="1148"/>
      <c r="O62" s="1148"/>
      <c r="P62" s="2620"/>
      <c r="Q62" s="503"/>
    </row>
    <row r="63" spans="1:29">
      <c r="A63" s="526" t="s">
        <v>2576</v>
      </c>
      <c r="B63" s="527" t="s">
        <v>2542</v>
      </c>
      <c r="C63" s="528">
        <f>C9</f>
        <v>0</v>
      </c>
      <c r="D63" s="529"/>
      <c r="E63" s="529"/>
      <c r="F63" s="529"/>
      <c r="G63" s="529"/>
      <c r="H63" s="529"/>
      <c r="I63" s="529"/>
      <c r="J63" s="529"/>
      <c r="K63" s="530"/>
      <c r="L63" s="531"/>
      <c r="M63" s="532"/>
      <c r="N63" s="1149"/>
      <c r="O63" s="1149"/>
      <c r="P63" s="2622"/>
      <c r="Q63" s="503"/>
    </row>
    <row r="64" spans="1:29" ht="15.75" thickBot="1">
      <c r="A64" s="533"/>
      <c r="B64" s="534"/>
      <c r="C64" s="535">
        <v>100</v>
      </c>
      <c r="D64" s="535"/>
      <c r="E64" s="535"/>
      <c r="F64" s="535"/>
      <c r="G64" s="535"/>
      <c r="H64" s="535"/>
      <c r="I64" s="535"/>
      <c r="J64" s="535"/>
      <c r="K64" s="535"/>
      <c r="L64" s="535"/>
      <c r="M64" s="536"/>
      <c r="N64" s="1150"/>
      <c r="O64" s="1150"/>
      <c r="P64" s="262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9"/>
      <c r="O65" s="1149"/>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2"/>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2"/>
      <c r="Q67" s="503"/>
    </row>
    <row r="68" spans="1:17" ht="15">
      <c r="A68" s="533"/>
      <c r="B68" s="547"/>
      <c r="C68" s="548"/>
      <c r="D68" s="548"/>
      <c r="E68" s="548"/>
      <c r="F68" s="548"/>
      <c r="G68" s="548"/>
      <c r="H68" s="548"/>
      <c r="I68" s="548"/>
      <c r="J68" s="548"/>
      <c r="K68" s="549"/>
      <c r="L68" s="550"/>
      <c r="M68" s="551"/>
      <c r="N68" s="1149"/>
      <c r="O68" s="1149"/>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2"/>
      <c r="Q69" s="503"/>
    </row>
    <row r="70" spans="1:17" s="470" customFormat="1" ht="15.75" thickTop="1">
      <c r="A70" s="552"/>
      <c r="B70" s="537">
        <f>B12</f>
        <v>111</v>
      </c>
      <c r="C70" s="553"/>
      <c r="D70" s="553"/>
      <c r="E70" s="553"/>
      <c r="F70" s="553"/>
      <c r="G70" s="553"/>
      <c r="H70" s="554"/>
      <c r="I70" s="554"/>
      <c r="J70" s="554"/>
      <c r="K70" s="554"/>
      <c r="L70" s="555"/>
      <c r="M70" s="556"/>
      <c r="N70" s="1151"/>
      <c r="O70" s="1151"/>
      <c r="P70" s="2623"/>
      <c r="Q70" s="558"/>
    </row>
    <row r="71" spans="1:17" s="470" customFormat="1" ht="15.75" thickBot="1">
      <c r="A71" s="552"/>
      <c r="B71" s="542"/>
      <c r="C71" s="559"/>
      <c r="D71" s="535"/>
      <c r="E71" s="535"/>
      <c r="F71" s="535"/>
      <c r="G71" s="535"/>
      <c r="H71" s="535"/>
      <c r="I71" s="535"/>
      <c r="J71" s="535"/>
      <c r="K71" s="535"/>
      <c r="L71" s="535"/>
      <c r="M71" s="536"/>
      <c r="N71" s="1150"/>
      <c r="O71" s="1150"/>
      <c r="P71" s="2623"/>
      <c r="Q71" s="558"/>
    </row>
    <row r="72" spans="1:17" s="470" customFormat="1" ht="15.75" thickTop="1">
      <c r="A72" s="552"/>
      <c r="B72" s="537">
        <f>B13</f>
        <v>111</v>
      </c>
      <c r="C72" s="553"/>
      <c r="D72" s="553"/>
      <c r="E72" s="553"/>
      <c r="F72" s="553"/>
      <c r="G72" s="553"/>
      <c r="H72" s="554"/>
      <c r="I72" s="554"/>
      <c r="J72" s="554"/>
      <c r="K72" s="554"/>
      <c r="L72" s="555"/>
      <c r="M72" s="556"/>
      <c r="N72" s="1151"/>
      <c r="O72" s="1151"/>
      <c r="P72" s="2624"/>
      <c r="Q72" s="560"/>
    </row>
    <row r="73" spans="1:17" s="470" customFormat="1" ht="15.75" thickBot="1">
      <c r="A73" s="552"/>
      <c r="B73" s="542"/>
      <c r="C73" s="559"/>
      <c r="D73" s="559"/>
      <c r="E73" s="559"/>
      <c r="F73" s="559"/>
      <c r="G73" s="559"/>
      <c r="H73" s="561"/>
      <c r="I73" s="561"/>
      <c r="J73" s="561"/>
      <c r="K73" s="561"/>
      <c r="L73" s="561"/>
      <c r="M73" s="562"/>
      <c r="N73" s="1151"/>
      <c r="O73" s="1151"/>
      <c r="P73" s="2623"/>
      <c r="Q73" s="558"/>
    </row>
    <row r="74" spans="1:17" s="470" customFormat="1" ht="15.75" thickTop="1">
      <c r="A74" s="552"/>
      <c r="B74" s="545">
        <f>B14</f>
        <v>111</v>
      </c>
      <c r="C74" s="553"/>
      <c r="D74" s="553"/>
      <c r="E74" s="553"/>
      <c r="F74" s="553"/>
      <c r="G74" s="522"/>
      <c r="H74" s="563"/>
      <c r="I74" s="563"/>
      <c r="J74" s="563"/>
      <c r="K74" s="563"/>
      <c r="L74" s="564"/>
      <c r="M74" s="565"/>
      <c r="N74" s="1151"/>
      <c r="O74" s="1151"/>
      <c r="P74" s="2625"/>
      <c r="Q74" s="558"/>
    </row>
    <row r="75" spans="1:17" s="470" customFormat="1" ht="15.75" thickBot="1">
      <c r="A75" s="567"/>
      <c r="B75" s="568"/>
      <c r="C75" s="569"/>
      <c r="D75" s="569"/>
      <c r="E75" s="569"/>
      <c r="F75" s="569"/>
      <c r="G75" s="569"/>
      <c r="H75" s="570"/>
      <c r="I75" s="570"/>
      <c r="J75" s="570"/>
      <c r="K75" s="570"/>
      <c r="L75" s="570"/>
      <c r="M75" s="571"/>
      <c r="N75" s="1151"/>
      <c r="O75" s="1151"/>
      <c r="P75" s="262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9"/>
      <c r="O76" s="1149"/>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9"/>
      <c r="O78" s="1149"/>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9"/>
      <c r="O80" s="1149"/>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75" thickTop="1">
      <c r="A82" s="533"/>
      <c r="B82" s="545" t="s">
        <v>2091</v>
      </c>
      <c r="C82" s="538" t="s">
        <v>2592</v>
      </c>
      <c r="D82" s="538" t="s">
        <v>2593</v>
      </c>
      <c r="E82" s="538" t="s">
        <v>2594</v>
      </c>
      <c r="F82" s="538" t="s">
        <v>2595</v>
      </c>
      <c r="G82" s="538" t="s">
        <v>2596</v>
      </c>
      <c r="H82" s="538"/>
      <c r="I82" s="538"/>
      <c r="J82" s="538"/>
      <c r="K82" s="538"/>
      <c r="L82" s="538"/>
      <c r="M82" s="1379"/>
      <c r="N82" s="1150"/>
      <c r="O82" s="1150"/>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9"/>
      <c r="O84" s="1149"/>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7" customFormat="1" ht="15.75" thickTop="1">
      <c r="A86" s="578"/>
      <c r="B86" s="537" t="s">
        <v>2598</v>
      </c>
      <c r="C86" s="553"/>
      <c r="D86" s="553"/>
      <c r="E86" s="553"/>
      <c r="F86" s="553"/>
      <c r="G86" s="553"/>
      <c r="H86" s="553"/>
      <c r="I86" s="553"/>
      <c r="J86" s="553"/>
      <c r="K86" s="553"/>
      <c r="L86" s="579"/>
      <c r="M86" s="580"/>
      <c r="N86" s="1148"/>
      <c r="O86" s="1148"/>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2"/>
      <c r="Q87" s="503"/>
    </row>
    <row r="88" spans="1:17" s="117" customFormat="1" ht="15.75" thickTop="1">
      <c r="A88" s="578"/>
      <c r="B88" s="537" t="s">
        <v>2599</v>
      </c>
      <c r="C88" s="553"/>
      <c r="D88" s="553"/>
      <c r="E88" s="553"/>
      <c r="F88" s="2627"/>
      <c r="G88" s="553"/>
      <c r="H88" s="553"/>
      <c r="I88" s="553"/>
      <c r="J88" s="553"/>
      <c r="K88" s="553"/>
      <c r="L88" s="553"/>
      <c r="M88" s="580"/>
      <c r="N88" s="1148"/>
      <c r="O88" s="1148"/>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2"/>
      <c r="Q89" s="503"/>
    </row>
    <row r="90" spans="1:17" s="470" customFormat="1" ht="15.75" thickTop="1">
      <c r="A90" s="552"/>
      <c r="B90" s="537">
        <f>B27</f>
        <v>111</v>
      </c>
      <c r="C90" s="553"/>
      <c r="D90" s="553"/>
      <c r="E90" s="553"/>
      <c r="F90" s="553"/>
      <c r="G90" s="553"/>
      <c r="H90" s="554"/>
      <c r="I90" s="554"/>
      <c r="J90" s="554"/>
      <c r="K90" s="554"/>
      <c r="L90" s="555"/>
      <c r="M90" s="556"/>
      <c r="N90" s="1151"/>
      <c r="O90" s="1151"/>
      <c r="P90" s="2623"/>
      <c r="Q90" s="558"/>
    </row>
    <row r="91" spans="1:17" s="470" customFormat="1" ht="15.75" thickBot="1">
      <c r="A91" s="552"/>
      <c r="B91" s="542"/>
      <c r="C91" s="559"/>
      <c r="D91" s="559"/>
      <c r="E91" s="559"/>
      <c r="F91" s="559"/>
      <c r="G91" s="559"/>
      <c r="H91" s="561"/>
      <c r="I91" s="561"/>
      <c r="J91" s="561"/>
      <c r="K91" s="561"/>
      <c r="L91" s="561"/>
      <c r="M91" s="562"/>
      <c r="N91" s="1151"/>
      <c r="O91" s="1151"/>
      <c r="P91" s="2623"/>
      <c r="Q91" s="558"/>
    </row>
    <row r="92" spans="1:17" ht="15.75" thickTop="1">
      <c r="A92" s="533"/>
      <c r="B92" s="537">
        <f>B28</f>
        <v>111</v>
      </c>
      <c r="C92" s="553"/>
      <c r="D92" s="553"/>
      <c r="E92" s="553"/>
      <c r="F92" s="553"/>
      <c r="G92" s="582"/>
      <c r="H92" s="582"/>
      <c r="I92" s="582"/>
      <c r="J92" s="582"/>
      <c r="K92" s="583"/>
      <c r="L92" s="584"/>
      <c r="M92" s="585"/>
      <c r="N92" s="1149"/>
      <c r="O92" s="1149"/>
      <c r="P92" s="2622"/>
      <c r="Q92" s="503"/>
    </row>
    <row r="93" spans="1:17" ht="15.75" thickBot="1">
      <c r="A93" s="533"/>
      <c r="B93" s="542"/>
      <c r="C93" s="559"/>
      <c r="D93" s="535"/>
      <c r="E93" s="535"/>
      <c r="F93" s="535"/>
      <c r="G93" s="535"/>
      <c r="H93" s="535"/>
      <c r="I93" s="535"/>
      <c r="J93" s="535"/>
      <c r="K93" s="535"/>
      <c r="L93" s="535"/>
      <c r="M93" s="536"/>
      <c r="N93" s="1150"/>
      <c r="O93" s="1150"/>
      <c r="P93" s="2622"/>
      <c r="Q93" s="503"/>
    </row>
    <row r="94" spans="1:17" ht="15.75" thickTop="1">
      <c r="A94" s="533"/>
      <c r="B94" s="537">
        <f>B29</f>
        <v>111</v>
      </c>
      <c r="C94" s="553"/>
      <c r="D94" s="553"/>
      <c r="E94" s="553"/>
      <c r="F94" s="553"/>
      <c r="G94" s="582"/>
      <c r="H94" s="582"/>
      <c r="I94" s="582"/>
      <c r="J94" s="582"/>
      <c r="K94" s="583"/>
      <c r="L94" s="584"/>
      <c r="M94" s="585"/>
      <c r="N94" s="1149"/>
      <c r="O94" s="1149"/>
      <c r="P94" s="2622"/>
      <c r="Q94" s="503"/>
    </row>
    <row r="95" spans="1:17" ht="15.75" thickBot="1">
      <c r="A95" s="533"/>
      <c r="B95" s="542"/>
      <c r="C95" s="559"/>
      <c r="D95" s="559"/>
      <c r="E95" s="559"/>
      <c r="F95" s="559"/>
      <c r="G95" s="535"/>
      <c r="H95" s="535"/>
      <c r="I95" s="535"/>
      <c r="J95" s="535"/>
      <c r="K95" s="535"/>
      <c r="L95" s="535"/>
      <c r="M95" s="536"/>
      <c r="N95" s="1150"/>
      <c r="O95" s="1150"/>
      <c r="P95" s="2622"/>
      <c r="Q95" s="503"/>
    </row>
    <row r="96" spans="1:17" ht="15.75" thickTop="1">
      <c r="A96" s="533"/>
      <c r="B96" s="537">
        <f>B30</f>
        <v>111</v>
      </c>
      <c r="C96" s="553"/>
      <c r="D96" s="553"/>
      <c r="E96" s="553"/>
      <c r="F96" s="553"/>
      <c r="G96" s="582"/>
      <c r="H96" s="582"/>
      <c r="I96" s="582"/>
      <c r="J96" s="582"/>
      <c r="K96" s="583"/>
      <c r="L96" s="584"/>
      <c r="M96" s="585"/>
      <c r="N96" s="1149"/>
      <c r="O96" s="1149"/>
      <c r="P96" s="2622"/>
      <c r="Q96" s="503"/>
    </row>
    <row r="97" spans="1:17" ht="15.75" thickBot="1">
      <c r="A97" s="533"/>
      <c r="B97" s="542"/>
      <c r="C97" s="569"/>
      <c r="D97" s="569"/>
      <c r="E97" s="569"/>
      <c r="F97" s="569"/>
      <c r="G97" s="535"/>
      <c r="H97" s="535"/>
      <c r="I97" s="535"/>
      <c r="J97" s="535"/>
      <c r="K97" s="535"/>
      <c r="L97" s="535"/>
      <c r="M97" s="536"/>
      <c r="N97" s="1150"/>
      <c r="O97" s="1150"/>
      <c r="P97" s="2622"/>
      <c r="Q97" s="503"/>
    </row>
    <row r="98" spans="1:17" ht="15.75" thickTop="1">
      <c r="A98" s="533"/>
      <c r="B98" s="545">
        <f>B31</f>
        <v>111</v>
      </c>
      <c r="C98" s="586"/>
      <c r="D98" s="586"/>
      <c r="E98" s="586"/>
      <c r="F98" s="586"/>
      <c r="G98" s="586"/>
      <c r="H98" s="586"/>
      <c r="I98" s="586"/>
      <c r="J98" s="586"/>
      <c r="K98" s="587"/>
      <c r="L98" s="588"/>
      <c r="M98" s="589"/>
      <c r="N98" s="1149"/>
      <c r="O98" s="1149"/>
      <c r="P98" s="2622"/>
      <c r="Q98" s="503"/>
    </row>
    <row r="99" spans="1:17" ht="15.75" thickBot="1">
      <c r="A99" s="2628"/>
      <c r="B99" s="568"/>
      <c r="C99" s="590"/>
      <c r="D99" s="590"/>
      <c r="E99" s="590"/>
      <c r="F99" s="590"/>
      <c r="G99" s="590"/>
      <c r="H99" s="590"/>
      <c r="I99" s="590"/>
      <c r="J99" s="590"/>
      <c r="K99" s="590"/>
      <c r="L99" s="590"/>
      <c r="M99" s="591"/>
      <c r="N99" s="1150"/>
      <c r="O99" s="1150"/>
      <c r="P99" s="2622"/>
      <c r="Q99" s="503"/>
    </row>
    <row r="100" spans="1:17">
      <c r="A100" s="526" t="s">
        <v>2551</v>
      </c>
      <c r="B100" s="527" t="s">
        <v>2600</v>
      </c>
      <c r="C100" s="529"/>
      <c r="D100" s="529"/>
      <c r="E100" s="529"/>
      <c r="F100" s="529"/>
      <c r="G100" s="529"/>
      <c r="H100" s="529"/>
      <c r="I100" s="529"/>
      <c r="J100" s="529"/>
      <c r="K100" s="530"/>
      <c r="L100" s="531"/>
      <c r="M100" s="532"/>
      <c r="N100" s="1149"/>
      <c r="O100" s="1149"/>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2"/>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3"/>
      <c r="Q104" s="558"/>
    </row>
    <row r="105" spans="1:17" ht="15" thickTop="1">
      <c r="A105" s="598"/>
      <c r="B105" s="537" t="s">
        <v>2602</v>
      </c>
      <c r="C105" s="553"/>
      <c r="D105" s="553"/>
      <c r="E105" s="582"/>
      <c r="F105" s="582"/>
      <c r="G105" s="582"/>
      <c r="H105" s="582"/>
      <c r="I105" s="582"/>
      <c r="J105" s="582"/>
      <c r="K105" s="583"/>
      <c r="L105" s="584"/>
      <c r="M105" s="585"/>
      <c r="N105" s="1149"/>
      <c r="O105" s="1149"/>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2"/>
      <c r="Q106" s="503"/>
    </row>
    <row r="107" spans="1:17" ht="15" thickTop="1">
      <c r="A107" s="598"/>
      <c r="B107" s="537" t="s">
        <v>2603</v>
      </c>
      <c r="C107" s="582"/>
      <c r="D107" s="582"/>
      <c r="E107" s="582"/>
      <c r="F107" s="582"/>
      <c r="G107" s="582"/>
      <c r="H107" s="582"/>
      <c r="I107" s="582"/>
      <c r="J107" s="582"/>
      <c r="K107" s="583"/>
      <c r="L107" s="584"/>
      <c r="M107" s="585"/>
      <c r="N107" s="1149"/>
      <c r="O107" s="1149"/>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2"/>
      <c r="Q108" s="503"/>
    </row>
    <row r="109" spans="1:17" ht="15" thickTop="1">
      <c r="A109" s="598"/>
      <c r="B109" s="537" t="s">
        <v>2604</v>
      </c>
      <c r="C109" s="553"/>
      <c r="D109" s="553"/>
      <c r="E109" s="553"/>
      <c r="F109" s="582"/>
      <c r="G109" s="582"/>
      <c r="H109" s="582"/>
      <c r="I109" s="582"/>
      <c r="J109" s="582"/>
      <c r="K109" s="583"/>
      <c r="L109" s="584"/>
      <c r="M109" s="585"/>
      <c r="N109" s="1149"/>
      <c r="O109" s="1149"/>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3"/>
      <c r="Q113" s="558"/>
    </row>
    <row r="114" spans="1:17" ht="15" thickTop="1">
      <c r="A114" s="598"/>
      <c r="B114" s="537" t="s">
        <v>2605</v>
      </c>
      <c r="C114" s="553"/>
      <c r="D114" s="553"/>
      <c r="E114" s="582"/>
      <c r="F114" s="582"/>
      <c r="G114" s="582"/>
      <c r="H114" s="582"/>
      <c r="I114" s="582"/>
      <c r="J114" s="582"/>
      <c r="K114" s="583"/>
      <c r="L114" s="584"/>
      <c r="M114" s="585"/>
      <c r="N114" s="1149"/>
      <c r="O114" s="1149"/>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2"/>
      <c r="Q115" s="503"/>
    </row>
    <row r="116" spans="1:17" ht="15" thickTop="1">
      <c r="A116" s="598"/>
      <c r="B116" s="537" t="s">
        <v>2606</v>
      </c>
      <c r="C116" s="553"/>
      <c r="D116" s="553"/>
      <c r="E116" s="553"/>
      <c r="F116" s="553"/>
      <c r="G116" s="553"/>
      <c r="H116" s="582"/>
      <c r="I116" s="582"/>
      <c r="J116" s="582"/>
      <c r="K116" s="583"/>
      <c r="L116" s="584"/>
      <c r="M116" s="585"/>
      <c r="N116" s="1149"/>
      <c r="O116" s="1149"/>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2607</v>
      </c>
      <c r="C118" s="582"/>
      <c r="D118" s="582"/>
      <c r="E118" s="582"/>
      <c r="F118" s="582"/>
      <c r="G118" s="582"/>
      <c r="H118" s="582"/>
      <c r="I118" s="582"/>
      <c r="J118" s="582"/>
      <c r="K118" s="583"/>
      <c r="L118" s="584"/>
      <c r="M118" s="585"/>
      <c r="N118" s="1149"/>
      <c r="O118" s="1149"/>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2"/>
      <c r="Q119" s="503"/>
    </row>
    <row r="120" spans="1:17" s="470" customFormat="1" ht="28.5" thickTop="1">
      <c r="A120" s="592"/>
      <c r="B120" s="537" t="s">
        <v>2562</v>
      </c>
      <c r="C120" s="553"/>
      <c r="D120" s="553"/>
      <c r="E120" s="553"/>
      <c r="F120" s="553"/>
      <c r="G120" s="553"/>
      <c r="H120" s="553"/>
      <c r="I120" s="553"/>
      <c r="J120" s="553"/>
      <c r="K120" s="553"/>
      <c r="L120" s="579"/>
      <c r="M120" s="580"/>
      <c r="N120" s="1151"/>
      <c r="O120" s="1151"/>
      <c r="P120" s="2623"/>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3"/>
      <c r="Q121" s="558"/>
    </row>
    <row r="122" spans="1:17" ht="15" thickTop="1">
      <c r="A122" s="598"/>
      <c r="B122" s="537" t="s">
        <v>2608</v>
      </c>
      <c r="C122" s="553"/>
      <c r="D122" s="553"/>
      <c r="E122" s="553"/>
      <c r="F122" s="582"/>
      <c r="G122" s="582"/>
      <c r="H122" s="582"/>
      <c r="I122" s="582"/>
      <c r="J122" s="582"/>
      <c r="K122" s="583"/>
      <c r="L122" s="584"/>
      <c r="M122" s="585"/>
      <c r="N122" s="1149"/>
      <c r="O122" s="1149"/>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9"/>
      <c r="O124" s="1149"/>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3"/>
      <c r="Q127" s="558"/>
    </row>
    <row r="128" spans="1:17" ht="15" thickTop="1">
      <c r="A128" s="598"/>
      <c r="B128" s="537">
        <f>B45</f>
        <v>111</v>
      </c>
      <c r="C128" s="553"/>
      <c r="D128" s="553"/>
      <c r="E128" s="553"/>
      <c r="F128" s="553"/>
      <c r="G128" s="582"/>
      <c r="H128" s="582"/>
      <c r="I128" s="582"/>
      <c r="J128" s="582"/>
      <c r="K128" s="583"/>
      <c r="L128" s="584"/>
      <c r="M128" s="585"/>
      <c r="N128" s="1149"/>
      <c r="O128" s="1149"/>
      <c r="P128" s="2622"/>
      <c r="Q128" s="503"/>
    </row>
    <row r="129" spans="1:17" ht="15.75" thickBot="1">
      <c r="A129" s="533"/>
      <c r="B129" s="542"/>
      <c r="C129" s="559"/>
      <c r="D129" s="559"/>
      <c r="E129" s="559"/>
      <c r="F129" s="559"/>
      <c r="G129" s="535"/>
      <c r="H129" s="535"/>
      <c r="I129" s="535"/>
      <c r="J129" s="535"/>
      <c r="K129" s="535"/>
      <c r="L129" s="535"/>
      <c r="M129" s="536"/>
      <c r="N129" s="1150"/>
      <c r="O129" s="1150"/>
      <c r="P129" s="2622"/>
      <c r="Q129" s="503"/>
    </row>
    <row r="130" spans="1:17" ht="15" thickTop="1">
      <c r="A130" s="598"/>
      <c r="B130" s="545">
        <f>B46</f>
        <v>111</v>
      </c>
      <c r="C130" s="553"/>
      <c r="D130" s="553"/>
      <c r="E130" s="553"/>
      <c r="F130" s="553"/>
      <c r="G130" s="586"/>
      <c r="H130" s="586"/>
      <c r="I130" s="586"/>
      <c r="J130" s="586"/>
      <c r="K130" s="522"/>
      <c r="L130" s="523"/>
      <c r="M130" s="589"/>
      <c r="N130" s="1149"/>
      <c r="O130" s="1149"/>
      <c r="P130" s="2622"/>
      <c r="Q130" s="503"/>
    </row>
    <row r="131" spans="1:17" ht="15.75" thickBot="1">
      <c r="A131" s="2628"/>
      <c r="B131" s="568"/>
      <c r="C131" s="569"/>
      <c r="D131" s="569"/>
      <c r="E131" s="569"/>
      <c r="F131" s="569"/>
      <c r="G131" s="590"/>
      <c r="H131" s="590"/>
      <c r="I131" s="590"/>
      <c r="J131" s="590"/>
      <c r="K131" s="590"/>
      <c r="L131" s="590"/>
      <c r="M131" s="591"/>
      <c r="N131" s="1150"/>
      <c r="O131" s="1150"/>
      <c r="P131" s="2622"/>
      <c r="Q131" s="503"/>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5" t="s">
        <v>2613</v>
      </c>
      <c r="D138" s="145" t="s">
        <v>2614</v>
      </c>
      <c r="E138" s="2637" t="s">
        <v>2615</v>
      </c>
      <c r="F138" s="2638" t="s">
        <v>2616</v>
      </c>
      <c r="G138" s="145" t="s">
        <v>2614</v>
      </c>
      <c r="H138" s="146" t="s">
        <v>2615</v>
      </c>
      <c r="I138" s="2639"/>
      <c r="J138" s="145" t="s">
        <v>2617</v>
      </c>
      <c r="K138" s="146" t="s">
        <v>2618</v>
      </c>
    </row>
    <row r="139" spans="1:17" ht="15">
      <c r="B139" s="1081">
        <v>6</v>
      </c>
      <c r="C139" s="1082">
        <v>96</v>
      </c>
      <c r="D139" s="2640" t="s">
        <v>2619</v>
      </c>
      <c r="E139" s="1083">
        <v>100</v>
      </c>
      <c r="F139" s="1084">
        <v>102.5</v>
      </c>
      <c r="G139" s="2640" t="s">
        <v>2619</v>
      </c>
      <c r="H139" s="1085">
        <v>105</v>
      </c>
      <c r="I139" s="2641" t="s">
        <v>2620</v>
      </c>
      <c r="J139" s="1082">
        <v>20</v>
      </c>
      <c r="K139" s="1086">
        <f>C145/(J139-2)</f>
        <v>4.0555555555555553E-3</v>
      </c>
    </row>
    <row r="140" spans="1:17" ht="15">
      <c r="B140" s="1087">
        <v>5</v>
      </c>
      <c r="C140" s="1088">
        <v>100</v>
      </c>
      <c r="D140" s="1088"/>
      <c r="E140" s="1089"/>
      <c r="F140" s="1090">
        <v>102</v>
      </c>
      <c r="G140" s="1088"/>
      <c r="H140" s="1091"/>
      <c r="I140" s="2642" t="s">
        <v>2621</v>
      </c>
      <c r="J140" s="314">
        <f>ROUNDUP((J139-1)/2,0)</f>
        <v>10</v>
      </c>
      <c r="K140" s="1092">
        <v>100</v>
      </c>
    </row>
    <row r="141" spans="1:17" ht="15">
      <c r="B141" s="1087">
        <v>4</v>
      </c>
      <c r="C141" s="1088">
        <v>102</v>
      </c>
      <c r="D141" s="1088"/>
      <c r="E141" s="1089"/>
      <c r="F141" s="1090">
        <v>101.5</v>
      </c>
      <c r="G141" s="1088"/>
      <c r="H141" s="1091"/>
      <c r="I141" s="2642" t="s">
        <v>2622</v>
      </c>
      <c r="J141" s="314">
        <v>1</v>
      </c>
      <c r="K141" s="1093">
        <f>ROUND(100+(J141-J140)*K139*100,1)</f>
        <v>96.4</v>
      </c>
    </row>
    <row r="142" spans="1:17" ht="15">
      <c r="B142" s="1087">
        <v>3</v>
      </c>
      <c r="C142" s="1088">
        <v>103</v>
      </c>
      <c r="D142" s="1088"/>
      <c r="E142" s="1089"/>
      <c r="F142" s="1090">
        <v>101</v>
      </c>
      <c r="G142" s="1088"/>
      <c r="H142" s="1091"/>
      <c r="I142" s="2642" t="s">
        <v>2623</v>
      </c>
      <c r="J142" s="314">
        <f>J139</f>
        <v>20</v>
      </c>
      <c r="K142" s="1094">
        <v>95</v>
      </c>
    </row>
    <row r="143" spans="1:17" ht="15">
      <c r="B143" s="1087">
        <v>2</v>
      </c>
      <c r="C143" s="1088">
        <v>100</v>
      </c>
      <c r="D143" s="1088"/>
      <c r="E143" s="1089"/>
      <c r="F143" s="1090">
        <v>100.5</v>
      </c>
      <c r="G143" s="1088"/>
      <c r="H143" s="1091"/>
      <c r="I143" s="2642" t="s">
        <v>2624</v>
      </c>
      <c r="J143" s="1088">
        <v>15</v>
      </c>
      <c r="K143" s="1093">
        <f>ROUND(100+(J143-J140)*K139*100,1)</f>
        <v>102</v>
      </c>
    </row>
    <row r="144" spans="1:17" ht="15">
      <c r="B144" s="1087">
        <v>1</v>
      </c>
      <c r="C144" s="1088">
        <v>98</v>
      </c>
      <c r="D144" s="2643" t="s">
        <v>2625</v>
      </c>
      <c r="E144" s="1089">
        <v>102</v>
      </c>
      <c r="F144" s="1095">
        <v>100</v>
      </c>
      <c r="G144" s="2643" t="s">
        <v>2625</v>
      </c>
      <c r="H144" s="1091">
        <v>105</v>
      </c>
      <c r="I144" s="2642" t="s">
        <v>2624</v>
      </c>
      <c r="J144" s="1088">
        <v>18</v>
      </c>
      <c r="K144" s="1093">
        <f>ROUND(100+(J144-J140)*K139*100,1)</f>
        <v>103.2</v>
      </c>
    </row>
    <row r="145" spans="2:11" ht="15.75" thickBot="1">
      <c r="B145" s="2644" t="s">
        <v>2626</v>
      </c>
      <c r="C145" s="1096">
        <f>ROUND(MAX(C139:C144)/MIN(C139:C144)-1,3)</f>
        <v>7.2999999999999995E-2</v>
      </c>
      <c r="D145" s="1097"/>
      <c r="E145" s="1097"/>
      <c r="F145" s="2645" t="s">
        <v>2627</v>
      </c>
      <c r="G145" s="2646"/>
      <c r="H145" s="2647"/>
      <c r="I145" s="2648" t="s">
        <v>2624</v>
      </c>
      <c r="J145" s="1098">
        <v>8</v>
      </c>
      <c r="K145" s="1099">
        <f>ROUND(100+(J145-J140)*K139*100,1)</f>
        <v>99.2</v>
      </c>
    </row>
    <row r="147" spans="2:11">
      <c r="B147" s="2629" t="s">
        <v>2628</v>
      </c>
    </row>
    <row r="148" spans="2:11">
      <c r="B148" s="262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4" t="s">
        <v>2630</v>
      </c>
      <c r="C1" s="1630" t="s">
        <v>2518</v>
      </c>
      <c r="D1" s="1617"/>
      <c r="E1" s="2649"/>
      <c r="F1" s="2576"/>
      <c r="G1" s="1627" t="s">
        <v>2631</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7" customFormat="1" ht="28.5" customHeight="1" thickTop="1">
      <c r="A2" s="1613" t="s">
        <v>2318</v>
      </c>
      <c r="B2" s="1415" t="e">
        <f ca="1">IF(C2="——",ROUND(C49*D3/10000,0),ROUND(C49*D3/10000,0)-D2)</f>
        <v>#DIV/0!</v>
      </c>
      <c r="C2" s="2578"/>
      <c r="D2" s="1362" t="e">
        <f ca="1">SUMIF(INDIRECT("'"&amp;F2&amp;"'"&amp;"!A:A"),"承租人权益价值",INDIRECT("'"&amp;F2&amp;"'"&amp;"!c:c"))</f>
        <v>#REF!</v>
      </c>
      <c r="E2" s="2579" t="s">
        <v>2319</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7" customFormat="1" ht="28.5" customHeight="1" thickBot="1">
      <c r="A3" s="246" t="s">
        <v>2320</v>
      </c>
      <c r="B3" s="608" t="e">
        <f ca="1">IF(C2="——",C49,ROUND(B2*10000/D3,0))</f>
        <v>#DIV/0!</v>
      </c>
      <c r="C3" s="399" t="s">
        <v>2632</v>
      </c>
      <c r="D3" s="398">
        <f>IF(D1="",'数据-汇总表'!E3,SUMIF('数据-汇总表'!$C19:$C33,D1,'数据-汇总表'!$E19:$E33))</f>
        <v>75745.560000000012</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400" t="s">
        <v>2633</v>
      </c>
      <c r="B4" s="401"/>
      <c r="C4" s="3249" t="s">
        <v>2634</v>
      </c>
      <c r="D4" s="3262"/>
      <c r="E4" s="3263" t="s">
        <v>2635</v>
      </c>
      <c r="F4" s="3264"/>
      <c r="G4" s="3249" t="s">
        <v>2636</v>
      </c>
      <c r="H4" s="3262"/>
      <c r="I4" s="3249" t="s">
        <v>2637</v>
      </c>
      <c r="J4" s="3262"/>
      <c r="K4" s="609" t="s">
        <v>2638</v>
      </c>
      <c r="L4" s="1127"/>
      <c r="M4" s="1128"/>
      <c r="N4" s="1128"/>
      <c r="O4" s="1128"/>
      <c r="P4" s="3265" t="s">
        <v>2639</v>
      </c>
      <c r="Q4" s="3266"/>
      <c r="R4" s="3271" t="s">
        <v>2635</v>
      </c>
      <c r="S4" s="3272"/>
      <c r="T4" s="3271" t="s">
        <v>2636</v>
      </c>
      <c r="U4" s="3272"/>
      <c r="V4" s="3258" t="s">
        <v>2637</v>
      </c>
      <c r="W4" s="3258"/>
      <c r="X4" s="1809"/>
      <c r="Y4" s="3271" t="s">
        <v>2639</v>
      </c>
      <c r="Z4" s="3272"/>
      <c r="AA4" s="3259" t="s">
        <v>2635</v>
      </c>
      <c r="AB4" s="3258" t="s">
        <v>2636</v>
      </c>
      <c r="AC4" s="3259" t="s">
        <v>2637</v>
      </c>
    </row>
    <row r="5" spans="1:29" ht="15">
      <c r="A5" s="403"/>
      <c r="B5" s="404"/>
      <c r="C5" s="3279" t="s">
        <v>2530</v>
      </c>
      <c r="D5" s="3280"/>
      <c r="E5" s="3286" t="s">
        <v>2531</v>
      </c>
      <c r="F5" s="3287"/>
      <c r="G5" s="3279" t="s">
        <v>2532</v>
      </c>
      <c r="H5" s="3280"/>
      <c r="I5" s="3279" t="s">
        <v>2533</v>
      </c>
      <c r="J5" s="3280"/>
      <c r="K5" s="609"/>
      <c r="L5" s="1127"/>
      <c r="M5" s="1128"/>
      <c r="N5" s="1128"/>
      <c r="O5" s="1128"/>
      <c r="P5" s="3267"/>
      <c r="Q5" s="3268"/>
      <c r="R5" s="3273"/>
      <c r="S5" s="3274"/>
      <c r="T5" s="3273"/>
      <c r="U5" s="3274"/>
      <c r="V5" s="3258"/>
      <c r="W5" s="3258"/>
      <c r="X5" s="1809"/>
      <c r="Y5" s="3273"/>
      <c r="Z5" s="3274"/>
      <c r="AA5" s="3260"/>
      <c r="AB5" s="3258"/>
      <c r="AC5" s="3260"/>
    </row>
    <row r="6" spans="1:29" ht="15.75" thickBot="1">
      <c r="A6" s="405"/>
      <c r="B6" s="406"/>
      <c r="C6" s="3277" t="s">
        <v>2534</v>
      </c>
      <c r="D6" s="3278"/>
      <c r="E6" s="3284" t="s">
        <v>2534</v>
      </c>
      <c r="F6" s="3285"/>
      <c r="G6" s="3277" t="s">
        <v>2534</v>
      </c>
      <c r="H6" s="3278"/>
      <c r="I6" s="3277" t="s">
        <v>2534</v>
      </c>
      <c r="J6" s="3278"/>
      <c r="K6" s="609" t="s">
        <v>2535</v>
      </c>
      <c r="L6" s="1127"/>
      <c r="M6" s="1128"/>
      <c r="N6" s="1128"/>
      <c r="O6" s="1128"/>
      <c r="P6" s="3269"/>
      <c r="Q6" s="3270"/>
      <c r="R6" s="3273"/>
      <c r="S6" s="3274"/>
      <c r="T6" s="3275"/>
      <c r="U6" s="3276"/>
      <c r="V6" s="3258"/>
      <c r="W6" s="3258"/>
      <c r="X6" s="1809"/>
      <c r="Y6" s="3275"/>
      <c r="Z6" s="3276"/>
      <c r="AA6" s="3261"/>
      <c r="AB6" s="3258"/>
      <c r="AC6" s="3261"/>
    </row>
    <row r="7" spans="1:29" s="117" customFormat="1" ht="15.75" thickBot="1">
      <c r="A7" s="407" t="s">
        <v>2536</v>
      </c>
      <c r="B7" s="408"/>
      <c r="C7" s="409">
        <f>'数据-取费表'!B2</f>
        <v>43525</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81" t="s">
        <v>2537</v>
      </c>
      <c r="Q7" s="3283"/>
      <c r="R7" s="769" t="s">
        <v>17</v>
      </c>
      <c r="S7" s="770">
        <f t="shared" ref="S7:S15" si="0">F7</f>
        <v>0</v>
      </c>
      <c r="T7" s="769" t="s">
        <v>17</v>
      </c>
      <c r="U7" s="770">
        <f t="shared" ref="U7:U15" si="1">H7</f>
        <v>0</v>
      </c>
      <c r="V7" s="769" t="s">
        <v>17</v>
      </c>
      <c r="W7" s="770">
        <f t="shared" ref="W7:W15" si="2">J7</f>
        <v>0</v>
      </c>
      <c r="X7" s="771"/>
      <c r="Y7" s="3281" t="s">
        <v>2537</v>
      </c>
      <c r="Z7" s="3282"/>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81" t="s">
        <v>2540</v>
      </c>
      <c r="Q8" s="3282"/>
      <c r="R8" s="769" t="s">
        <v>17</v>
      </c>
      <c r="S8" s="770">
        <f t="shared" si="0"/>
        <v>0</v>
      </c>
      <c r="T8" s="769" t="s">
        <v>17</v>
      </c>
      <c r="U8" s="770">
        <f t="shared" si="1"/>
        <v>0</v>
      </c>
      <c r="V8" s="769" t="s">
        <v>17</v>
      </c>
      <c r="W8" s="770">
        <f t="shared" si="2"/>
        <v>0</v>
      </c>
      <c r="X8" s="771"/>
      <c r="Y8" s="3281" t="s">
        <v>2540</v>
      </c>
      <c r="Z8" s="3282"/>
      <c r="AA8" s="772" t="e">
        <f t="shared" ref="AA8:AA46" si="3">D8/F8</f>
        <v>#DIV/0!</v>
      </c>
      <c r="AB8" s="772" t="e">
        <f t="shared" ref="AB8:AB46" si="4">D8/H8</f>
        <v>#DIV/0!</v>
      </c>
      <c r="AC8" s="772" t="e">
        <f t="shared" ref="AC8:AC46" si="5">D8/J8</f>
        <v>#DIV/0!</v>
      </c>
    </row>
    <row r="9" spans="1:29" s="117" customFormat="1">
      <c r="A9" s="414" t="s">
        <v>2541</v>
      </c>
      <c r="B9" s="71" t="s">
        <v>2542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51" t="s">
        <v>2543</v>
      </c>
      <c r="Q9" s="1791" t="str">
        <f t="shared" ref="Q9:Q15" si="6">B9</f>
        <v>用途</v>
      </c>
      <c r="R9" s="769" t="s">
        <v>17</v>
      </c>
      <c r="S9" s="770">
        <f t="shared" si="0"/>
        <v>100</v>
      </c>
      <c r="T9" s="769" t="s">
        <v>17</v>
      </c>
      <c r="U9" s="770">
        <f t="shared" si="1"/>
        <v>100</v>
      </c>
      <c r="V9" s="769" t="s">
        <v>17</v>
      </c>
      <c r="W9" s="770">
        <f t="shared" si="2"/>
        <v>100</v>
      </c>
      <c r="X9" s="771"/>
      <c r="Y9" s="3075"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51"/>
      <c r="Q10" s="1791"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51"/>
      <c r="Q11" s="1791"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51"/>
      <c r="Q12" s="1791">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51"/>
      <c r="Q13" s="1791">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51"/>
      <c r="Q14" s="1791">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71.25">
      <c r="A15" s="439" t="s">
        <v>2547</v>
      </c>
      <c r="B15" s="69" t="s">
        <v>2641</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321" t="s">
        <v>2548</v>
      </c>
      <c r="Q15" s="1806" t="str">
        <f t="shared" si="6"/>
        <v>商业繁华度</v>
      </c>
      <c r="R15" s="773" t="s">
        <v>17</v>
      </c>
      <c r="S15" s="774">
        <f t="shared" si="0"/>
        <v>100</v>
      </c>
      <c r="T15" s="773" t="s">
        <v>17</v>
      </c>
      <c r="U15" s="774">
        <f t="shared" si="1"/>
        <v>100</v>
      </c>
      <c r="V15" s="773" t="s">
        <v>17</v>
      </c>
      <c r="W15" s="774">
        <f t="shared" si="2"/>
        <v>100</v>
      </c>
      <c r="X15" s="1809"/>
      <c r="Y15" s="3254" t="s">
        <v>2548</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28"/>
      <c r="P16" s="3322"/>
      <c r="Q16" s="1806"/>
      <c r="R16" s="773"/>
      <c r="S16" s="774"/>
      <c r="T16" s="773"/>
      <c r="U16" s="774"/>
      <c r="V16" s="773"/>
      <c r="W16" s="774"/>
      <c r="X16" s="1809"/>
      <c r="Y16" s="3255"/>
      <c r="Z16" s="1810"/>
      <c r="AA16" s="1807">
        <v>1</v>
      </c>
      <c r="AB16" s="1807">
        <v>1</v>
      </c>
      <c r="AC16" s="1807">
        <v>1</v>
      </c>
    </row>
    <row r="17" spans="1:29" ht="85.5">
      <c r="A17" s="427"/>
      <c r="B17" s="450" t="s">
        <v>2090</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322"/>
      <c r="Q17" s="1806" t="str">
        <f>B17</f>
        <v>交通便捷度</v>
      </c>
      <c r="R17" s="773" t="s">
        <v>17</v>
      </c>
      <c r="S17" s="774">
        <f>F17</f>
        <v>100</v>
      </c>
      <c r="T17" s="773" t="s">
        <v>17</v>
      </c>
      <c r="U17" s="774">
        <f>H17</f>
        <v>100</v>
      </c>
      <c r="V17" s="773" t="s">
        <v>17</v>
      </c>
      <c r="W17" s="774">
        <f>J17</f>
        <v>100</v>
      </c>
      <c r="X17" s="1809"/>
      <c r="Y17" s="3255"/>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28"/>
      <c r="P18" s="3322"/>
      <c r="Q18" s="1806"/>
      <c r="R18" s="773"/>
      <c r="S18" s="774"/>
      <c r="T18" s="773"/>
      <c r="U18" s="774"/>
      <c r="V18" s="773"/>
      <c r="W18" s="774"/>
      <c r="X18" s="1809"/>
      <c r="Y18" s="3255"/>
      <c r="Z18" s="1810"/>
      <c r="AA18" s="1807">
        <v>1</v>
      </c>
      <c r="AB18" s="1807">
        <v>1</v>
      </c>
      <c r="AC18" s="1807">
        <v>1</v>
      </c>
    </row>
    <row r="19" spans="1:29" ht="42.75">
      <c r="A19" s="427"/>
      <c r="B19" s="450" t="s">
        <v>2642</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322"/>
      <c r="Q19" s="1806" t="str">
        <f>B19</f>
        <v>公共配套设施</v>
      </c>
      <c r="R19" s="773" t="s">
        <v>17</v>
      </c>
      <c r="S19" s="774">
        <f>F19</f>
        <v>100</v>
      </c>
      <c r="T19" s="773" t="s">
        <v>17</v>
      </c>
      <c r="U19" s="774">
        <f>H19</f>
        <v>100</v>
      </c>
      <c r="V19" s="773" t="s">
        <v>17</v>
      </c>
      <c r="W19" s="774">
        <f>J19</f>
        <v>100</v>
      </c>
      <c r="X19" s="1809"/>
      <c r="Y19" s="3255"/>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28"/>
      <c r="P20" s="3322"/>
      <c r="Q20" s="1806"/>
      <c r="R20" s="773"/>
      <c r="S20" s="774"/>
      <c r="T20" s="773"/>
      <c r="U20" s="774"/>
      <c r="V20" s="773"/>
      <c r="W20" s="774"/>
      <c r="X20" s="1809"/>
      <c r="Y20" s="3255"/>
      <c r="Z20" s="1810"/>
      <c r="AA20" s="1807">
        <v>1</v>
      </c>
      <c r="AB20" s="1807">
        <v>1</v>
      </c>
      <c r="AC20" s="1807">
        <v>1</v>
      </c>
    </row>
    <row r="21" spans="1:29" ht="28.5">
      <c r="A21" s="427"/>
      <c r="B21" s="1381" t="s">
        <v>2643</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322"/>
      <c r="Q21" s="1806" t="str">
        <f>B21</f>
        <v>基础设施水平</v>
      </c>
      <c r="R21" s="773" t="s">
        <v>17</v>
      </c>
      <c r="S21" s="774">
        <f>F21</f>
        <v>100</v>
      </c>
      <c r="T21" s="773" t="s">
        <v>17</v>
      </c>
      <c r="U21" s="774">
        <f>H21</f>
        <v>100</v>
      </c>
      <c r="V21" s="773" t="s">
        <v>17</v>
      </c>
      <c r="W21" s="774">
        <f>J21</f>
        <v>100</v>
      </c>
      <c r="X21" s="1809"/>
      <c r="Y21" s="3255"/>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8"/>
      <c r="G22" s="446"/>
      <c r="H22" s="447"/>
      <c r="I22" s="446"/>
      <c r="J22" s="447"/>
      <c r="K22" s="1380"/>
      <c r="L22" s="1137"/>
      <c r="M22" s="1128"/>
      <c r="N22" s="1128"/>
      <c r="O22" s="1128"/>
      <c r="P22" s="3322"/>
      <c r="Q22" s="1806"/>
      <c r="R22" s="773"/>
      <c r="S22" s="774"/>
      <c r="T22" s="773"/>
      <c r="U22" s="774"/>
      <c r="V22" s="773"/>
      <c r="W22" s="774"/>
      <c r="X22" s="1809"/>
      <c r="Y22" s="3255"/>
      <c r="Z22" s="1810"/>
      <c r="AA22" s="1807">
        <v>1</v>
      </c>
      <c r="AB22" s="1807">
        <v>1</v>
      </c>
      <c r="AC22" s="1807">
        <v>1</v>
      </c>
    </row>
    <row r="23" spans="1:29" ht="57">
      <c r="A23" s="427"/>
      <c r="B23" s="450" t="s">
        <v>2095</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322"/>
      <c r="Q23" s="1806" t="str">
        <f>B23</f>
        <v>自然及人文环境</v>
      </c>
      <c r="R23" s="773" t="s">
        <v>17</v>
      </c>
      <c r="S23" s="774">
        <f>F23</f>
        <v>100</v>
      </c>
      <c r="T23" s="773" t="s">
        <v>17</v>
      </c>
      <c r="U23" s="774">
        <f>H23</f>
        <v>100</v>
      </c>
      <c r="V23" s="773" t="s">
        <v>17</v>
      </c>
      <c r="W23" s="774">
        <f>J23</f>
        <v>100</v>
      </c>
      <c r="X23" s="1809"/>
      <c r="Y23" s="3255"/>
      <c r="Z23" s="1810" t="str">
        <f>Q23</f>
        <v>自然及人文环境</v>
      </c>
      <c r="AA23" s="1807">
        <f t="shared" si="3"/>
        <v>1</v>
      </c>
      <c r="AB23" s="1807">
        <f t="shared" si="4"/>
        <v>1</v>
      </c>
      <c r="AC23" s="1807">
        <f t="shared" si="5"/>
        <v>1</v>
      </c>
    </row>
    <row r="24" spans="1:29" ht="15">
      <c r="A24" s="427"/>
      <c r="B24" s="455"/>
      <c r="C24" s="446"/>
      <c r="D24" s="447"/>
      <c r="E24" s="2597"/>
      <c r="F24" s="448"/>
      <c r="G24" s="2596"/>
      <c r="H24" s="447"/>
      <c r="I24" s="2597"/>
      <c r="J24" s="447"/>
      <c r="K24" s="614"/>
      <c r="L24" s="1137"/>
      <c r="M24" s="1128"/>
      <c r="N24" s="1128"/>
      <c r="O24" s="1128"/>
      <c r="P24" s="3322"/>
      <c r="Q24" s="1806"/>
      <c r="R24" s="773"/>
      <c r="S24" s="774"/>
      <c r="T24" s="773"/>
      <c r="U24" s="774"/>
      <c r="V24" s="773"/>
      <c r="W24" s="774"/>
      <c r="X24" s="1809"/>
      <c r="Y24" s="3255"/>
      <c r="Z24" s="1810"/>
      <c r="AA24" s="1807">
        <v>1</v>
      </c>
      <c r="AB24" s="1807">
        <v>1</v>
      </c>
      <c r="AC24" s="1807">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322"/>
      <c r="Q25" s="1806" t="str">
        <f t="shared" ref="Q25:Q46" si="11">B25</f>
        <v>临街状况</v>
      </c>
      <c r="R25" s="773" t="s">
        <v>17</v>
      </c>
      <c r="S25" s="774">
        <f>F25</f>
        <v>100</v>
      </c>
      <c r="T25" s="773" t="s">
        <v>17</v>
      </c>
      <c r="U25" s="774">
        <f>H25</f>
        <v>100</v>
      </c>
      <c r="V25" s="773" t="s">
        <v>17</v>
      </c>
      <c r="W25" s="774">
        <f>J25</f>
        <v>100</v>
      </c>
      <c r="X25" s="1809"/>
      <c r="Y25" s="3255"/>
      <c r="Z25" s="1810" t="str">
        <f>Q25</f>
        <v>临街状况</v>
      </c>
      <c r="AA25" s="1807">
        <f t="shared" si="3"/>
        <v>1</v>
      </c>
      <c r="AB25" s="1807">
        <f t="shared" si="4"/>
        <v>1</v>
      </c>
      <c r="AC25" s="1807">
        <f t="shared" si="5"/>
        <v>1</v>
      </c>
    </row>
    <row r="26" spans="1:29" ht="15">
      <c r="A26" s="427"/>
      <c r="B26" s="1383" t="s">
        <v>2645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322"/>
      <c r="Q26" s="1806" t="str">
        <f t="shared" si="11"/>
        <v>平面位置/可视性</v>
      </c>
      <c r="R26" s="773" t="s">
        <v>17</v>
      </c>
      <c r="S26" s="774">
        <f>F26</f>
        <v>100</v>
      </c>
      <c r="T26" s="773" t="s">
        <v>17</v>
      </c>
      <c r="U26" s="774">
        <f>H26</f>
        <v>100</v>
      </c>
      <c r="V26" s="773" t="s">
        <v>17</v>
      </c>
      <c r="W26" s="774">
        <f>J26</f>
        <v>100</v>
      </c>
      <c r="X26" s="1809"/>
      <c r="Y26" s="3255"/>
      <c r="Z26" s="1810" t="str">
        <f>Q26</f>
        <v>平面位置/可视性</v>
      </c>
      <c r="AA26" s="1807">
        <f t="shared" si="3"/>
        <v>1</v>
      </c>
      <c r="AB26" s="1807">
        <f t="shared" si="4"/>
        <v>1</v>
      </c>
      <c r="AC26" s="1807">
        <f t="shared" si="5"/>
        <v>1</v>
      </c>
    </row>
    <row r="27" spans="1:29" s="117" customFormat="1" ht="15">
      <c r="A27" s="430"/>
      <c r="B27" s="450" t="s">
        <v>2646</v>
      </c>
      <c r="C27" s="2657"/>
      <c r="D27" s="461">
        <v>100</v>
      </c>
      <c r="E27" s="2657"/>
      <c r="F27" s="463">
        <f>SUMIF(90:90,E27,91:91)-SUMIF(90:90,C27,91:91)+100</f>
        <v>100</v>
      </c>
      <c r="G27" s="2657"/>
      <c r="H27" s="461">
        <f>SUMIF(90:90,G27,91:91)-SUMIF(90:90,C27,91:91)+100</f>
        <v>100</v>
      </c>
      <c r="I27" s="2657"/>
      <c r="J27" s="461">
        <f>SUMIF(90:90,I27,91:91)-SUMIF(90:90,C27,91:91)+100</f>
        <v>100</v>
      </c>
      <c r="K27" s="611"/>
      <c r="L27" s="1129"/>
      <c r="M27" s="1130"/>
      <c r="N27" s="1130"/>
      <c r="O27" s="1130"/>
      <c r="P27" s="3322"/>
      <c r="Q27" s="1791" t="str">
        <f t="shared" si="11"/>
        <v>人流量</v>
      </c>
      <c r="R27" s="769" t="s">
        <v>17</v>
      </c>
      <c r="S27" s="770">
        <f>F27</f>
        <v>100</v>
      </c>
      <c r="T27" s="769" t="s">
        <v>17</v>
      </c>
      <c r="U27" s="770">
        <f>H27</f>
        <v>100</v>
      </c>
      <c r="V27" s="769" t="s">
        <v>17</v>
      </c>
      <c r="W27" s="770">
        <f>J27</f>
        <v>100</v>
      </c>
      <c r="X27" s="771"/>
      <c r="Y27" s="3255"/>
      <c r="Z27" s="55" t="str">
        <f>Q27</f>
        <v>人流量</v>
      </c>
      <c r="AA27" s="1807">
        <f>D27/F27</f>
        <v>1</v>
      </c>
      <c r="AB27" s="1807">
        <f>D27/H27</f>
        <v>1</v>
      </c>
      <c r="AC27" s="1807">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322"/>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55"/>
      <c r="Z28" s="1810" t="str">
        <f t="shared" ref="Z28:Z46" si="15">Q28</f>
        <v>楼层</v>
      </c>
      <c r="AA28" s="1807">
        <f t="shared" si="3"/>
        <v>1</v>
      </c>
      <c r="AB28" s="1807">
        <f t="shared" si="4"/>
        <v>1</v>
      </c>
      <c r="AC28" s="1807">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22"/>
      <c r="Q29" s="1806">
        <f t="shared" si="11"/>
        <v>111</v>
      </c>
      <c r="R29" s="773" t="s">
        <v>17</v>
      </c>
      <c r="S29" s="774">
        <f t="shared" si="12"/>
        <v>100</v>
      </c>
      <c r="T29" s="773" t="s">
        <v>17</v>
      </c>
      <c r="U29" s="774">
        <f t="shared" si="13"/>
        <v>100</v>
      </c>
      <c r="V29" s="773" t="s">
        <v>17</v>
      </c>
      <c r="W29" s="774">
        <f t="shared" si="14"/>
        <v>100</v>
      </c>
      <c r="X29" s="1809"/>
      <c r="Y29" s="3255"/>
      <c r="Z29" s="1810">
        <f t="shared" si="15"/>
        <v>111</v>
      </c>
      <c r="AA29" s="1807">
        <f t="shared" si="3"/>
        <v>1</v>
      </c>
      <c r="AB29" s="1807">
        <f t="shared" si="4"/>
        <v>1</v>
      </c>
      <c r="AC29" s="1807">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22"/>
      <c r="Q30" s="1806">
        <f t="shared" si="11"/>
        <v>111</v>
      </c>
      <c r="R30" s="773" t="s">
        <v>17</v>
      </c>
      <c r="S30" s="774">
        <f t="shared" si="12"/>
        <v>100</v>
      </c>
      <c r="T30" s="773" t="s">
        <v>17</v>
      </c>
      <c r="U30" s="774">
        <f t="shared" si="13"/>
        <v>100</v>
      </c>
      <c r="V30" s="773" t="s">
        <v>17</v>
      </c>
      <c r="W30" s="774">
        <f t="shared" si="14"/>
        <v>100</v>
      </c>
      <c r="X30" s="1809"/>
      <c r="Y30" s="3255"/>
      <c r="Z30" s="1810">
        <f t="shared" si="15"/>
        <v>111</v>
      </c>
      <c r="AA30" s="1807">
        <f t="shared" si="3"/>
        <v>1</v>
      </c>
      <c r="AB30" s="1807">
        <f t="shared" si="4"/>
        <v>1</v>
      </c>
      <c r="AC30" s="1807">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22"/>
      <c r="Q31" s="1806">
        <f t="shared" si="11"/>
        <v>111</v>
      </c>
      <c r="R31" s="773" t="s">
        <v>17</v>
      </c>
      <c r="S31" s="774">
        <f t="shared" si="12"/>
        <v>100</v>
      </c>
      <c r="T31" s="773" t="s">
        <v>17</v>
      </c>
      <c r="U31" s="774">
        <f t="shared" si="13"/>
        <v>100</v>
      </c>
      <c r="V31" s="773" t="s">
        <v>17</v>
      </c>
      <c r="W31" s="774">
        <f t="shared" si="14"/>
        <v>100</v>
      </c>
      <c r="X31" s="1809"/>
      <c r="Y31" s="3255"/>
      <c r="Z31" s="1810">
        <f t="shared" si="15"/>
        <v>111</v>
      </c>
      <c r="AA31" s="1807">
        <f t="shared" si="3"/>
        <v>1</v>
      </c>
      <c r="AB31" s="1807">
        <f t="shared" si="4"/>
        <v>1</v>
      </c>
      <c r="AC31" s="1807">
        <f t="shared" si="5"/>
        <v>1</v>
      </c>
    </row>
    <row r="32" spans="1:29" ht="15">
      <c r="A32" s="439" t="s">
        <v>2551</v>
      </c>
      <c r="B32" s="71" t="s">
        <v>2648</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7"/>
      <c r="M32" s="1128"/>
      <c r="N32" s="1128"/>
      <c r="O32" s="1128"/>
      <c r="P32" s="3317" t="s">
        <v>2553</v>
      </c>
      <c r="Q32" s="1806" t="str">
        <f t="shared" si="11"/>
        <v>商业类型</v>
      </c>
      <c r="R32" s="773" t="s">
        <v>17</v>
      </c>
      <c r="S32" s="774">
        <f t="shared" si="12"/>
        <v>100</v>
      </c>
      <c r="T32" s="773" t="s">
        <v>17</v>
      </c>
      <c r="U32" s="774">
        <f t="shared" si="13"/>
        <v>100</v>
      </c>
      <c r="V32" s="773" t="s">
        <v>17</v>
      </c>
      <c r="W32" s="774">
        <f t="shared" si="14"/>
        <v>100</v>
      </c>
      <c r="X32" s="1809"/>
      <c r="Y32" s="3257" t="s">
        <v>2553</v>
      </c>
      <c r="Z32" s="1810" t="str">
        <f t="shared" si="15"/>
        <v>商业类型</v>
      </c>
      <c r="AA32" s="1807">
        <f t="shared" si="3"/>
        <v>1</v>
      </c>
      <c r="AB32" s="1807">
        <f t="shared" si="4"/>
        <v>1</v>
      </c>
      <c r="AC32" s="1807">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318"/>
      <c r="Q33" s="775" t="str">
        <f t="shared" si="11"/>
        <v>项目建筑规模</v>
      </c>
      <c r="R33" s="776" t="s">
        <v>17</v>
      </c>
      <c r="S33" s="777" t="e">
        <f t="shared" si="12"/>
        <v>#N/A</v>
      </c>
      <c r="T33" s="776" t="s">
        <v>17</v>
      </c>
      <c r="U33" s="777" t="e">
        <f t="shared" si="13"/>
        <v>#N/A</v>
      </c>
      <c r="V33" s="776" t="s">
        <v>17</v>
      </c>
      <c r="W33" s="777" t="e">
        <f t="shared" si="14"/>
        <v>#N/A</v>
      </c>
      <c r="X33" s="778"/>
      <c r="Y33" s="3257"/>
      <c r="Z33" s="779" t="str">
        <f t="shared" si="15"/>
        <v>项目建筑规模</v>
      </c>
      <c r="AA33" s="1807" t="e">
        <f t="shared" si="3"/>
        <v>#N/A</v>
      </c>
      <c r="AB33" s="1807" t="e">
        <f t="shared" si="4"/>
        <v>#N/A</v>
      </c>
      <c r="AC33" s="1807" t="e">
        <f t="shared" si="5"/>
        <v>#N/A</v>
      </c>
    </row>
    <row r="34" spans="1:29" ht="15">
      <c r="A34" s="471"/>
      <c r="B34" s="421" t="s">
        <v>2555</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7"/>
      <c r="M34" s="1128"/>
      <c r="N34" s="1128"/>
      <c r="O34" s="1128"/>
      <c r="P34" s="3318"/>
      <c r="Q34" s="1806" t="str">
        <f t="shared" si="11"/>
        <v>建筑结构</v>
      </c>
      <c r="R34" s="773" t="s">
        <v>17</v>
      </c>
      <c r="S34" s="774">
        <f t="shared" si="12"/>
        <v>100</v>
      </c>
      <c r="T34" s="773" t="s">
        <v>17</v>
      </c>
      <c r="U34" s="774">
        <f t="shared" si="13"/>
        <v>100</v>
      </c>
      <c r="V34" s="773" t="s">
        <v>17</v>
      </c>
      <c r="W34" s="774">
        <f t="shared" si="14"/>
        <v>100</v>
      </c>
      <c r="X34" s="1809"/>
      <c r="Y34" s="3257"/>
      <c r="Z34" s="1810" t="str">
        <f t="shared" si="15"/>
        <v>建筑结构</v>
      </c>
      <c r="AA34" s="1807">
        <f t="shared" si="3"/>
        <v>1</v>
      </c>
      <c r="AB34" s="1807">
        <f t="shared" si="4"/>
        <v>1</v>
      </c>
      <c r="AC34" s="1807">
        <f t="shared" si="5"/>
        <v>1</v>
      </c>
    </row>
    <row r="35" spans="1:29" ht="15">
      <c r="A35" s="471"/>
      <c r="B35" s="421" t="s">
        <v>2649</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7"/>
      <c r="M35" s="1128"/>
      <c r="N35" s="1128"/>
      <c r="O35" s="1128"/>
      <c r="P35" s="3318"/>
      <c r="Q35" s="1806" t="str">
        <f t="shared" si="11"/>
        <v>公共部分装修</v>
      </c>
      <c r="R35" s="773" t="s">
        <v>17</v>
      </c>
      <c r="S35" s="774">
        <f t="shared" si="12"/>
        <v>100</v>
      </c>
      <c r="T35" s="773" t="s">
        <v>17</v>
      </c>
      <c r="U35" s="774">
        <f t="shared" si="13"/>
        <v>100</v>
      </c>
      <c r="V35" s="773" t="s">
        <v>17</v>
      </c>
      <c r="W35" s="774">
        <f t="shared" si="14"/>
        <v>100</v>
      </c>
      <c r="X35" s="1809"/>
      <c r="Y35" s="3257"/>
      <c r="Z35" s="1810" t="str">
        <f t="shared" si="15"/>
        <v>公共部分装修</v>
      </c>
      <c r="AA35" s="1807">
        <f t="shared" si="3"/>
        <v>1</v>
      </c>
      <c r="AB35" s="1807">
        <f t="shared" si="4"/>
        <v>1</v>
      </c>
      <c r="AC35" s="1807">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318"/>
      <c r="Q36" s="1806" t="str">
        <f t="shared" si="11"/>
        <v>成新度</v>
      </c>
      <c r="R36" s="773" t="s">
        <v>17</v>
      </c>
      <c r="S36" s="774" t="e">
        <f t="shared" si="12"/>
        <v>#N/A</v>
      </c>
      <c r="T36" s="773" t="s">
        <v>17</v>
      </c>
      <c r="U36" s="774" t="e">
        <f t="shared" si="13"/>
        <v>#N/A</v>
      </c>
      <c r="V36" s="773" t="s">
        <v>17</v>
      </c>
      <c r="W36" s="774" t="e">
        <f t="shared" si="14"/>
        <v>#N/A</v>
      </c>
      <c r="X36" s="1809"/>
      <c r="Y36" s="3257"/>
      <c r="Z36" s="1810" t="str">
        <f t="shared" si="15"/>
        <v>成新度</v>
      </c>
      <c r="AA36" s="1807" t="e">
        <f t="shared" si="3"/>
        <v>#N/A</v>
      </c>
      <c r="AB36" s="1807" t="e">
        <f t="shared" si="4"/>
        <v>#N/A</v>
      </c>
      <c r="AC36" s="1807" t="e">
        <f t="shared" si="5"/>
        <v>#N/A</v>
      </c>
    </row>
    <row r="37" spans="1:29" s="117" customFormat="1" ht="15">
      <c r="A37" s="472"/>
      <c r="B37" s="421" t="s">
        <v>2651</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29"/>
      <c r="M37" s="1130"/>
      <c r="N37" s="1130"/>
      <c r="O37" s="1130"/>
      <c r="P37" s="3318"/>
      <c r="Q37" s="1791" t="str">
        <f t="shared" si="11"/>
        <v>市政基础设施</v>
      </c>
      <c r="R37" s="769" t="s">
        <v>17</v>
      </c>
      <c r="S37" s="770">
        <f t="shared" si="12"/>
        <v>100</v>
      </c>
      <c r="T37" s="769" t="s">
        <v>17</v>
      </c>
      <c r="U37" s="770">
        <f t="shared" si="13"/>
        <v>100</v>
      </c>
      <c r="V37" s="769" t="s">
        <v>17</v>
      </c>
      <c r="W37" s="770">
        <f t="shared" si="14"/>
        <v>100</v>
      </c>
      <c r="X37" s="771"/>
      <c r="Y37" s="3257"/>
      <c r="Z37" s="55" t="str">
        <f t="shared" si="15"/>
        <v>市政基础设施</v>
      </c>
      <c r="AA37" s="772">
        <f t="shared" si="3"/>
        <v>1</v>
      </c>
      <c r="AB37" s="772">
        <f t="shared" si="4"/>
        <v>1</v>
      </c>
      <c r="AC37" s="772">
        <f t="shared" si="5"/>
        <v>1</v>
      </c>
    </row>
    <row r="38" spans="1:29" ht="15">
      <c r="A38" s="471"/>
      <c r="B38" s="421" t="s">
        <v>2652</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7"/>
      <c r="M38" s="1128"/>
      <c r="N38" s="1128"/>
      <c r="O38" s="1128"/>
      <c r="P38" s="3318" t="s">
        <v>2553</v>
      </c>
      <c r="Q38" s="1806" t="str">
        <f t="shared" si="11"/>
        <v>业态</v>
      </c>
      <c r="R38" s="773" t="s">
        <v>17</v>
      </c>
      <c r="S38" s="774">
        <f t="shared" si="12"/>
        <v>100</v>
      </c>
      <c r="T38" s="773" t="s">
        <v>17</v>
      </c>
      <c r="U38" s="774">
        <f t="shared" si="13"/>
        <v>100</v>
      </c>
      <c r="V38" s="773" t="s">
        <v>17</v>
      </c>
      <c r="W38" s="774">
        <f t="shared" si="14"/>
        <v>100</v>
      </c>
      <c r="X38" s="1809"/>
      <c r="Y38" s="3257" t="s">
        <v>2553</v>
      </c>
      <c r="Z38" s="1810" t="str">
        <f t="shared" si="15"/>
        <v>业态</v>
      </c>
      <c r="AA38" s="1807">
        <f t="shared" si="3"/>
        <v>1</v>
      </c>
      <c r="AB38" s="1807">
        <f t="shared" si="4"/>
        <v>1</v>
      </c>
      <c r="AC38" s="1807">
        <f t="shared" si="5"/>
        <v>1</v>
      </c>
    </row>
    <row r="39" spans="1:29" ht="15">
      <c r="A39" s="471"/>
      <c r="B39" s="421" t="s">
        <v>2653</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7"/>
      <c r="M39" s="1128"/>
      <c r="N39" s="1128"/>
      <c r="O39" s="1128"/>
      <c r="P39" s="3318"/>
      <c r="Q39" s="1806" t="str">
        <f t="shared" si="11"/>
        <v>层高</v>
      </c>
      <c r="R39" s="773" t="s">
        <v>17</v>
      </c>
      <c r="S39" s="774">
        <f t="shared" si="12"/>
        <v>100</v>
      </c>
      <c r="T39" s="773" t="s">
        <v>17</v>
      </c>
      <c r="U39" s="774">
        <f t="shared" si="13"/>
        <v>100</v>
      </c>
      <c r="V39" s="773" t="s">
        <v>17</v>
      </c>
      <c r="W39" s="774">
        <f t="shared" si="14"/>
        <v>100</v>
      </c>
      <c r="X39" s="1809"/>
      <c r="Y39" s="3257"/>
      <c r="Z39" s="1810" t="str">
        <f t="shared" si="15"/>
        <v>层高</v>
      </c>
      <c r="AA39" s="1807">
        <f t="shared" si="3"/>
        <v>1</v>
      </c>
      <c r="AB39" s="1807">
        <f t="shared" si="4"/>
        <v>1</v>
      </c>
      <c r="AC39" s="1807">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18"/>
      <c r="Q40" s="1806" t="str">
        <f t="shared" si="11"/>
        <v>单套建筑面积</v>
      </c>
      <c r="R40" s="773" t="s">
        <v>17</v>
      </c>
      <c r="S40" s="774">
        <f t="shared" si="12"/>
        <v>100</v>
      </c>
      <c r="T40" s="773" t="s">
        <v>17</v>
      </c>
      <c r="U40" s="774">
        <f t="shared" si="13"/>
        <v>100</v>
      </c>
      <c r="V40" s="773" t="s">
        <v>17</v>
      </c>
      <c r="W40" s="774">
        <f t="shared" si="14"/>
        <v>100</v>
      </c>
      <c r="X40" s="1809"/>
      <c r="Y40" s="3257"/>
      <c r="Z40" s="1810" t="str">
        <f t="shared" si="15"/>
        <v>单套建筑面积</v>
      </c>
      <c r="AA40" s="1807">
        <f t="shared" si="3"/>
        <v>1</v>
      </c>
      <c r="AB40" s="1807">
        <f t="shared" si="4"/>
        <v>1</v>
      </c>
      <c r="AC40" s="1807">
        <f t="shared" si="5"/>
        <v>1</v>
      </c>
    </row>
    <row r="41" spans="1:29" s="470" customFormat="1" ht="15">
      <c r="A41" s="467"/>
      <c r="B41" s="1808"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318"/>
      <c r="Q41" s="775" t="str">
        <f t="shared" si="11"/>
        <v>进深比</v>
      </c>
      <c r="R41" s="776" t="s">
        <v>17</v>
      </c>
      <c r="S41" s="777">
        <f t="shared" si="12"/>
        <v>100</v>
      </c>
      <c r="T41" s="776" t="s">
        <v>17</v>
      </c>
      <c r="U41" s="777">
        <f t="shared" si="13"/>
        <v>100</v>
      </c>
      <c r="V41" s="776" t="s">
        <v>17</v>
      </c>
      <c r="W41" s="777">
        <f t="shared" si="14"/>
        <v>100</v>
      </c>
      <c r="X41" s="778"/>
      <c r="Y41" s="3257"/>
      <c r="Z41" s="779" t="str">
        <f t="shared" si="15"/>
        <v>进深比</v>
      </c>
      <c r="AA41" s="1807">
        <f t="shared" si="3"/>
        <v>1</v>
      </c>
      <c r="AB41" s="1807">
        <f t="shared" si="4"/>
        <v>1</v>
      </c>
      <c r="AC41" s="1807">
        <f t="shared" si="5"/>
        <v>1</v>
      </c>
    </row>
    <row r="42" spans="1:29" ht="15">
      <c r="A42" s="471"/>
      <c r="B42" s="421" t="s">
        <v>2656</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7"/>
      <c r="M42" s="1128"/>
      <c r="N42" s="1128"/>
      <c r="O42" s="1128"/>
      <c r="P42" s="3318"/>
      <c r="Q42" s="1806" t="str">
        <f t="shared" si="11"/>
        <v>内部装修</v>
      </c>
      <c r="R42" s="773" t="s">
        <v>17</v>
      </c>
      <c r="S42" s="774">
        <f t="shared" si="12"/>
        <v>100</v>
      </c>
      <c r="T42" s="773" t="s">
        <v>17</v>
      </c>
      <c r="U42" s="774">
        <f t="shared" si="13"/>
        <v>100</v>
      </c>
      <c r="V42" s="773" t="s">
        <v>17</v>
      </c>
      <c r="W42" s="774">
        <f t="shared" si="14"/>
        <v>100</v>
      </c>
      <c r="X42" s="1809"/>
      <c r="Y42" s="3257"/>
      <c r="Z42" s="1810" t="str">
        <f t="shared" si="15"/>
        <v>内部装修</v>
      </c>
      <c r="AA42" s="1807">
        <f t="shared" si="3"/>
        <v>1</v>
      </c>
      <c r="AB42" s="1807">
        <f t="shared" si="4"/>
        <v>1</v>
      </c>
      <c r="AC42" s="1807">
        <f t="shared" si="5"/>
        <v>1</v>
      </c>
    </row>
    <row r="43" spans="1:29" ht="15">
      <c r="A43" s="471"/>
      <c r="B43" s="421" t="s">
        <v>2564</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7"/>
      <c r="M43" s="1128"/>
      <c r="N43" s="1128"/>
      <c r="O43" s="1128"/>
      <c r="P43" s="3318"/>
      <c r="Q43" s="1806" t="str">
        <f t="shared" si="11"/>
        <v>内部装修维护情况</v>
      </c>
      <c r="R43" s="773" t="s">
        <v>17</v>
      </c>
      <c r="S43" s="774">
        <f t="shared" si="12"/>
        <v>100</v>
      </c>
      <c r="T43" s="773" t="s">
        <v>17</v>
      </c>
      <c r="U43" s="774">
        <f t="shared" si="13"/>
        <v>100</v>
      </c>
      <c r="V43" s="773" t="s">
        <v>17</v>
      </c>
      <c r="W43" s="774">
        <f t="shared" si="14"/>
        <v>100</v>
      </c>
      <c r="X43" s="1809"/>
      <c r="Y43" s="3257"/>
      <c r="Z43" s="1810" t="str">
        <f t="shared" si="15"/>
        <v>内部装修维护情况</v>
      </c>
      <c r="AA43" s="1807">
        <f t="shared" si="3"/>
        <v>1</v>
      </c>
      <c r="AB43" s="1807">
        <f t="shared" si="4"/>
        <v>1</v>
      </c>
      <c r="AC43" s="1807">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18"/>
      <c r="Q44" s="1791">
        <f t="shared" si="11"/>
        <v>111</v>
      </c>
      <c r="R44" s="769" t="s">
        <v>17</v>
      </c>
      <c r="S44" s="770">
        <f t="shared" si="12"/>
        <v>100</v>
      </c>
      <c r="T44" s="769" t="s">
        <v>17</v>
      </c>
      <c r="U44" s="770">
        <f t="shared" si="13"/>
        <v>100</v>
      </c>
      <c r="V44" s="769" t="s">
        <v>17</v>
      </c>
      <c r="W44" s="770">
        <f t="shared" si="14"/>
        <v>100</v>
      </c>
      <c r="X44" s="771"/>
      <c r="Y44" s="3257"/>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18"/>
      <c r="Q45" s="1806">
        <f t="shared" si="11"/>
        <v>111</v>
      </c>
      <c r="R45" s="773" t="s">
        <v>17</v>
      </c>
      <c r="S45" s="774">
        <f t="shared" si="12"/>
        <v>100</v>
      </c>
      <c r="T45" s="773" t="s">
        <v>17</v>
      </c>
      <c r="U45" s="774">
        <f t="shared" si="13"/>
        <v>100</v>
      </c>
      <c r="V45" s="773" t="s">
        <v>17</v>
      </c>
      <c r="W45" s="774">
        <f t="shared" si="14"/>
        <v>100</v>
      </c>
      <c r="X45" s="1809"/>
      <c r="Y45" s="3257"/>
      <c r="Z45" s="1810">
        <f t="shared" si="15"/>
        <v>111</v>
      </c>
      <c r="AA45" s="1807">
        <f t="shared" si="3"/>
        <v>1</v>
      </c>
      <c r="AB45" s="1807">
        <f t="shared" si="4"/>
        <v>1</v>
      </c>
      <c r="AC45" s="1807">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19"/>
      <c r="Q46" s="1806">
        <f t="shared" si="11"/>
        <v>111</v>
      </c>
      <c r="R46" s="773" t="s">
        <v>17</v>
      </c>
      <c r="S46" s="774">
        <f t="shared" si="12"/>
        <v>100</v>
      </c>
      <c r="T46" s="773" t="s">
        <v>17</v>
      </c>
      <c r="U46" s="774">
        <f t="shared" si="13"/>
        <v>100</v>
      </c>
      <c r="V46" s="773" t="s">
        <v>17</v>
      </c>
      <c r="W46" s="774">
        <f t="shared" si="14"/>
        <v>100</v>
      </c>
      <c r="X46" s="1809"/>
      <c r="Y46" s="3320"/>
      <c r="Z46" s="1810">
        <f t="shared" si="15"/>
        <v>111</v>
      </c>
      <c r="AA46" s="1807">
        <f t="shared" si="3"/>
        <v>1</v>
      </c>
      <c r="AB46" s="1807">
        <f t="shared" si="4"/>
        <v>1</v>
      </c>
      <c r="AC46" s="1807">
        <f t="shared" si="5"/>
        <v>1</v>
      </c>
    </row>
    <row r="47" spans="1:29" ht="15">
      <c r="A47" s="478" t="s">
        <v>2565</v>
      </c>
      <c r="B47" s="479"/>
      <c r="C47" s="1404" t="s">
        <v>1</v>
      </c>
      <c r="D47" s="1405"/>
      <c r="E47" s="1406"/>
      <c r="F47" s="1407"/>
      <c r="G47" s="1408"/>
      <c r="H47" s="1409"/>
      <c r="I47" s="1406"/>
      <c r="J47" s="1409"/>
      <c r="K47" s="782"/>
      <c r="L47" s="1140"/>
      <c r="M47" s="1141"/>
      <c r="N47" s="1128"/>
      <c r="O47" s="1141"/>
      <c r="P47" s="3252" t="str">
        <f>A47</f>
        <v>成交单价（元/平方米）</v>
      </c>
      <c r="Q47" s="3252"/>
      <c r="R47" s="3258">
        <f>E47</f>
        <v>0</v>
      </c>
      <c r="S47" s="3258"/>
      <c r="T47" s="3258">
        <f>G47</f>
        <v>0</v>
      </c>
      <c r="U47" s="3258"/>
      <c r="V47" s="3258">
        <f>I47</f>
        <v>0</v>
      </c>
      <c r="W47" s="3258"/>
      <c r="X47" s="758"/>
      <c r="Y47" s="780"/>
      <c r="Z47" s="758"/>
      <c r="AA47" s="758"/>
      <c r="AB47" s="758"/>
      <c r="AC47" s="758"/>
    </row>
    <row r="48" spans="1:29" ht="15.75" thickBot="1">
      <c r="A48" s="485" t="s">
        <v>2657</v>
      </c>
      <c r="B48" s="486"/>
      <c r="C48" s="1410" t="e">
        <f>R49</f>
        <v>#DIV/0!</v>
      </c>
      <c r="D48" s="1411"/>
      <c r="E48" s="1412" t="e">
        <f>R48</f>
        <v>#DIV/0!</v>
      </c>
      <c r="F48" s="1412"/>
      <c r="G48" s="1410" t="e">
        <f>T48</f>
        <v>#DIV/0!</v>
      </c>
      <c r="H48" s="1411"/>
      <c r="I48" s="1412" t="e">
        <f>V48</f>
        <v>#DIV/0!</v>
      </c>
      <c r="J48" s="1411"/>
      <c r="K48" s="783"/>
      <c r="L48" s="1140"/>
      <c r="M48" s="1141"/>
      <c r="N48" s="1128"/>
      <c r="O48" s="1141"/>
      <c r="P48" s="3252" t="str">
        <f>A48</f>
        <v>比较价值（元/平方米）</v>
      </c>
      <c r="Q48" s="325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8"/>
      <c r="Y48" s="758"/>
      <c r="Z48" s="758"/>
      <c r="AA48" s="758"/>
      <c r="AB48" s="758"/>
      <c r="AC48" s="758"/>
    </row>
    <row r="49" spans="1:29" ht="15.75" thickBot="1">
      <c r="A49" s="491" t="s">
        <v>2658</v>
      </c>
      <c r="B49" s="492"/>
      <c r="C49" s="1414" t="e">
        <f>R49</f>
        <v>#DIV/0!</v>
      </c>
      <c r="D49" s="1414"/>
      <c r="E49" s="1414"/>
      <c r="F49" s="1414"/>
      <c r="G49" s="1414"/>
      <c r="H49" s="1414"/>
      <c r="I49" s="1414"/>
      <c r="J49" s="1414"/>
      <c r="K49" s="784"/>
      <c r="L49" s="1140"/>
      <c r="M49" s="1141"/>
      <c r="N49" s="1128"/>
      <c r="O49" s="1141"/>
      <c r="P49" s="3246" t="str">
        <f>A49</f>
        <v>估价对象XX用房的比较价值（楼面单价，元/平方米）</v>
      </c>
      <c r="Q49" s="3247"/>
      <c r="R49" s="3315" t="e">
        <f>IF(F1="售价",ROUND(AVERAGE(R48:V48),0),ROUND(AVERAGE(R48:V48),1))</f>
        <v>#DIV/0!</v>
      </c>
      <c r="S49" s="3315"/>
      <c r="T49" s="3315"/>
      <c r="U49" s="3315"/>
      <c r="V49" s="3315"/>
      <c r="W49" s="3315"/>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8"/>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8"/>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58"/>
      <c r="M57" s="1156"/>
      <c r="N57" s="1156"/>
      <c r="O57" s="1156"/>
      <c r="P57" s="2659"/>
      <c r="Q57" s="2660"/>
      <c r="R57" s="758"/>
      <c r="S57" s="758"/>
      <c r="T57" s="758"/>
      <c r="U57" s="758"/>
      <c r="V57" s="758"/>
      <c r="W57" s="758"/>
      <c r="X57" s="758"/>
      <c r="Y57" s="758"/>
      <c r="Z57" s="758"/>
      <c r="AA57" s="758"/>
      <c r="AB57" s="758"/>
      <c r="AC57" s="758"/>
    </row>
    <row r="58" spans="1:29" s="507" customFormat="1" ht="15">
      <c r="A58" s="504" t="s">
        <v>2536</v>
      </c>
      <c r="B58" s="505"/>
      <c r="C58" s="1570" t="str">
        <f>YEAR(C7)&amp;"-"&amp;MONTH(C7)</f>
        <v>2019-3</v>
      </c>
      <c r="D58" s="1571">
        <f>EDATE(C58,-1)</f>
        <v>43497</v>
      </c>
      <c r="E58" s="1571">
        <f t="shared" ref="E58:N58" si="16">EDATE(D58,-1)</f>
        <v>43466</v>
      </c>
      <c r="F58" s="1571">
        <f t="shared" si="16"/>
        <v>43435</v>
      </c>
      <c r="G58" s="1571">
        <f t="shared" si="16"/>
        <v>43405</v>
      </c>
      <c r="H58" s="1571">
        <f t="shared" si="16"/>
        <v>43374</v>
      </c>
      <c r="I58" s="1571">
        <f t="shared" si="16"/>
        <v>43344</v>
      </c>
      <c r="J58" s="1571">
        <f t="shared" si="16"/>
        <v>43313</v>
      </c>
      <c r="K58" s="1571">
        <f t="shared" si="16"/>
        <v>43282</v>
      </c>
      <c r="L58" s="1571">
        <f t="shared" si="16"/>
        <v>43252</v>
      </c>
      <c r="M58" s="1571">
        <f t="shared" si="16"/>
        <v>43221</v>
      </c>
      <c r="N58" s="1571">
        <f t="shared" si="16"/>
        <v>43191</v>
      </c>
      <c r="O58" s="1571">
        <f>EDATE(N58,-1)</f>
        <v>43160</v>
      </c>
      <c r="P58" s="1566"/>
    </row>
    <row r="59" spans="1:29" s="117" customFormat="1" ht="15">
      <c r="A59" s="508"/>
      <c r="B59" s="509"/>
      <c r="C59" s="1569">
        <v>100</v>
      </c>
      <c r="D59" s="511"/>
      <c r="E59" s="511"/>
      <c r="F59" s="511"/>
      <c r="G59" s="511"/>
      <c r="H59" s="511"/>
      <c r="I59" s="511"/>
      <c r="J59" s="511"/>
      <c r="K59" s="511"/>
      <c r="L59" s="511"/>
      <c r="M59" s="512"/>
      <c r="N59" s="511"/>
      <c r="O59" s="512"/>
      <c r="P59" s="2620"/>
    </row>
    <row r="60" spans="1:29" s="117" customFormat="1" ht="15.75" thickBot="1">
      <c r="A60" s="514" t="s">
        <v>2573</v>
      </c>
      <c r="B60" s="515"/>
      <c r="C60" s="516"/>
      <c r="D60" s="517"/>
      <c r="E60" s="517"/>
      <c r="F60" s="517"/>
      <c r="G60" s="517"/>
      <c r="H60" s="517"/>
      <c r="I60" s="517"/>
      <c r="J60" s="517"/>
      <c r="K60" s="517"/>
      <c r="L60" s="517"/>
      <c r="M60" s="518"/>
      <c r="N60" s="517"/>
      <c r="O60" s="518"/>
      <c r="P60" s="2620"/>
      <c r="Q60" s="503"/>
    </row>
    <row r="61" spans="1:29" s="117" customFormat="1" ht="15">
      <c r="A61" s="520" t="s">
        <v>2538</v>
      </c>
      <c r="B61" s="509"/>
      <c r="C61" s="521" t="s">
        <v>2640</v>
      </c>
      <c r="D61" s="522"/>
      <c r="E61" s="522"/>
      <c r="F61" s="522"/>
      <c r="G61" s="522"/>
      <c r="H61" s="522"/>
      <c r="I61" s="522"/>
      <c r="J61" s="522"/>
      <c r="K61" s="522"/>
      <c r="L61" s="523"/>
      <c r="M61" s="524"/>
      <c r="N61" s="1148"/>
      <c r="O61" s="1148"/>
      <c r="P61" s="2621"/>
      <c r="Q61" s="503"/>
    </row>
    <row r="62" spans="1:29" s="117" customFormat="1" ht="15.75" thickBot="1">
      <c r="A62" s="520"/>
      <c r="B62" s="509"/>
      <c r="C62" s="510">
        <v>100</v>
      </c>
      <c r="D62" s="511"/>
      <c r="E62" s="511"/>
      <c r="F62" s="511"/>
      <c r="G62" s="511"/>
      <c r="H62" s="511"/>
      <c r="I62" s="511"/>
      <c r="J62" s="511"/>
      <c r="K62" s="511"/>
      <c r="L62" s="511"/>
      <c r="M62" s="513"/>
      <c r="N62" s="1148"/>
      <c r="O62" s="1148"/>
      <c r="P62" s="2620"/>
      <c r="Q62" s="503"/>
    </row>
    <row r="63" spans="1:29">
      <c r="A63" s="526" t="s">
        <v>2576</v>
      </c>
      <c r="B63" s="527" t="s">
        <v>2542</v>
      </c>
      <c r="C63" s="528">
        <f>C9</f>
        <v>0</v>
      </c>
      <c r="D63" s="529"/>
      <c r="E63" s="529"/>
      <c r="F63" s="529"/>
      <c r="G63" s="529"/>
      <c r="H63" s="529"/>
      <c r="I63" s="529"/>
      <c r="J63" s="529"/>
      <c r="K63" s="530"/>
      <c r="L63" s="531"/>
      <c r="M63" s="532"/>
      <c r="N63" s="1149"/>
      <c r="O63" s="1149"/>
      <c r="P63" s="2622"/>
      <c r="Q63" s="503"/>
    </row>
    <row r="64" spans="1:29" ht="15.75" thickBot="1">
      <c r="A64" s="533"/>
      <c r="B64" s="534"/>
      <c r="C64" s="535">
        <v>100</v>
      </c>
      <c r="D64" s="535"/>
      <c r="E64" s="535"/>
      <c r="F64" s="535"/>
      <c r="G64" s="535"/>
      <c r="H64" s="535"/>
      <c r="I64" s="535"/>
      <c r="J64" s="535"/>
      <c r="K64" s="535"/>
      <c r="L64" s="535"/>
      <c r="M64" s="536"/>
      <c r="N64" s="1150"/>
      <c r="O64" s="1150"/>
      <c r="P64" s="2622"/>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9"/>
      <c r="O65" s="1149"/>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2"/>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2"/>
      <c r="Q67" s="503"/>
    </row>
    <row r="68" spans="1:17" ht="15">
      <c r="A68" s="533"/>
      <c r="B68" s="547"/>
      <c r="C68" s="548"/>
      <c r="D68" s="548"/>
      <c r="E68" s="548"/>
      <c r="F68" s="548"/>
      <c r="G68" s="548"/>
      <c r="H68" s="548"/>
      <c r="I68" s="548"/>
      <c r="J68" s="548"/>
      <c r="K68" s="549"/>
      <c r="L68" s="550"/>
      <c r="M68" s="551"/>
      <c r="N68" s="1149"/>
      <c r="O68" s="1149"/>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2"/>
      <c r="Q69" s="503"/>
    </row>
    <row r="70" spans="1:17" s="470" customFormat="1" ht="15.75" thickTop="1">
      <c r="A70" s="552"/>
      <c r="B70" s="537">
        <f>B12</f>
        <v>111</v>
      </c>
      <c r="C70" s="553"/>
      <c r="D70" s="553"/>
      <c r="E70" s="553"/>
      <c r="F70" s="553"/>
      <c r="G70" s="553"/>
      <c r="H70" s="554"/>
      <c r="I70" s="554"/>
      <c r="J70" s="554"/>
      <c r="K70" s="554"/>
      <c r="L70" s="555"/>
      <c r="M70" s="556"/>
      <c r="N70" s="1151"/>
      <c r="O70" s="1151"/>
      <c r="P70" s="2623"/>
      <c r="Q70" s="558"/>
    </row>
    <row r="71" spans="1:17" s="470" customFormat="1" ht="15.75" thickBot="1">
      <c r="A71" s="552"/>
      <c r="B71" s="542"/>
      <c r="C71" s="559"/>
      <c r="D71" s="535"/>
      <c r="E71" s="535"/>
      <c r="F71" s="535"/>
      <c r="G71" s="535"/>
      <c r="H71" s="535"/>
      <c r="I71" s="535"/>
      <c r="J71" s="535"/>
      <c r="K71" s="535"/>
      <c r="L71" s="535"/>
      <c r="M71" s="536"/>
      <c r="N71" s="1150"/>
      <c r="O71" s="1150"/>
      <c r="P71" s="2623"/>
      <c r="Q71" s="558"/>
    </row>
    <row r="72" spans="1:17" s="470" customFormat="1" ht="15.75" thickTop="1">
      <c r="A72" s="552"/>
      <c r="B72" s="537">
        <f>B13</f>
        <v>111</v>
      </c>
      <c r="C72" s="553"/>
      <c r="D72" s="553"/>
      <c r="E72" s="553"/>
      <c r="F72" s="553"/>
      <c r="G72" s="553"/>
      <c r="H72" s="554"/>
      <c r="I72" s="554"/>
      <c r="J72" s="554"/>
      <c r="K72" s="554"/>
      <c r="L72" s="555"/>
      <c r="M72" s="556"/>
      <c r="N72" s="1151"/>
      <c r="O72" s="1151"/>
      <c r="P72" s="2624"/>
      <c r="Q72" s="560"/>
    </row>
    <row r="73" spans="1:17" s="470" customFormat="1" ht="15.75" thickBot="1">
      <c r="A73" s="552"/>
      <c r="B73" s="542"/>
      <c r="C73" s="559"/>
      <c r="D73" s="535"/>
      <c r="E73" s="535"/>
      <c r="F73" s="535"/>
      <c r="G73" s="559"/>
      <c r="H73" s="561"/>
      <c r="I73" s="561"/>
      <c r="J73" s="561"/>
      <c r="K73" s="561"/>
      <c r="L73" s="561"/>
      <c r="M73" s="562"/>
      <c r="N73" s="1151"/>
      <c r="O73" s="1151"/>
      <c r="P73" s="2623"/>
      <c r="Q73" s="558"/>
    </row>
    <row r="74" spans="1:17" s="470" customFormat="1" ht="15.75" thickTop="1">
      <c r="A74" s="552"/>
      <c r="B74" s="545">
        <f>B14</f>
        <v>111</v>
      </c>
      <c r="C74" s="553"/>
      <c r="D74" s="553"/>
      <c r="E74" s="553"/>
      <c r="F74" s="553"/>
      <c r="G74" s="522"/>
      <c r="H74" s="563"/>
      <c r="I74" s="563"/>
      <c r="J74" s="563"/>
      <c r="K74" s="563"/>
      <c r="L74" s="564"/>
      <c r="M74" s="565"/>
      <c r="N74" s="1151"/>
      <c r="O74" s="1151"/>
      <c r="P74" s="2625"/>
      <c r="Q74" s="558"/>
    </row>
    <row r="75" spans="1:17" s="470" customFormat="1" ht="15.75" thickBot="1">
      <c r="A75" s="567"/>
      <c r="B75" s="568"/>
      <c r="C75" s="569"/>
      <c r="D75" s="569"/>
      <c r="E75" s="569"/>
      <c r="F75" s="569"/>
      <c r="G75" s="569"/>
      <c r="H75" s="570"/>
      <c r="I75" s="570"/>
      <c r="J75" s="570"/>
      <c r="K75" s="570"/>
      <c r="L75" s="570"/>
      <c r="M75" s="571"/>
      <c r="N75" s="1151"/>
      <c r="O75" s="1151"/>
      <c r="P75" s="2623"/>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9"/>
      <c r="O76" s="1149"/>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2"/>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9"/>
      <c r="O78" s="1149"/>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2"/>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9"/>
      <c r="O80" s="1149"/>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2"/>
      <c r="Q81" s="503"/>
    </row>
    <row r="82" spans="1:17" ht="15.75" thickTop="1">
      <c r="A82" s="533"/>
      <c r="B82" s="545" t="s">
        <v>2643</v>
      </c>
      <c r="C82" s="659" t="s">
        <v>2663</v>
      </c>
      <c r="D82" s="659" t="s">
        <v>2664</v>
      </c>
      <c r="E82" s="659" t="s">
        <v>2665</v>
      </c>
      <c r="F82" s="659" t="s">
        <v>2666</v>
      </c>
      <c r="G82" s="659" t="s">
        <v>2667</v>
      </c>
      <c r="H82" s="538"/>
      <c r="I82" s="538"/>
      <c r="J82" s="538"/>
      <c r="K82" s="538"/>
      <c r="L82" s="538"/>
      <c r="M82" s="1379"/>
      <c r="N82" s="1150"/>
      <c r="O82" s="1150"/>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2"/>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9"/>
      <c r="O84" s="1149"/>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2"/>
      <c r="Q85" s="503"/>
    </row>
    <row r="86" spans="1:17" s="117" customFormat="1" ht="15.75" thickTop="1">
      <c r="A86" s="578"/>
      <c r="B86" s="537" t="s">
        <v>2668</v>
      </c>
      <c r="C86" s="553"/>
      <c r="D86" s="553"/>
      <c r="E86" s="553"/>
      <c r="F86" s="553"/>
      <c r="G86" s="553"/>
      <c r="H86" s="553"/>
      <c r="I86" s="553"/>
      <c r="J86" s="553"/>
      <c r="K86" s="553"/>
      <c r="L86" s="579"/>
      <c r="M86" s="580"/>
      <c r="N86" s="1148"/>
      <c r="O86" s="1148"/>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8"/>
      <c r="O88" s="1148"/>
      <c r="P88" s="2622"/>
      <c r="Q88" s="503"/>
    </row>
    <row r="89" spans="1:17" s="117" customFormat="1" ht="15.75" thickBot="1">
      <c r="A89" s="578"/>
      <c r="B89" s="542"/>
      <c r="C89" s="559"/>
      <c r="D89" s="535"/>
      <c r="E89" s="535"/>
      <c r="F89" s="535"/>
      <c r="G89" s="535"/>
      <c r="H89" s="535"/>
      <c r="I89" s="535"/>
      <c r="J89" s="535"/>
      <c r="K89" s="535"/>
      <c r="L89" s="535"/>
      <c r="M89" s="535"/>
      <c r="N89" s="1150"/>
      <c r="O89" s="1150"/>
      <c r="P89" s="2622"/>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3"/>
      <c r="Q91" s="558"/>
    </row>
    <row r="92" spans="1:17" ht="15.75" thickTop="1">
      <c r="A92" s="533"/>
      <c r="B92" s="537" t="str">
        <f>B28</f>
        <v>楼层</v>
      </c>
      <c r="C92" s="553"/>
      <c r="D92" s="553"/>
      <c r="E92" s="553"/>
      <c r="F92" s="553"/>
      <c r="G92" s="553"/>
      <c r="H92" s="553"/>
      <c r="I92" s="553"/>
      <c r="J92" s="553"/>
      <c r="K92" s="553"/>
      <c r="L92" s="579"/>
      <c r="M92" s="580"/>
      <c r="N92" s="1149"/>
      <c r="O92" s="1149"/>
      <c r="P92" s="2622"/>
      <c r="Q92" s="503"/>
    </row>
    <row r="93" spans="1:17" ht="15.75" thickBot="1">
      <c r="A93" s="533"/>
      <c r="B93" s="542"/>
      <c r="C93" s="535"/>
      <c r="D93" s="535"/>
      <c r="E93" s="535"/>
      <c r="F93" s="535"/>
      <c r="G93" s="535"/>
      <c r="H93" s="535"/>
      <c r="I93" s="535"/>
      <c r="J93" s="535"/>
      <c r="K93" s="535"/>
      <c r="L93" s="535"/>
      <c r="M93" s="536"/>
      <c r="N93" s="1150"/>
      <c r="O93" s="1150"/>
      <c r="P93" s="2622"/>
      <c r="Q93" s="503"/>
    </row>
    <row r="94" spans="1:17" ht="15.75" thickTop="1">
      <c r="A94" s="533"/>
      <c r="B94" s="537">
        <f>B29</f>
        <v>111</v>
      </c>
      <c r="C94" s="553"/>
      <c r="D94" s="553"/>
      <c r="E94" s="553"/>
      <c r="F94" s="553"/>
      <c r="G94" s="582"/>
      <c r="H94" s="582"/>
      <c r="I94" s="582"/>
      <c r="J94" s="582"/>
      <c r="K94" s="583"/>
      <c r="L94" s="584"/>
      <c r="M94" s="585"/>
      <c r="N94" s="1149"/>
      <c r="O94" s="1149"/>
      <c r="P94" s="2622"/>
      <c r="Q94" s="503"/>
    </row>
    <row r="95" spans="1:17" ht="15.75" thickBot="1">
      <c r="A95" s="533"/>
      <c r="B95" s="542"/>
      <c r="C95" s="559"/>
      <c r="D95" s="535"/>
      <c r="E95" s="535"/>
      <c r="F95" s="535"/>
      <c r="G95" s="535"/>
      <c r="H95" s="535"/>
      <c r="I95" s="535"/>
      <c r="J95" s="535"/>
      <c r="K95" s="535"/>
      <c r="L95" s="535"/>
      <c r="M95" s="536"/>
      <c r="N95" s="1150"/>
      <c r="O95" s="1150"/>
      <c r="P95" s="2622"/>
      <c r="Q95" s="503"/>
    </row>
    <row r="96" spans="1:17" ht="15.75" thickTop="1">
      <c r="A96" s="533"/>
      <c r="B96" s="537">
        <f>B30</f>
        <v>111</v>
      </c>
      <c r="C96" s="553"/>
      <c r="D96" s="553"/>
      <c r="E96" s="553"/>
      <c r="F96" s="553"/>
      <c r="G96" s="582"/>
      <c r="H96" s="582"/>
      <c r="I96" s="582"/>
      <c r="J96" s="582"/>
      <c r="K96" s="583"/>
      <c r="L96" s="584"/>
      <c r="M96" s="585"/>
      <c r="N96" s="1149"/>
      <c r="O96" s="1149"/>
      <c r="P96" s="2622"/>
      <c r="Q96" s="503"/>
    </row>
    <row r="97" spans="1:17" ht="15.75" thickBot="1">
      <c r="A97" s="533"/>
      <c r="B97" s="542"/>
      <c r="C97" s="559"/>
      <c r="D97" s="535"/>
      <c r="E97" s="535"/>
      <c r="F97" s="535"/>
      <c r="G97" s="535"/>
      <c r="H97" s="535"/>
      <c r="I97" s="535"/>
      <c r="J97" s="535"/>
      <c r="K97" s="535"/>
      <c r="L97" s="535"/>
      <c r="M97" s="536"/>
      <c r="N97" s="1150"/>
      <c r="O97" s="1150"/>
      <c r="P97" s="2622"/>
      <c r="Q97" s="503"/>
    </row>
    <row r="98" spans="1:17" ht="15.75" thickTop="1">
      <c r="A98" s="533"/>
      <c r="B98" s="545">
        <f>B31</f>
        <v>111</v>
      </c>
      <c r="C98" s="553"/>
      <c r="D98" s="553"/>
      <c r="E98" s="553"/>
      <c r="F98" s="553"/>
      <c r="G98" s="586"/>
      <c r="H98" s="586"/>
      <c r="I98" s="586"/>
      <c r="J98" s="586"/>
      <c r="K98" s="587"/>
      <c r="L98" s="588"/>
      <c r="M98" s="589"/>
      <c r="N98" s="1149"/>
      <c r="O98" s="1149"/>
      <c r="P98" s="2622"/>
      <c r="Q98" s="503"/>
    </row>
    <row r="99" spans="1:17" ht="15.75" thickBot="1">
      <c r="A99" s="2628"/>
      <c r="B99" s="568"/>
      <c r="C99" s="569"/>
      <c r="D99" s="569"/>
      <c r="E99" s="569"/>
      <c r="F99" s="569"/>
      <c r="G99" s="590"/>
      <c r="H99" s="590"/>
      <c r="I99" s="590"/>
      <c r="J99" s="590"/>
      <c r="K99" s="590"/>
      <c r="L99" s="590"/>
      <c r="M99" s="591"/>
      <c r="N99" s="1150"/>
      <c r="O99" s="1150"/>
      <c r="P99" s="2622"/>
      <c r="Q99" s="503"/>
    </row>
    <row r="100" spans="1:17">
      <c r="A100" s="526" t="s">
        <v>2551</v>
      </c>
      <c r="B100" s="527" t="s">
        <v>2669</v>
      </c>
      <c r="C100" s="529"/>
      <c r="D100" s="529"/>
      <c r="E100" s="529"/>
      <c r="F100" s="529"/>
      <c r="G100" s="529"/>
      <c r="H100" s="529"/>
      <c r="I100" s="529"/>
      <c r="J100" s="529"/>
      <c r="K100" s="530"/>
      <c r="L100" s="531"/>
      <c r="M100" s="532"/>
      <c r="N100" s="1149"/>
      <c r="O100" s="1149"/>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2"/>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2"/>
      <c r="Q102" s="503"/>
    </row>
    <row r="103" spans="1:17" s="470" customFormat="1">
      <c r="A103" s="592"/>
      <c r="B103" s="593"/>
      <c r="C103" s="594"/>
      <c r="D103" s="594"/>
      <c r="E103" s="594"/>
      <c r="F103" s="594"/>
      <c r="G103" s="594"/>
      <c r="H103" s="594"/>
      <c r="I103" s="594"/>
      <c r="J103" s="595"/>
      <c r="K103" s="595"/>
      <c r="L103" s="596"/>
      <c r="M103" s="597"/>
      <c r="N103" s="1151"/>
      <c r="O103" s="1151"/>
      <c r="P103" s="2623"/>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3"/>
      <c r="Q104" s="558"/>
    </row>
    <row r="105" spans="1:17" ht="15" thickTop="1">
      <c r="A105" s="598"/>
      <c r="B105" s="537" t="s">
        <v>2602</v>
      </c>
      <c r="C105" s="553"/>
      <c r="D105" s="553"/>
      <c r="E105" s="582"/>
      <c r="F105" s="582"/>
      <c r="G105" s="582"/>
      <c r="H105" s="582"/>
      <c r="I105" s="582"/>
      <c r="J105" s="582"/>
      <c r="K105" s="583"/>
      <c r="L105" s="584"/>
      <c r="M105" s="585"/>
      <c r="N105" s="1149"/>
      <c r="O105" s="1149"/>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2"/>
      <c r="Q106" s="503"/>
    </row>
    <row r="107" spans="1:17" ht="15" thickTop="1">
      <c r="A107" s="598"/>
      <c r="B107" s="537" t="s">
        <v>2604</v>
      </c>
      <c r="C107" s="553"/>
      <c r="D107" s="553"/>
      <c r="E107" s="553"/>
      <c r="F107" s="582"/>
      <c r="G107" s="582"/>
      <c r="H107" s="582"/>
      <c r="I107" s="582"/>
      <c r="J107" s="582"/>
      <c r="K107" s="583"/>
      <c r="L107" s="584"/>
      <c r="M107" s="585"/>
      <c r="N107" s="1149"/>
      <c r="O107" s="1149"/>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2"/>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2"/>
      <c r="Q111" s="503"/>
    </row>
    <row r="112" spans="1:17" s="470" customFormat="1" ht="15" thickTop="1">
      <c r="A112" s="592"/>
      <c r="B112" s="537" t="s">
        <v>2606</v>
      </c>
      <c r="C112" s="553"/>
      <c r="D112" s="553"/>
      <c r="E112" s="553"/>
      <c r="F112" s="553"/>
      <c r="G112" s="553"/>
      <c r="H112" s="582"/>
      <c r="I112" s="582"/>
      <c r="J112" s="582"/>
      <c r="K112" s="583"/>
      <c r="L112" s="584"/>
      <c r="M112" s="585"/>
      <c r="N112" s="1151"/>
      <c r="O112" s="1151"/>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3"/>
      <c r="Q113" s="558"/>
    </row>
    <row r="114" spans="1:17" ht="15" thickTop="1">
      <c r="A114" s="598"/>
      <c r="B114" s="537" t="s">
        <v>2670</v>
      </c>
      <c r="C114" s="553"/>
      <c r="D114" s="553"/>
      <c r="E114" s="582"/>
      <c r="F114" s="582"/>
      <c r="G114" s="582"/>
      <c r="H114" s="582"/>
      <c r="I114" s="582"/>
      <c r="J114" s="582"/>
      <c r="K114" s="583"/>
      <c r="L114" s="584"/>
      <c r="M114" s="585"/>
      <c r="N114" s="1149"/>
      <c r="O114" s="1149"/>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2"/>
      <c r="Q115" s="503"/>
    </row>
    <row r="116" spans="1:17" ht="15" thickTop="1">
      <c r="A116" s="598"/>
      <c r="B116" s="537" t="s">
        <v>2671</v>
      </c>
      <c r="C116" s="553"/>
      <c r="D116" s="553"/>
      <c r="E116" s="553"/>
      <c r="F116" s="553"/>
      <c r="G116" s="553"/>
      <c r="H116" s="582"/>
      <c r="I116" s="582"/>
      <c r="J116" s="582"/>
      <c r="K116" s="583"/>
      <c r="L116" s="584"/>
      <c r="M116" s="585"/>
      <c r="N116" s="1149"/>
      <c r="O116" s="1149"/>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2"/>
      <c r="Q117" s="503"/>
    </row>
    <row r="118" spans="1:17" ht="15" thickTop="1">
      <c r="A118" s="598"/>
      <c r="B118" s="537" t="s">
        <v>2672</v>
      </c>
      <c r="C118" s="626"/>
      <c r="D118" s="626"/>
      <c r="E118" s="626"/>
      <c r="F118" s="626"/>
      <c r="G118" s="626"/>
      <c r="H118" s="554"/>
      <c r="I118" s="554"/>
      <c r="J118" s="554"/>
      <c r="K118" s="554"/>
      <c r="L118" s="555"/>
      <c r="M118" s="556"/>
      <c r="N118" s="1149"/>
      <c r="O118" s="1149"/>
      <c r="P118" s="2622"/>
      <c r="Q118" s="503"/>
    </row>
    <row r="119" spans="1:17" ht="15.75" thickBot="1">
      <c r="A119" s="533"/>
      <c r="B119" s="542"/>
      <c r="C119" s="559"/>
      <c r="D119" s="535"/>
      <c r="E119" s="535"/>
      <c r="F119" s="535"/>
      <c r="G119" s="535"/>
      <c r="H119" s="535"/>
      <c r="I119" s="535"/>
      <c r="J119" s="535"/>
      <c r="K119" s="535"/>
      <c r="L119" s="535"/>
      <c r="M119" s="536"/>
      <c r="N119" s="1150"/>
      <c r="O119" s="1150"/>
      <c r="P119" s="2622"/>
      <c r="Q119" s="503"/>
    </row>
    <row r="120" spans="1:17" s="470" customFormat="1" ht="15" thickTop="1">
      <c r="A120" s="592"/>
      <c r="B120" s="537" t="s">
        <v>2673</v>
      </c>
      <c r="C120" s="582"/>
      <c r="D120" s="582"/>
      <c r="E120" s="582"/>
      <c r="F120" s="582"/>
      <c r="G120" s="554"/>
      <c r="H120" s="554"/>
      <c r="I120" s="554"/>
      <c r="J120" s="554"/>
      <c r="K120" s="554"/>
      <c r="L120" s="555"/>
      <c r="M120" s="556"/>
      <c r="N120" s="1151"/>
      <c r="O120" s="1151"/>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3"/>
      <c r="Q121" s="558"/>
    </row>
    <row r="122" spans="1:17" ht="15" thickTop="1">
      <c r="A122" s="598"/>
      <c r="B122" s="537" t="s">
        <v>2608</v>
      </c>
      <c r="C122" s="553"/>
      <c r="D122" s="553"/>
      <c r="E122" s="553"/>
      <c r="F122" s="582"/>
      <c r="G122" s="582"/>
      <c r="H122" s="582"/>
      <c r="I122" s="582"/>
      <c r="J122" s="582"/>
      <c r="K122" s="583"/>
      <c r="L122" s="584"/>
      <c r="M122" s="585"/>
      <c r="N122" s="1149"/>
      <c r="O122" s="1149"/>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2"/>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9"/>
      <c r="O124" s="1149"/>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2"/>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3"/>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3"/>
      <c r="Q127" s="558"/>
    </row>
    <row r="128" spans="1:17" ht="15" thickTop="1">
      <c r="A128" s="598"/>
      <c r="B128" s="537">
        <f>B45</f>
        <v>111</v>
      </c>
      <c r="C128" s="553"/>
      <c r="D128" s="553"/>
      <c r="E128" s="553"/>
      <c r="F128" s="553"/>
      <c r="G128" s="582"/>
      <c r="H128" s="582"/>
      <c r="I128" s="582"/>
      <c r="J128" s="582"/>
      <c r="K128" s="583"/>
      <c r="L128" s="584"/>
      <c r="M128" s="585"/>
      <c r="N128" s="1149"/>
      <c r="O128" s="1149"/>
      <c r="P128" s="2622"/>
      <c r="Q128" s="503"/>
    </row>
    <row r="129" spans="1:17" ht="15.75" thickBot="1">
      <c r="A129" s="533"/>
      <c r="B129" s="542"/>
      <c r="C129" s="559"/>
      <c r="D129" s="535"/>
      <c r="E129" s="535"/>
      <c r="F129" s="535"/>
      <c r="G129" s="535"/>
      <c r="H129" s="535"/>
      <c r="I129" s="535"/>
      <c r="J129" s="535"/>
      <c r="K129" s="535"/>
      <c r="L129" s="535"/>
      <c r="M129" s="536"/>
      <c r="N129" s="1150"/>
      <c r="O129" s="1150"/>
      <c r="P129" s="2622"/>
      <c r="Q129" s="503"/>
    </row>
    <row r="130" spans="1:17" ht="15" thickTop="1">
      <c r="A130" s="598"/>
      <c r="B130" s="545">
        <f>B46</f>
        <v>111</v>
      </c>
      <c r="C130" s="553"/>
      <c r="D130" s="553"/>
      <c r="E130" s="553"/>
      <c r="F130" s="553"/>
      <c r="G130" s="586"/>
      <c r="H130" s="586"/>
      <c r="I130" s="586"/>
      <c r="J130" s="586"/>
      <c r="K130" s="522"/>
      <c r="L130" s="523"/>
      <c r="M130" s="589"/>
      <c r="N130" s="1149"/>
      <c r="O130" s="1149"/>
      <c r="P130" s="2622"/>
      <c r="Q130" s="503"/>
    </row>
    <row r="131" spans="1:17" ht="15.75" thickBot="1">
      <c r="A131" s="2628"/>
      <c r="B131" s="568"/>
      <c r="C131" s="569"/>
      <c r="D131" s="569"/>
      <c r="E131" s="569"/>
      <c r="F131" s="569"/>
      <c r="G131" s="590"/>
      <c r="H131" s="590"/>
      <c r="I131" s="590"/>
      <c r="J131" s="590"/>
      <c r="K131" s="590"/>
      <c r="L131" s="590"/>
      <c r="M131" s="591"/>
      <c r="N131" s="1150"/>
      <c r="O131" s="1150"/>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1" t="s">
        <v>2674</v>
      </c>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IF(C2="——",ROUND(C50*D3/10000,0),ROUND(C50*D3/10000,0)-D2)</f>
        <v>#DIV/0!</v>
      </c>
      <c r="C2" s="2578"/>
      <c r="D2" s="1362" t="e">
        <f ca="1">SUMIF(INDIRECT("'"&amp;F2&amp;"'"&amp;"!A:A"),"承租人权益价值",INDIRECT("'"&amp;F2&amp;"'"&amp;"!c:c"))</f>
        <v>#REF!</v>
      </c>
      <c r="E2" s="2579" t="s">
        <v>2319</v>
      </c>
      <c r="F2" s="2580"/>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 ca="1">IF(C2="——",C50,ROUND(B2*10000/D3,0))</f>
        <v>#DIV/0!</v>
      </c>
      <c r="C3" s="399" t="s">
        <v>2632</v>
      </c>
      <c r="D3" s="398">
        <f>IF(D1="",'数据-汇总表'!E3,SUMIF('数据-汇总表'!$C19:$C33,D1,'数据-汇总表'!$E19:$E33))</f>
        <v>75745.560000000012</v>
      </c>
      <c r="E3" s="2655"/>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2633</v>
      </c>
      <c r="B4" s="401"/>
      <c r="C4" s="3249" t="s">
        <v>2634</v>
      </c>
      <c r="D4" s="3262"/>
      <c r="E4" s="3263" t="s">
        <v>2635</v>
      </c>
      <c r="F4" s="3264"/>
      <c r="G4" s="3249" t="s">
        <v>2636</v>
      </c>
      <c r="H4" s="3262"/>
      <c r="I4" s="3249" t="s">
        <v>2637</v>
      </c>
      <c r="J4" s="3262"/>
      <c r="K4" s="609" t="s">
        <v>2638</v>
      </c>
      <c r="L4" s="1127"/>
      <c r="M4" s="1128"/>
      <c r="N4" s="1128"/>
      <c r="O4" s="1128"/>
      <c r="P4" s="3329" t="s">
        <v>2639</v>
      </c>
      <c r="Q4" s="3330"/>
      <c r="R4" s="3333" t="s">
        <v>2635</v>
      </c>
      <c r="S4" s="3334"/>
      <c r="T4" s="3333" t="s">
        <v>2636</v>
      </c>
      <c r="U4" s="3334"/>
      <c r="V4" s="3335" t="s">
        <v>2637</v>
      </c>
      <c r="W4" s="3335"/>
      <c r="X4" s="2662"/>
      <c r="Y4" s="3333" t="s">
        <v>2639</v>
      </c>
      <c r="Z4" s="3334"/>
      <c r="AA4" s="3337" t="s">
        <v>2635</v>
      </c>
      <c r="AB4" s="3337" t="s">
        <v>2636</v>
      </c>
      <c r="AC4" s="3326" t="s">
        <v>2637</v>
      </c>
    </row>
    <row r="5" spans="1:29" ht="15">
      <c r="A5" s="403"/>
      <c r="B5" s="404"/>
      <c r="C5" s="3279" t="s">
        <v>2530</v>
      </c>
      <c r="D5" s="3280"/>
      <c r="E5" s="3286" t="s">
        <v>2531</v>
      </c>
      <c r="F5" s="3287"/>
      <c r="G5" s="3279" t="s">
        <v>2532</v>
      </c>
      <c r="H5" s="3280"/>
      <c r="I5" s="3279" t="s">
        <v>2533</v>
      </c>
      <c r="J5" s="3280"/>
      <c r="K5" s="609"/>
      <c r="L5" s="1127"/>
      <c r="M5" s="1128"/>
      <c r="N5" s="1128"/>
      <c r="O5" s="1128"/>
      <c r="P5" s="3331"/>
      <c r="Q5" s="3268"/>
      <c r="R5" s="3273"/>
      <c r="S5" s="3274"/>
      <c r="T5" s="3273"/>
      <c r="U5" s="3274"/>
      <c r="V5" s="3258"/>
      <c r="W5" s="3258"/>
      <c r="X5" s="1809"/>
      <c r="Y5" s="3273"/>
      <c r="Z5" s="3274"/>
      <c r="AA5" s="3260"/>
      <c r="AB5" s="3260"/>
      <c r="AC5" s="3327"/>
    </row>
    <row r="6" spans="1:29" ht="15.75" thickBot="1">
      <c r="A6" s="405"/>
      <c r="B6" s="406"/>
      <c r="C6" s="3277" t="s">
        <v>2534</v>
      </c>
      <c r="D6" s="3278"/>
      <c r="E6" s="3284" t="s">
        <v>2534</v>
      </c>
      <c r="F6" s="3285"/>
      <c r="G6" s="3277" t="s">
        <v>2534</v>
      </c>
      <c r="H6" s="3278"/>
      <c r="I6" s="3277" t="s">
        <v>2534</v>
      </c>
      <c r="J6" s="3278"/>
      <c r="K6" s="609" t="s">
        <v>2535</v>
      </c>
      <c r="L6" s="1127"/>
      <c r="M6" s="1128"/>
      <c r="N6" s="1128"/>
      <c r="O6" s="1128"/>
      <c r="P6" s="3332"/>
      <c r="Q6" s="3270"/>
      <c r="R6" s="3273"/>
      <c r="S6" s="3274"/>
      <c r="T6" s="3275"/>
      <c r="U6" s="3276"/>
      <c r="V6" s="3258"/>
      <c r="W6" s="3258"/>
      <c r="X6" s="1809"/>
      <c r="Y6" s="3275"/>
      <c r="Z6" s="3276"/>
      <c r="AA6" s="3261"/>
      <c r="AB6" s="3261"/>
      <c r="AC6" s="3328"/>
    </row>
    <row r="7" spans="1:29" s="117" customFormat="1" ht="15.75" thickBot="1">
      <c r="A7" s="407" t="s">
        <v>2536</v>
      </c>
      <c r="B7" s="408"/>
      <c r="C7" s="409">
        <f>'数据-取费表'!B2</f>
        <v>43525</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36" t="s">
        <v>2537</v>
      </c>
      <c r="Q7" s="3283"/>
      <c r="R7" s="769" t="s">
        <v>17</v>
      </c>
      <c r="S7" s="770">
        <f t="shared" ref="S7:S15" si="0">F7</f>
        <v>0</v>
      </c>
      <c r="T7" s="769" t="s">
        <v>17</v>
      </c>
      <c r="U7" s="770">
        <f t="shared" ref="U7:U15" si="1">H7</f>
        <v>0</v>
      </c>
      <c r="V7" s="769" t="s">
        <v>17</v>
      </c>
      <c r="W7" s="770">
        <f t="shared" ref="W7:W15" si="2">J7</f>
        <v>0</v>
      </c>
      <c r="X7" s="771"/>
      <c r="Y7" s="3281" t="s">
        <v>2537</v>
      </c>
      <c r="Z7" s="3282"/>
      <c r="AA7" s="772" t="e">
        <f>D7/F7</f>
        <v>#DIV/0!</v>
      </c>
      <c r="AB7" s="772" t="e">
        <f>D7/H7</f>
        <v>#DIV/0!</v>
      </c>
      <c r="AC7" s="2663"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36" t="s">
        <v>2540</v>
      </c>
      <c r="Q8" s="3282"/>
      <c r="R8" s="769" t="s">
        <v>17</v>
      </c>
      <c r="S8" s="770">
        <f t="shared" si="0"/>
        <v>0</v>
      </c>
      <c r="T8" s="769" t="s">
        <v>17</v>
      </c>
      <c r="U8" s="770">
        <f t="shared" si="1"/>
        <v>0</v>
      </c>
      <c r="V8" s="769" t="s">
        <v>17</v>
      </c>
      <c r="W8" s="770">
        <f t="shared" si="2"/>
        <v>0</v>
      </c>
      <c r="X8" s="771"/>
      <c r="Y8" s="3281" t="s">
        <v>2540</v>
      </c>
      <c r="Z8" s="3282"/>
      <c r="AA8" s="772" t="e">
        <f t="shared" ref="AA8:AA47" si="3">D8/F8</f>
        <v>#DIV/0!</v>
      </c>
      <c r="AB8" s="772" t="e">
        <f t="shared" ref="AB8:AB47" si="4">D8/H8</f>
        <v>#DIV/0!</v>
      </c>
      <c r="AC8" s="2663" t="e">
        <f t="shared" ref="AC8:AC47" si="5">D8/J8</f>
        <v>#DIV/0!</v>
      </c>
    </row>
    <row r="9" spans="1:29" s="117" customFormat="1">
      <c r="A9" s="414" t="s">
        <v>2541</v>
      </c>
      <c r="B9" s="71" t="s">
        <v>2542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51" t="s">
        <v>2543</v>
      </c>
      <c r="Q9" s="1791" t="str">
        <f t="shared" ref="Q9:Q15" si="6">B9</f>
        <v>用途</v>
      </c>
      <c r="R9" s="769" t="s">
        <v>17</v>
      </c>
      <c r="S9" s="770">
        <f t="shared" si="0"/>
        <v>100</v>
      </c>
      <c r="T9" s="769" t="s">
        <v>17</v>
      </c>
      <c r="U9" s="770">
        <f t="shared" si="1"/>
        <v>100</v>
      </c>
      <c r="V9" s="769" t="s">
        <v>17</v>
      </c>
      <c r="W9" s="770">
        <f t="shared" si="2"/>
        <v>100</v>
      </c>
      <c r="X9" s="771"/>
      <c r="Y9" s="3075" t="s">
        <v>2544</v>
      </c>
      <c r="Z9" s="55" t="str">
        <f t="shared" ref="Z9:Z15" si="7">Q9</f>
        <v>用途</v>
      </c>
      <c r="AA9" s="772">
        <f t="shared" si="3"/>
        <v>1</v>
      </c>
      <c r="AB9" s="772">
        <f t="shared" si="4"/>
        <v>1</v>
      </c>
      <c r="AC9" s="2663">
        <f t="shared" si="5"/>
        <v>1</v>
      </c>
    </row>
    <row r="10" spans="1:29" s="426" customFormat="1" ht="27">
      <c r="A10" s="420"/>
      <c r="B10" s="421" t="s">
        <v>2545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51"/>
      <c r="Q10" s="1791"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2663">
        <f t="shared" si="5"/>
        <v>1</v>
      </c>
    </row>
    <row r="11" spans="1:29" ht="15">
      <c r="A11" s="427"/>
      <c r="B11" s="421" t="s">
        <v>2546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51"/>
      <c r="Q11" s="1791"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2663" t="e">
        <f t="shared" si="5"/>
        <v>#N/A</v>
      </c>
    </row>
    <row r="12" spans="1:29" s="117"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29"/>
      <c r="M12" s="1130"/>
      <c r="N12" s="1130"/>
      <c r="O12" s="1130"/>
      <c r="P12" s="3251"/>
      <c r="Q12" s="1791">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7"/>
      <c r="M13" s="1128"/>
      <c r="N13" s="1128"/>
      <c r="O13" s="1128"/>
      <c r="P13" s="3251"/>
      <c r="Q13" s="1791">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7"/>
      <c r="M14" s="1128"/>
      <c r="N14" s="1128"/>
      <c r="O14" s="1128"/>
      <c r="P14" s="3251"/>
      <c r="Q14" s="1791">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2663">
        <f t="shared" si="5"/>
        <v>1</v>
      </c>
    </row>
    <row r="15" spans="1:29" ht="71.25">
      <c r="A15" s="439" t="s">
        <v>2547</v>
      </c>
      <c r="B15" s="628" t="s">
        <v>2675</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21" t="s">
        <v>2548</v>
      </c>
      <c r="Q15" s="1806" t="str">
        <f t="shared" si="6"/>
        <v>办公集聚程度</v>
      </c>
      <c r="R15" s="773" t="s">
        <v>17</v>
      </c>
      <c r="S15" s="774">
        <f t="shared" si="0"/>
        <v>100</v>
      </c>
      <c r="T15" s="773" t="s">
        <v>17</v>
      </c>
      <c r="U15" s="774">
        <f t="shared" si="1"/>
        <v>100</v>
      </c>
      <c r="V15" s="773" t="s">
        <v>17</v>
      </c>
      <c r="W15" s="774">
        <f t="shared" si="2"/>
        <v>100</v>
      </c>
      <c r="X15" s="1809"/>
      <c r="Y15" s="3254" t="s">
        <v>2548</v>
      </c>
      <c r="Z15" s="1810" t="str">
        <f t="shared" si="7"/>
        <v>办公集聚程度</v>
      </c>
      <c r="AA15" s="1807">
        <f t="shared" si="3"/>
        <v>1</v>
      </c>
      <c r="AB15" s="1807">
        <f t="shared" si="4"/>
        <v>1</v>
      </c>
      <c r="AC15" s="2666">
        <f t="shared" si="5"/>
        <v>1</v>
      </c>
    </row>
    <row r="16" spans="1:29" ht="15">
      <c r="A16" s="427"/>
      <c r="B16" s="629"/>
      <c r="C16" s="2603"/>
      <c r="D16" s="447"/>
      <c r="E16" s="446"/>
      <c r="F16" s="447"/>
      <c r="G16" s="2603"/>
      <c r="H16" s="449"/>
      <c r="I16" s="446"/>
      <c r="J16" s="447"/>
      <c r="K16" s="614"/>
      <c r="L16" s="1137"/>
      <c r="M16" s="1128"/>
      <c r="N16" s="1128"/>
      <c r="O16" s="1128"/>
      <c r="P16" s="3322"/>
      <c r="Q16" s="1806"/>
      <c r="R16" s="773"/>
      <c r="S16" s="774"/>
      <c r="T16" s="773"/>
      <c r="U16" s="774"/>
      <c r="V16" s="773"/>
      <c r="W16" s="774"/>
      <c r="X16" s="1809"/>
      <c r="Y16" s="3255"/>
      <c r="Z16" s="1810"/>
      <c r="AA16" s="1807">
        <v>1</v>
      </c>
      <c r="AB16" s="1807">
        <v>1</v>
      </c>
      <c r="AC16" s="2666">
        <v>1</v>
      </c>
    </row>
    <row r="17" spans="1:29" ht="71.25">
      <c r="A17" s="427"/>
      <c r="B17" s="630" t="s">
        <v>2090</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22"/>
      <c r="Q17" s="1806" t="str">
        <f>B17</f>
        <v>交通便捷度</v>
      </c>
      <c r="R17" s="773" t="s">
        <v>17</v>
      </c>
      <c r="S17" s="774">
        <f>F17</f>
        <v>100</v>
      </c>
      <c r="T17" s="773" t="s">
        <v>17</v>
      </c>
      <c r="U17" s="774">
        <f>H17</f>
        <v>100</v>
      </c>
      <c r="V17" s="773" t="s">
        <v>17</v>
      </c>
      <c r="W17" s="774">
        <f>J17</f>
        <v>100</v>
      </c>
      <c r="X17" s="1809"/>
      <c r="Y17" s="3255"/>
      <c r="Z17" s="1810" t="str">
        <f>Q17</f>
        <v>交通便捷度</v>
      </c>
      <c r="AA17" s="1807">
        <f t="shared" si="3"/>
        <v>1</v>
      </c>
      <c r="AB17" s="1807">
        <f t="shared" si="4"/>
        <v>1</v>
      </c>
      <c r="AC17" s="2666">
        <f t="shared" si="5"/>
        <v>1</v>
      </c>
    </row>
    <row r="18" spans="1:29" ht="15">
      <c r="A18" s="427"/>
      <c r="B18" s="631"/>
      <c r="C18" s="2668"/>
      <c r="D18" s="449"/>
      <c r="E18" s="2601"/>
      <c r="F18" s="449"/>
      <c r="G18" s="2602"/>
      <c r="H18" s="447"/>
      <c r="I18" s="2602"/>
      <c r="J18" s="447"/>
      <c r="K18" s="614"/>
      <c r="L18" s="1137"/>
      <c r="M18" s="1128"/>
      <c r="N18" s="1128"/>
      <c r="O18" s="1128"/>
      <c r="P18" s="3322"/>
      <c r="Q18" s="1806"/>
      <c r="R18" s="773"/>
      <c r="S18" s="774"/>
      <c r="T18" s="773"/>
      <c r="U18" s="774"/>
      <c r="V18" s="773"/>
      <c r="W18" s="774"/>
      <c r="X18" s="1809"/>
      <c r="Y18" s="3255"/>
      <c r="Z18" s="1810"/>
      <c r="AA18" s="1807">
        <v>1</v>
      </c>
      <c r="AB18" s="1807">
        <v>1</v>
      </c>
      <c r="AC18" s="2666">
        <v>1</v>
      </c>
    </row>
    <row r="19" spans="1:29" ht="42.75">
      <c r="A19" s="427"/>
      <c r="B19" s="630" t="s">
        <v>2676</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22"/>
      <c r="Q19" s="1806" t="str">
        <f>B19</f>
        <v>公共配套设施</v>
      </c>
      <c r="R19" s="773" t="s">
        <v>17</v>
      </c>
      <c r="S19" s="774">
        <f>F19</f>
        <v>100</v>
      </c>
      <c r="T19" s="773" t="s">
        <v>17</v>
      </c>
      <c r="U19" s="774">
        <f>H19</f>
        <v>100</v>
      </c>
      <c r="V19" s="773" t="s">
        <v>17</v>
      </c>
      <c r="W19" s="774">
        <f>J19</f>
        <v>100</v>
      </c>
      <c r="X19" s="1809"/>
      <c r="Y19" s="3255"/>
      <c r="Z19" s="1810" t="str">
        <f>Q19</f>
        <v>公共配套设施</v>
      </c>
      <c r="AA19" s="1807">
        <f t="shared" si="3"/>
        <v>1</v>
      </c>
      <c r="AB19" s="1807">
        <f t="shared" si="4"/>
        <v>1</v>
      </c>
      <c r="AC19" s="2666">
        <f t="shared" si="5"/>
        <v>1</v>
      </c>
    </row>
    <row r="20" spans="1:29" ht="15">
      <c r="A20" s="427"/>
      <c r="B20" s="631"/>
      <c r="C20" s="2603"/>
      <c r="D20" s="447"/>
      <c r="E20" s="2596"/>
      <c r="F20" s="447"/>
      <c r="G20" s="2597"/>
      <c r="H20" s="447"/>
      <c r="I20" s="2597"/>
      <c r="J20" s="447"/>
      <c r="K20" s="614"/>
      <c r="L20" s="1137"/>
      <c r="M20" s="1128"/>
      <c r="N20" s="1128"/>
      <c r="O20" s="1128"/>
      <c r="P20" s="3322"/>
      <c r="Q20" s="1806"/>
      <c r="R20" s="773"/>
      <c r="S20" s="774"/>
      <c r="T20" s="773"/>
      <c r="U20" s="774"/>
      <c r="V20" s="773"/>
      <c r="W20" s="774"/>
      <c r="X20" s="1809"/>
      <c r="Y20" s="3255"/>
      <c r="Z20" s="1810"/>
      <c r="AA20" s="1807">
        <v>1</v>
      </c>
      <c r="AB20" s="1807">
        <v>1</v>
      </c>
      <c r="AC20" s="2666">
        <v>1</v>
      </c>
    </row>
    <row r="21" spans="1:29" ht="28.5">
      <c r="A21" s="427"/>
      <c r="B21" s="632" t="s">
        <v>2677</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22"/>
      <c r="Q21" s="1806" t="str">
        <f>B21</f>
        <v>基础设施水平</v>
      </c>
      <c r="R21" s="773" t="s">
        <v>17</v>
      </c>
      <c r="S21" s="774">
        <f>F21</f>
        <v>100</v>
      </c>
      <c r="T21" s="773" t="s">
        <v>17</v>
      </c>
      <c r="U21" s="774">
        <f>H21</f>
        <v>100</v>
      </c>
      <c r="V21" s="773" t="s">
        <v>17</v>
      </c>
      <c r="W21" s="774">
        <f>J21</f>
        <v>100</v>
      </c>
      <c r="X21" s="1809"/>
      <c r="Y21" s="3255"/>
      <c r="Z21" s="1810" t="str">
        <f>Q21</f>
        <v>基础设施水平</v>
      </c>
      <c r="AA21" s="1807">
        <f t="shared" ref="AA21" si="8">D21/F21</f>
        <v>1</v>
      </c>
      <c r="AB21" s="1807">
        <f t="shared" ref="AB21" si="9">D21/H21</f>
        <v>1</v>
      </c>
      <c r="AC21" s="2666">
        <f t="shared" ref="AC21" si="10">D21/J21</f>
        <v>1</v>
      </c>
    </row>
    <row r="22" spans="1:29" ht="15">
      <c r="A22" s="427"/>
      <c r="B22" s="632"/>
      <c r="C22" s="2668"/>
      <c r="D22" s="447"/>
      <c r="E22" s="446"/>
      <c r="F22" s="447"/>
      <c r="G22" s="2603"/>
      <c r="H22" s="447"/>
      <c r="I22" s="2603"/>
      <c r="J22" s="447"/>
      <c r="K22" s="1380"/>
      <c r="L22" s="1137"/>
      <c r="M22" s="1128"/>
      <c r="N22" s="1128"/>
      <c r="O22" s="1128"/>
      <c r="P22" s="3322"/>
      <c r="Q22" s="1806"/>
      <c r="R22" s="773"/>
      <c r="S22" s="774"/>
      <c r="T22" s="773"/>
      <c r="U22" s="774"/>
      <c r="V22" s="773"/>
      <c r="W22" s="774"/>
      <c r="X22" s="1809"/>
      <c r="Y22" s="3255"/>
      <c r="Z22" s="1810"/>
      <c r="AA22" s="1807">
        <v>1</v>
      </c>
      <c r="AB22" s="1807">
        <v>1</v>
      </c>
      <c r="AC22" s="2666">
        <v>1</v>
      </c>
    </row>
    <row r="23" spans="1:29" ht="42.75">
      <c r="A23" s="427"/>
      <c r="B23" s="630" t="s">
        <v>2678</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22"/>
      <c r="Q23" s="1806" t="str">
        <f>B23</f>
        <v>环境质量</v>
      </c>
      <c r="R23" s="773" t="s">
        <v>17</v>
      </c>
      <c r="S23" s="774">
        <f>F23</f>
        <v>100</v>
      </c>
      <c r="T23" s="773" t="s">
        <v>17</v>
      </c>
      <c r="U23" s="774">
        <f>H23</f>
        <v>100</v>
      </c>
      <c r="V23" s="773" t="s">
        <v>17</v>
      </c>
      <c r="W23" s="774">
        <f>J23</f>
        <v>100</v>
      </c>
      <c r="X23" s="1809"/>
      <c r="Y23" s="3255"/>
      <c r="Z23" s="1810" t="str">
        <f>Q23</f>
        <v>环境质量</v>
      </c>
      <c r="AA23" s="1807">
        <f t="shared" si="3"/>
        <v>1</v>
      </c>
      <c r="AB23" s="1807">
        <f t="shared" si="4"/>
        <v>1</v>
      </c>
      <c r="AC23" s="2666">
        <f t="shared" si="5"/>
        <v>1</v>
      </c>
    </row>
    <row r="24" spans="1:29" ht="15">
      <c r="A24" s="427"/>
      <c r="B24" s="632"/>
      <c r="C24" s="2603"/>
      <c r="D24" s="447"/>
      <c r="E24" s="2596"/>
      <c r="F24" s="447"/>
      <c r="G24" s="2597"/>
      <c r="H24" s="447"/>
      <c r="I24" s="2597"/>
      <c r="J24" s="447"/>
      <c r="K24" s="614"/>
      <c r="L24" s="1137"/>
      <c r="M24" s="1128"/>
      <c r="N24" s="1128"/>
      <c r="O24" s="1128"/>
      <c r="P24" s="3322"/>
      <c r="Q24" s="1806"/>
      <c r="R24" s="773"/>
      <c r="S24" s="774"/>
      <c r="T24" s="773"/>
      <c r="U24" s="774"/>
      <c r="V24" s="773"/>
      <c r="W24" s="774"/>
      <c r="X24" s="1809"/>
      <c r="Y24" s="3255"/>
      <c r="Z24" s="1810"/>
      <c r="AA24" s="1807">
        <v>1</v>
      </c>
      <c r="AB24" s="1807">
        <v>1</v>
      </c>
      <c r="AC24" s="2666">
        <v>1</v>
      </c>
    </row>
    <row r="25" spans="1:29" ht="27">
      <c r="A25" s="403"/>
      <c r="B25" s="630" t="s">
        <v>2679</v>
      </c>
      <c r="C25" s="2607"/>
      <c r="D25" s="434">
        <v>100</v>
      </c>
      <c r="E25" s="433"/>
      <c r="F25" s="434">
        <f>SUMIF(87:87,E26,88:88)-SUMIF(87:87,C26,88:88)+100</f>
        <v>100</v>
      </c>
      <c r="G25" s="2607"/>
      <c r="H25" s="434">
        <f>SUMIF(87:87,G26,88:88)-SUMIF(87:87,C26,88:88)+100</f>
        <v>100</v>
      </c>
      <c r="I25" s="433"/>
      <c r="J25" s="434">
        <f>SUMIF(87:87,I26,88:88)-SUMIF(87:87,C26,88:88)+100</f>
        <v>100</v>
      </c>
      <c r="K25" s="613"/>
      <c r="L25" s="1137"/>
      <c r="M25" s="1128"/>
      <c r="N25" s="1128"/>
      <c r="O25" s="1128"/>
      <c r="P25" s="3322"/>
      <c r="Q25" s="1806" t="str">
        <f>B25</f>
        <v>毗邻道路的类型与等级</v>
      </c>
      <c r="R25" s="773" t="s">
        <v>17</v>
      </c>
      <c r="S25" s="774">
        <f>F25</f>
        <v>100</v>
      </c>
      <c r="T25" s="773" t="s">
        <v>17</v>
      </c>
      <c r="U25" s="774">
        <f>H25</f>
        <v>100</v>
      </c>
      <c r="V25" s="773" t="s">
        <v>17</v>
      </c>
      <c r="W25" s="774">
        <f>J25</f>
        <v>100</v>
      </c>
      <c r="X25" s="1809"/>
      <c r="Y25" s="3255"/>
      <c r="Z25" s="1810" t="str">
        <f>Q25</f>
        <v>毗邻道路的类型与等级</v>
      </c>
      <c r="AA25" s="1807">
        <f t="shared" si="3"/>
        <v>1</v>
      </c>
      <c r="AB25" s="1807">
        <f t="shared" si="4"/>
        <v>1</v>
      </c>
      <c r="AC25" s="2666">
        <f t="shared" si="5"/>
        <v>1</v>
      </c>
    </row>
    <row r="26" spans="1:29" ht="15">
      <c r="A26" s="403"/>
      <c r="B26" s="631"/>
      <c r="C26" s="633"/>
      <c r="D26" s="434"/>
      <c r="E26" s="615"/>
      <c r="F26" s="434"/>
      <c r="G26" s="633"/>
      <c r="H26" s="434"/>
      <c r="I26" s="615"/>
      <c r="J26" s="434"/>
      <c r="K26" s="614"/>
      <c r="L26" s="1137"/>
      <c r="M26" s="1128"/>
      <c r="N26" s="1128"/>
      <c r="O26" s="1128"/>
      <c r="P26" s="3322"/>
      <c r="Q26" s="1806"/>
      <c r="R26" s="773"/>
      <c r="S26" s="774"/>
      <c r="T26" s="773"/>
      <c r="U26" s="774"/>
      <c r="V26" s="773"/>
      <c r="W26" s="774"/>
      <c r="X26" s="1809"/>
      <c r="Y26" s="3255"/>
      <c r="Z26" s="1810"/>
      <c r="AA26" s="1807">
        <v>1</v>
      </c>
      <c r="AB26" s="1807">
        <v>1</v>
      </c>
      <c r="AC26" s="2666">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22"/>
      <c r="Q27" s="1806" t="str">
        <f t="shared" ref="Q27:Q47" si="11">B27</f>
        <v>楼层</v>
      </c>
      <c r="R27" s="773" t="s">
        <v>17</v>
      </c>
      <c r="S27" s="774">
        <f>F27</f>
        <v>100</v>
      </c>
      <c r="T27" s="773" t="s">
        <v>17</v>
      </c>
      <c r="U27" s="774">
        <f>H27</f>
        <v>100</v>
      </c>
      <c r="V27" s="773" t="s">
        <v>17</v>
      </c>
      <c r="W27" s="774">
        <f>J27</f>
        <v>100</v>
      </c>
      <c r="X27" s="1809"/>
      <c r="Y27" s="3255"/>
      <c r="Z27" s="1810" t="str">
        <f>Q27</f>
        <v>楼层</v>
      </c>
      <c r="AA27" s="1807">
        <f t="shared" si="3"/>
        <v>1</v>
      </c>
      <c r="AB27" s="1807">
        <f t="shared" si="4"/>
        <v>1</v>
      </c>
      <c r="AC27" s="2666">
        <f t="shared" si="5"/>
        <v>1</v>
      </c>
    </row>
    <row r="28" spans="1:29" s="117" customFormat="1" ht="15">
      <c r="A28" s="430"/>
      <c r="B28" s="630" t="s">
        <v>2680</v>
      </c>
      <c r="C28" s="2669"/>
      <c r="D28" s="461">
        <v>100</v>
      </c>
      <c r="E28" s="2657"/>
      <c r="F28" s="461">
        <f>SUMIF(91:91,E28,92:92)-SUMIF(91:91,C28,92:92)+100</f>
        <v>100</v>
      </c>
      <c r="G28" s="2669"/>
      <c r="H28" s="461">
        <f>SUMIF(91:91,G28,92:92)-SUMIF(91:91,C28,92:92)+100</f>
        <v>100</v>
      </c>
      <c r="I28" s="2657"/>
      <c r="J28" s="461">
        <f>SUMIF(91:91,I28,92:92)-SUMIF(91:91,C28,92:92)+100</f>
        <v>100</v>
      </c>
      <c r="K28" s="611"/>
      <c r="L28" s="1129"/>
      <c r="M28" s="1130"/>
      <c r="N28" s="1130"/>
      <c r="O28" s="1130"/>
      <c r="P28" s="3322"/>
      <c r="Q28" s="1791" t="str">
        <f t="shared" si="11"/>
        <v>朝向</v>
      </c>
      <c r="R28" s="769" t="s">
        <v>17</v>
      </c>
      <c r="S28" s="770">
        <f>F28</f>
        <v>100</v>
      </c>
      <c r="T28" s="769" t="s">
        <v>17</v>
      </c>
      <c r="U28" s="770">
        <f>H28</f>
        <v>100</v>
      </c>
      <c r="V28" s="769" t="s">
        <v>17</v>
      </c>
      <c r="W28" s="770">
        <f>J28</f>
        <v>100</v>
      </c>
      <c r="X28" s="771"/>
      <c r="Y28" s="3255"/>
      <c r="Z28" s="55" t="str">
        <f>Q28</f>
        <v>朝向</v>
      </c>
      <c r="AA28" s="1807">
        <f>D28/F28</f>
        <v>1</v>
      </c>
      <c r="AB28" s="1807">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7"/>
      <c r="M29" s="1128"/>
      <c r="N29" s="1128"/>
      <c r="O29" s="1128"/>
      <c r="P29" s="3322"/>
      <c r="Q29" s="1806">
        <f t="shared" si="11"/>
        <v>111</v>
      </c>
      <c r="R29" s="773" t="s">
        <v>17</v>
      </c>
      <c r="S29" s="774">
        <f t="shared" ref="S29:S47" si="12">F29</f>
        <v>100</v>
      </c>
      <c r="T29" s="773" t="s">
        <v>17</v>
      </c>
      <c r="U29" s="774">
        <f t="shared" ref="U29:U47" si="13">H29</f>
        <v>100</v>
      </c>
      <c r="V29" s="773" t="s">
        <v>17</v>
      </c>
      <c r="W29" s="774">
        <f t="shared" ref="W29:W47" si="14">J29</f>
        <v>100</v>
      </c>
      <c r="X29" s="1809"/>
      <c r="Y29" s="3255"/>
      <c r="Z29" s="1810">
        <f t="shared" ref="Z29:Z47" si="15">Q29</f>
        <v>111</v>
      </c>
      <c r="AA29" s="1807">
        <f t="shared" si="3"/>
        <v>1</v>
      </c>
      <c r="AB29" s="1807">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7"/>
      <c r="M30" s="1128"/>
      <c r="N30" s="1128"/>
      <c r="O30" s="1128"/>
      <c r="P30" s="3322"/>
      <c r="Q30" s="1806">
        <f t="shared" si="11"/>
        <v>111</v>
      </c>
      <c r="R30" s="773" t="s">
        <v>17</v>
      </c>
      <c r="S30" s="774">
        <f t="shared" si="12"/>
        <v>100</v>
      </c>
      <c r="T30" s="773" t="s">
        <v>17</v>
      </c>
      <c r="U30" s="774">
        <f t="shared" si="13"/>
        <v>100</v>
      </c>
      <c r="V30" s="773" t="s">
        <v>17</v>
      </c>
      <c r="W30" s="774">
        <f t="shared" si="14"/>
        <v>100</v>
      </c>
      <c r="X30" s="1809"/>
      <c r="Y30" s="3255"/>
      <c r="Z30" s="1810">
        <f t="shared" si="15"/>
        <v>111</v>
      </c>
      <c r="AA30" s="1807">
        <f t="shared" si="3"/>
        <v>1</v>
      </c>
      <c r="AB30" s="1807">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7"/>
      <c r="M31" s="1128"/>
      <c r="N31" s="1128"/>
      <c r="O31" s="1128"/>
      <c r="P31" s="3322"/>
      <c r="Q31" s="1806">
        <f t="shared" si="11"/>
        <v>111</v>
      </c>
      <c r="R31" s="773" t="s">
        <v>17</v>
      </c>
      <c r="S31" s="774">
        <f t="shared" si="12"/>
        <v>100</v>
      </c>
      <c r="T31" s="773" t="s">
        <v>17</v>
      </c>
      <c r="U31" s="774">
        <f t="shared" si="13"/>
        <v>100</v>
      </c>
      <c r="V31" s="773" t="s">
        <v>17</v>
      </c>
      <c r="W31" s="774">
        <f t="shared" si="14"/>
        <v>100</v>
      </c>
      <c r="X31" s="1809"/>
      <c r="Y31" s="3255"/>
      <c r="Z31" s="1810">
        <f t="shared" si="15"/>
        <v>111</v>
      </c>
      <c r="AA31" s="1807">
        <f t="shared" si="3"/>
        <v>1</v>
      </c>
      <c r="AB31" s="1807">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7"/>
      <c r="M32" s="1128"/>
      <c r="N32" s="1128"/>
      <c r="O32" s="1128"/>
      <c r="P32" s="3322"/>
      <c r="Q32" s="1806">
        <f t="shared" si="11"/>
        <v>111</v>
      </c>
      <c r="R32" s="773" t="s">
        <v>17</v>
      </c>
      <c r="S32" s="774">
        <f t="shared" si="12"/>
        <v>100</v>
      </c>
      <c r="T32" s="773" t="s">
        <v>17</v>
      </c>
      <c r="U32" s="774">
        <f t="shared" si="13"/>
        <v>100</v>
      </c>
      <c r="V32" s="773" t="s">
        <v>17</v>
      </c>
      <c r="W32" s="774">
        <f t="shared" si="14"/>
        <v>100</v>
      </c>
      <c r="X32" s="1809"/>
      <c r="Y32" s="3255"/>
      <c r="Z32" s="1810">
        <f t="shared" si="15"/>
        <v>111</v>
      </c>
      <c r="AA32" s="1807">
        <f t="shared" si="3"/>
        <v>1</v>
      </c>
      <c r="AB32" s="1807">
        <f t="shared" si="4"/>
        <v>1</v>
      </c>
      <c r="AC32" s="2666">
        <f t="shared" si="5"/>
        <v>1</v>
      </c>
    </row>
    <row r="33" spans="1:29" ht="15">
      <c r="A33" s="439" t="s">
        <v>2551</v>
      </c>
      <c r="B33" s="71" t="s">
        <v>2681</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7"/>
      <c r="M33" s="1128"/>
      <c r="N33" s="1128"/>
      <c r="O33" s="1128"/>
      <c r="P33" s="3317" t="s">
        <v>2553</v>
      </c>
      <c r="Q33" s="1806" t="str">
        <f t="shared" si="11"/>
        <v>建筑类型</v>
      </c>
      <c r="R33" s="773" t="s">
        <v>17</v>
      </c>
      <c r="S33" s="774">
        <f t="shared" si="12"/>
        <v>100</v>
      </c>
      <c r="T33" s="773" t="s">
        <v>17</v>
      </c>
      <c r="U33" s="774">
        <f t="shared" si="13"/>
        <v>100</v>
      </c>
      <c r="V33" s="773" t="s">
        <v>17</v>
      </c>
      <c r="W33" s="774">
        <f t="shared" si="14"/>
        <v>100</v>
      </c>
      <c r="X33" s="1809"/>
      <c r="Y33" s="3257" t="s">
        <v>2553</v>
      </c>
      <c r="Z33" s="1810" t="str">
        <f t="shared" si="15"/>
        <v>建筑类型</v>
      </c>
      <c r="AA33" s="1807">
        <f t="shared" si="3"/>
        <v>1</v>
      </c>
      <c r="AB33" s="1807">
        <f t="shared" si="4"/>
        <v>1</v>
      </c>
      <c r="AC33" s="2666">
        <f t="shared" si="5"/>
        <v>1</v>
      </c>
    </row>
    <row r="34" spans="1:29" s="470" customFormat="1" ht="15">
      <c r="A34" s="467"/>
      <c r="B34" s="421" t="s">
        <v>2554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18"/>
      <c r="Q34" s="775" t="str">
        <f t="shared" si="11"/>
        <v>项目建筑规模</v>
      </c>
      <c r="R34" s="776" t="s">
        <v>17</v>
      </c>
      <c r="S34" s="777" t="e">
        <f t="shared" si="12"/>
        <v>#N/A</v>
      </c>
      <c r="T34" s="776" t="s">
        <v>17</v>
      </c>
      <c r="U34" s="777" t="e">
        <f t="shared" si="13"/>
        <v>#N/A</v>
      </c>
      <c r="V34" s="776" t="s">
        <v>17</v>
      </c>
      <c r="W34" s="777" t="e">
        <f t="shared" si="14"/>
        <v>#N/A</v>
      </c>
      <c r="X34" s="778"/>
      <c r="Y34" s="3257"/>
      <c r="Z34" s="779" t="str">
        <f t="shared" si="15"/>
        <v>项目建筑规模</v>
      </c>
      <c r="AA34" s="1807" t="e">
        <f t="shared" si="3"/>
        <v>#N/A</v>
      </c>
      <c r="AB34" s="1807" t="e">
        <f t="shared" si="4"/>
        <v>#N/A</v>
      </c>
      <c r="AC34" s="2666"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18"/>
      <c r="Q35" s="1806" t="str">
        <f t="shared" si="11"/>
        <v>建筑结构</v>
      </c>
      <c r="R35" s="773" t="s">
        <v>17</v>
      </c>
      <c r="S35" s="774">
        <f t="shared" si="12"/>
        <v>100</v>
      </c>
      <c r="T35" s="773" t="s">
        <v>17</v>
      </c>
      <c r="U35" s="774">
        <f t="shared" si="13"/>
        <v>100</v>
      </c>
      <c r="V35" s="773" t="s">
        <v>17</v>
      </c>
      <c r="W35" s="774">
        <f t="shared" si="14"/>
        <v>100</v>
      </c>
      <c r="X35" s="1809"/>
      <c r="Y35" s="3257"/>
      <c r="Z35" s="1810" t="str">
        <f t="shared" si="15"/>
        <v>建筑结构</v>
      </c>
      <c r="AA35" s="1807">
        <f t="shared" si="3"/>
        <v>1</v>
      </c>
      <c r="AB35" s="1807">
        <f t="shared" si="4"/>
        <v>1</v>
      </c>
      <c r="AC35" s="2666">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18"/>
      <c r="Q36" s="1806" t="str">
        <f t="shared" si="11"/>
        <v>公共部分装修</v>
      </c>
      <c r="R36" s="773" t="s">
        <v>17</v>
      </c>
      <c r="S36" s="774">
        <f t="shared" si="12"/>
        <v>100</v>
      </c>
      <c r="T36" s="773" t="s">
        <v>17</v>
      </c>
      <c r="U36" s="774">
        <f t="shared" si="13"/>
        <v>100</v>
      </c>
      <c r="V36" s="773" t="s">
        <v>17</v>
      </c>
      <c r="W36" s="774">
        <f t="shared" si="14"/>
        <v>100</v>
      </c>
      <c r="X36" s="1809"/>
      <c r="Y36" s="3257"/>
      <c r="Z36" s="1810" t="str">
        <f t="shared" si="15"/>
        <v>公共部分装修</v>
      </c>
      <c r="AA36" s="1807">
        <f t="shared" si="3"/>
        <v>1</v>
      </c>
      <c r="AB36" s="1807">
        <f t="shared" si="4"/>
        <v>1</v>
      </c>
      <c r="AC36" s="2666">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18"/>
      <c r="Q37" s="1806" t="str">
        <f t="shared" si="11"/>
        <v>成新度</v>
      </c>
      <c r="R37" s="773" t="s">
        <v>17</v>
      </c>
      <c r="S37" s="774" t="e">
        <f t="shared" si="12"/>
        <v>#N/A</v>
      </c>
      <c r="T37" s="773" t="s">
        <v>17</v>
      </c>
      <c r="U37" s="774" t="e">
        <f t="shared" si="13"/>
        <v>#N/A</v>
      </c>
      <c r="V37" s="773" t="s">
        <v>17</v>
      </c>
      <c r="W37" s="774" t="e">
        <f t="shared" si="14"/>
        <v>#N/A</v>
      </c>
      <c r="X37" s="1809"/>
      <c r="Y37" s="3257"/>
      <c r="Z37" s="1810" t="str">
        <f t="shared" si="15"/>
        <v>成新度</v>
      </c>
      <c r="AA37" s="1807" t="e">
        <f t="shared" si="3"/>
        <v>#N/A</v>
      </c>
      <c r="AB37" s="1807" t="e">
        <f t="shared" si="4"/>
        <v>#N/A</v>
      </c>
      <c r="AC37" s="2666" t="e">
        <f t="shared" si="5"/>
        <v>#N/A</v>
      </c>
    </row>
    <row r="38" spans="1:29" s="117"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18"/>
      <c r="Q38" s="1791" t="str">
        <f t="shared" si="11"/>
        <v>写字楼等级</v>
      </c>
      <c r="R38" s="769" t="s">
        <v>17</v>
      </c>
      <c r="S38" s="770">
        <f t="shared" si="12"/>
        <v>100</v>
      </c>
      <c r="T38" s="769" t="s">
        <v>17</v>
      </c>
      <c r="U38" s="770">
        <f t="shared" si="13"/>
        <v>100</v>
      </c>
      <c r="V38" s="769" t="s">
        <v>17</v>
      </c>
      <c r="W38" s="770">
        <f t="shared" si="14"/>
        <v>100</v>
      </c>
      <c r="X38" s="771"/>
      <c r="Y38" s="3257"/>
      <c r="Z38" s="55" t="str">
        <f t="shared" si="15"/>
        <v>写字楼等级</v>
      </c>
      <c r="AA38" s="772">
        <f t="shared" si="3"/>
        <v>1</v>
      </c>
      <c r="AB38" s="772">
        <f t="shared" si="4"/>
        <v>1</v>
      </c>
      <c r="AC38" s="2663">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18" t="s">
        <v>2553</v>
      </c>
      <c r="Q39" s="1806" t="str">
        <f t="shared" si="11"/>
        <v>物业管理</v>
      </c>
      <c r="R39" s="773" t="s">
        <v>17</v>
      </c>
      <c r="S39" s="774">
        <f t="shared" si="12"/>
        <v>100</v>
      </c>
      <c r="T39" s="773" t="s">
        <v>17</v>
      </c>
      <c r="U39" s="774">
        <f t="shared" si="13"/>
        <v>100</v>
      </c>
      <c r="V39" s="773" t="s">
        <v>17</v>
      </c>
      <c r="W39" s="774">
        <f t="shared" si="14"/>
        <v>100</v>
      </c>
      <c r="X39" s="1809"/>
      <c r="Y39" s="3257" t="s">
        <v>2553</v>
      </c>
      <c r="Z39" s="1810" t="str">
        <f t="shared" si="15"/>
        <v>物业管理</v>
      </c>
      <c r="AA39" s="1807">
        <f t="shared" si="3"/>
        <v>1</v>
      </c>
      <c r="AB39" s="1807">
        <f t="shared" si="4"/>
        <v>1</v>
      </c>
      <c r="AC39" s="2666">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18"/>
      <c r="Q40" s="1806" t="str">
        <f t="shared" si="11"/>
        <v>市政基础设施</v>
      </c>
      <c r="R40" s="773" t="s">
        <v>17</v>
      </c>
      <c r="S40" s="774">
        <f t="shared" si="12"/>
        <v>100</v>
      </c>
      <c r="T40" s="773" t="s">
        <v>17</v>
      </c>
      <c r="U40" s="774">
        <f t="shared" si="13"/>
        <v>100</v>
      </c>
      <c r="V40" s="773" t="s">
        <v>17</v>
      </c>
      <c r="W40" s="774">
        <f t="shared" si="14"/>
        <v>100</v>
      </c>
      <c r="X40" s="1809"/>
      <c r="Y40" s="3257"/>
      <c r="Z40" s="1810" t="str">
        <f t="shared" si="15"/>
        <v>市政基础设施</v>
      </c>
      <c r="AA40" s="1807">
        <f t="shared" si="3"/>
        <v>1</v>
      </c>
      <c r="AB40" s="1807">
        <f t="shared" si="4"/>
        <v>1</v>
      </c>
      <c r="AC40" s="2666">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18"/>
      <c r="Q41" s="1806" t="str">
        <f t="shared" si="11"/>
        <v>层高</v>
      </c>
      <c r="R41" s="773" t="s">
        <v>17</v>
      </c>
      <c r="S41" s="774">
        <f t="shared" si="12"/>
        <v>100</v>
      </c>
      <c r="T41" s="773" t="s">
        <v>17</v>
      </c>
      <c r="U41" s="774">
        <f t="shared" si="13"/>
        <v>100</v>
      </c>
      <c r="V41" s="773" t="s">
        <v>17</v>
      </c>
      <c r="W41" s="774">
        <f t="shared" si="14"/>
        <v>100</v>
      </c>
      <c r="X41" s="1809"/>
      <c r="Y41" s="3257"/>
      <c r="Z41" s="1810" t="str">
        <f t="shared" si="15"/>
        <v>层高</v>
      </c>
      <c r="AA41" s="1807">
        <f t="shared" si="3"/>
        <v>1</v>
      </c>
      <c r="AB41" s="1807">
        <f t="shared" si="4"/>
        <v>1</v>
      </c>
      <c r="AC41" s="2666">
        <f t="shared" si="5"/>
        <v>1</v>
      </c>
    </row>
    <row r="42" spans="1:29" s="470" customFormat="1" ht="15">
      <c r="A42" s="467"/>
      <c r="B42" s="1808"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18"/>
      <c r="Q42" s="775" t="str">
        <f t="shared" si="11"/>
        <v>单套建筑面积</v>
      </c>
      <c r="R42" s="776" t="s">
        <v>17</v>
      </c>
      <c r="S42" s="777">
        <f t="shared" si="12"/>
        <v>100</v>
      </c>
      <c r="T42" s="776" t="s">
        <v>17</v>
      </c>
      <c r="U42" s="777">
        <f t="shared" si="13"/>
        <v>100</v>
      </c>
      <c r="V42" s="776" t="s">
        <v>17</v>
      </c>
      <c r="W42" s="777">
        <f t="shared" si="14"/>
        <v>100</v>
      </c>
      <c r="X42" s="778"/>
      <c r="Y42" s="3257"/>
      <c r="Z42" s="779" t="str">
        <f t="shared" si="15"/>
        <v>单套建筑面积</v>
      </c>
      <c r="AA42" s="1807">
        <f t="shared" si="3"/>
        <v>1</v>
      </c>
      <c r="AB42" s="1807">
        <f t="shared" si="4"/>
        <v>1</v>
      </c>
      <c r="AC42" s="2666">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18"/>
      <c r="Q43" s="1806" t="str">
        <f t="shared" si="11"/>
        <v>内部装修</v>
      </c>
      <c r="R43" s="773" t="s">
        <v>17</v>
      </c>
      <c r="S43" s="774">
        <f t="shared" si="12"/>
        <v>100</v>
      </c>
      <c r="T43" s="773" t="s">
        <v>17</v>
      </c>
      <c r="U43" s="774">
        <f t="shared" si="13"/>
        <v>100</v>
      </c>
      <c r="V43" s="773" t="s">
        <v>17</v>
      </c>
      <c r="W43" s="774">
        <f t="shared" si="14"/>
        <v>100</v>
      </c>
      <c r="X43" s="1809"/>
      <c r="Y43" s="3257"/>
      <c r="Z43" s="1810" t="str">
        <f t="shared" si="15"/>
        <v>内部装修</v>
      </c>
      <c r="AA43" s="1807">
        <f t="shared" si="3"/>
        <v>1</v>
      </c>
      <c r="AB43" s="1807">
        <f t="shared" si="4"/>
        <v>1</v>
      </c>
      <c r="AC43" s="2666">
        <f t="shared" si="5"/>
        <v>1</v>
      </c>
    </row>
    <row r="44" spans="1:29" ht="15">
      <c r="A44" s="471"/>
      <c r="B44" s="421" t="s">
        <v>2564</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7"/>
      <c r="M44" s="1128"/>
      <c r="N44" s="1128"/>
      <c r="O44" s="1128"/>
      <c r="P44" s="3318"/>
      <c r="Q44" s="1806" t="str">
        <f t="shared" si="11"/>
        <v>内部装修维护情况</v>
      </c>
      <c r="R44" s="773" t="s">
        <v>17</v>
      </c>
      <c r="S44" s="774">
        <f t="shared" si="12"/>
        <v>100</v>
      </c>
      <c r="T44" s="773" t="s">
        <v>17</v>
      </c>
      <c r="U44" s="774">
        <f t="shared" si="13"/>
        <v>100</v>
      </c>
      <c r="V44" s="773" t="s">
        <v>17</v>
      </c>
      <c r="W44" s="774">
        <f t="shared" si="14"/>
        <v>100</v>
      </c>
      <c r="X44" s="1809"/>
      <c r="Y44" s="3257"/>
      <c r="Z44" s="1810" t="str">
        <f t="shared" si="15"/>
        <v>内部装修维护情况</v>
      </c>
      <c r="AA44" s="1807">
        <f t="shared" si="3"/>
        <v>1</v>
      </c>
      <c r="AB44" s="1807">
        <f t="shared" si="4"/>
        <v>1</v>
      </c>
      <c r="AC44" s="2666">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18"/>
      <c r="Q45" s="1791">
        <f t="shared" si="11"/>
        <v>111</v>
      </c>
      <c r="R45" s="769" t="s">
        <v>17</v>
      </c>
      <c r="S45" s="770">
        <f t="shared" si="12"/>
        <v>100</v>
      </c>
      <c r="T45" s="769" t="s">
        <v>17</v>
      </c>
      <c r="U45" s="770">
        <f t="shared" si="13"/>
        <v>100</v>
      </c>
      <c r="V45" s="769" t="s">
        <v>17</v>
      </c>
      <c r="W45" s="770">
        <f t="shared" si="14"/>
        <v>100</v>
      </c>
      <c r="X45" s="771"/>
      <c r="Y45" s="3257"/>
      <c r="Z45" s="55">
        <f t="shared" si="15"/>
        <v>111</v>
      </c>
      <c r="AA45" s="772">
        <f t="shared" si="3"/>
        <v>1</v>
      </c>
      <c r="AB45" s="772">
        <f t="shared" si="4"/>
        <v>1</v>
      </c>
      <c r="AC45" s="2663">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18"/>
      <c r="Q46" s="1806">
        <f t="shared" si="11"/>
        <v>111</v>
      </c>
      <c r="R46" s="773" t="s">
        <v>17</v>
      </c>
      <c r="S46" s="774">
        <f t="shared" si="12"/>
        <v>100</v>
      </c>
      <c r="T46" s="773" t="s">
        <v>17</v>
      </c>
      <c r="U46" s="774">
        <f t="shared" si="13"/>
        <v>100</v>
      </c>
      <c r="V46" s="773" t="s">
        <v>17</v>
      </c>
      <c r="W46" s="774">
        <f t="shared" si="14"/>
        <v>100</v>
      </c>
      <c r="X46" s="1809"/>
      <c r="Y46" s="3257"/>
      <c r="Z46" s="1810">
        <f t="shared" si="15"/>
        <v>111</v>
      </c>
      <c r="AA46" s="1807">
        <f t="shared" si="3"/>
        <v>1</v>
      </c>
      <c r="AB46" s="1807">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19"/>
      <c r="Q47" s="1806">
        <f t="shared" si="11"/>
        <v>111</v>
      </c>
      <c r="R47" s="773" t="s">
        <v>17</v>
      </c>
      <c r="S47" s="774">
        <f t="shared" si="12"/>
        <v>100</v>
      </c>
      <c r="T47" s="773" t="s">
        <v>17</v>
      </c>
      <c r="U47" s="774">
        <f t="shared" si="13"/>
        <v>100</v>
      </c>
      <c r="V47" s="773" t="s">
        <v>17</v>
      </c>
      <c r="W47" s="774">
        <f t="shared" si="14"/>
        <v>100</v>
      </c>
      <c r="X47" s="1809"/>
      <c r="Y47" s="3320"/>
      <c r="Z47" s="1810">
        <f t="shared" si="15"/>
        <v>111</v>
      </c>
      <c r="AA47" s="1807">
        <f t="shared" si="3"/>
        <v>1</v>
      </c>
      <c r="AB47" s="1807">
        <f t="shared" si="4"/>
        <v>1</v>
      </c>
      <c r="AC47" s="2666">
        <f t="shared" si="5"/>
        <v>1</v>
      </c>
    </row>
    <row r="48" spans="1:29" ht="15">
      <c r="A48" s="478" t="s">
        <v>2565</v>
      </c>
      <c r="B48" s="479"/>
      <c r="C48" s="1404" t="s">
        <v>1</v>
      </c>
      <c r="D48" s="1405"/>
      <c r="E48" s="1406"/>
      <c r="F48" s="1407"/>
      <c r="G48" s="1408"/>
      <c r="H48" s="1409"/>
      <c r="I48" s="1406"/>
      <c r="J48" s="484"/>
      <c r="K48" s="782"/>
      <c r="L48" s="1140"/>
      <c r="M48" s="1128"/>
      <c r="N48" s="1128"/>
      <c r="O48" s="1128"/>
      <c r="P48" s="3251" t="str">
        <f>A48</f>
        <v>成交单价（元/平方米）</v>
      </c>
      <c r="Q48" s="3252"/>
      <c r="R48" s="3316">
        <f>E48</f>
        <v>0</v>
      </c>
      <c r="S48" s="3316"/>
      <c r="T48" s="3316">
        <f>G48</f>
        <v>0</v>
      </c>
      <c r="U48" s="3316"/>
      <c r="V48" s="3316">
        <f>I48</f>
        <v>0</v>
      </c>
      <c r="W48" s="3316"/>
      <c r="X48" s="445"/>
      <c r="Y48" s="780"/>
      <c r="Z48" s="445"/>
      <c r="AA48" s="445"/>
      <c r="AB48" s="445"/>
      <c r="AC48" s="629"/>
    </row>
    <row r="49" spans="1:29" ht="15.75" thickBot="1">
      <c r="A49" s="485" t="s">
        <v>2657</v>
      </c>
      <c r="B49" s="486"/>
      <c r="C49" s="1410" t="e">
        <f>R50</f>
        <v>#DIV/0!</v>
      </c>
      <c r="D49" s="1411"/>
      <c r="E49" s="1412" t="e">
        <f>R49</f>
        <v>#DIV/0!</v>
      </c>
      <c r="F49" s="1412"/>
      <c r="G49" s="1410" t="e">
        <f>T49</f>
        <v>#DIV/0!</v>
      </c>
      <c r="H49" s="1411"/>
      <c r="I49" s="1412" t="e">
        <f>V49</f>
        <v>#DIV/0!</v>
      </c>
      <c r="J49" s="488"/>
      <c r="K49" s="783"/>
      <c r="L49" s="1140"/>
      <c r="M49" s="1128"/>
      <c r="N49" s="1128"/>
      <c r="O49" s="1128"/>
      <c r="P49" s="3251" t="str">
        <f>A49</f>
        <v>比较价值（元/平方米）</v>
      </c>
      <c r="Q49" s="3252"/>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5"/>
      <c r="Y49" s="445"/>
      <c r="Z49" s="445"/>
      <c r="AA49" s="445"/>
      <c r="AB49" s="445"/>
      <c r="AC49" s="629"/>
    </row>
    <row r="50" spans="1:29" ht="15.75" thickBot="1">
      <c r="A50" s="491" t="s">
        <v>2658</v>
      </c>
      <c r="B50" s="492"/>
      <c r="C50" s="1414" t="e">
        <f>R50</f>
        <v>#DIV/0!</v>
      </c>
      <c r="D50" s="1414"/>
      <c r="E50" s="1414"/>
      <c r="F50" s="1414"/>
      <c r="G50" s="1414"/>
      <c r="H50" s="1414"/>
      <c r="I50" s="1414"/>
      <c r="J50" s="493"/>
      <c r="K50" s="784"/>
      <c r="L50" s="1140"/>
      <c r="M50" s="1128"/>
      <c r="N50" s="1128"/>
      <c r="O50" s="1128"/>
      <c r="P50" s="3323" t="str">
        <f>A50</f>
        <v>估价对象XX用房的比较价值（楼面单价，元/平方米）</v>
      </c>
      <c r="Q50" s="3324"/>
      <c r="R50" s="3325" t="e">
        <f>IF(F1="售价",ROUND(AVERAGE(R49:V49),0),ROUND(AVERAGE(R49:V49),1))</f>
        <v>#DIV/0!</v>
      </c>
      <c r="S50" s="3325"/>
      <c r="T50" s="3325"/>
      <c r="U50" s="3325"/>
      <c r="V50" s="3325"/>
      <c r="W50" s="3325"/>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2"/>
    </row>
    <row r="56" spans="1:29" s="501"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2" t="s">
        <v>2662</v>
      </c>
      <c r="B58" s="758"/>
      <c r="C58" s="763"/>
      <c r="D58" s="763"/>
      <c r="E58" s="763"/>
      <c r="F58" s="764"/>
      <c r="G58" s="764"/>
      <c r="H58" s="763"/>
      <c r="I58" s="763"/>
      <c r="J58" s="763"/>
      <c r="K58" s="765"/>
      <c r="L58" s="1158"/>
      <c r="M58" s="1156"/>
      <c r="N58" s="1156"/>
      <c r="O58" s="1156"/>
      <c r="P58" s="2673"/>
      <c r="Q58" s="503"/>
    </row>
    <row r="59" spans="1:29" s="507" customFormat="1" ht="15">
      <c r="A59" s="504" t="s">
        <v>2536</v>
      </c>
      <c r="B59" s="505"/>
      <c r="C59" s="1570" t="str">
        <f>YEAR(C7)&amp;"-"&amp;MONTH(C7)</f>
        <v>2019-3</v>
      </c>
      <c r="D59" s="1571">
        <f>EDATE(C59,-1)</f>
        <v>43497</v>
      </c>
      <c r="E59" s="1571">
        <f>EDATE(D59,-1)</f>
        <v>43466</v>
      </c>
      <c r="F59" s="1571">
        <f t="shared" ref="F59:O59" si="16">EDATE(E59,-1)</f>
        <v>43435</v>
      </c>
      <c r="G59" s="1571">
        <f t="shared" si="16"/>
        <v>43405</v>
      </c>
      <c r="H59" s="1571">
        <f t="shared" si="16"/>
        <v>43374</v>
      </c>
      <c r="I59" s="1571">
        <f t="shared" si="16"/>
        <v>43344</v>
      </c>
      <c r="J59" s="1571">
        <f t="shared" si="16"/>
        <v>43313</v>
      </c>
      <c r="K59" s="1571">
        <f t="shared" si="16"/>
        <v>43282</v>
      </c>
      <c r="L59" s="1571">
        <f t="shared" si="16"/>
        <v>43252</v>
      </c>
      <c r="M59" s="1571">
        <f t="shared" si="16"/>
        <v>43221</v>
      </c>
      <c r="N59" s="1571">
        <f t="shared" si="16"/>
        <v>43191</v>
      </c>
      <c r="O59" s="1571">
        <f t="shared" si="16"/>
        <v>43160</v>
      </c>
      <c r="P59" s="1567"/>
    </row>
    <row r="60" spans="1:29" s="117" customFormat="1" ht="15">
      <c r="A60" s="508"/>
      <c r="B60" s="509"/>
      <c r="C60" s="1569">
        <v>100</v>
      </c>
      <c r="D60" s="511"/>
      <c r="E60" s="511"/>
      <c r="F60" s="511"/>
      <c r="G60" s="511"/>
      <c r="H60" s="511"/>
      <c r="I60" s="511"/>
      <c r="J60" s="511"/>
      <c r="K60" s="511"/>
      <c r="L60" s="511"/>
      <c r="M60" s="512"/>
      <c r="N60" s="511"/>
      <c r="O60" s="512"/>
      <c r="P60" s="2674"/>
    </row>
    <row r="61" spans="1:29" s="117" customFormat="1" ht="15.75" thickBot="1">
      <c r="A61" s="514" t="s">
        <v>2573</v>
      </c>
      <c r="B61" s="515"/>
      <c r="C61" s="516"/>
      <c r="D61" s="517"/>
      <c r="E61" s="517"/>
      <c r="F61" s="517"/>
      <c r="G61" s="517"/>
      <c r="H61" s="517"/>
      <c r="I61" s="517"/>
      <c r="J61" s="517"/>
      <c r="K61" s="517"/>
      <c r="L61" s="517"/>
      <c r="M61" s="518"/>
      <c r="N61" s="517"/>
      <c r="O61" s="518"/>
      <c r="P61" s="2674"/>
      <c r="Q61" s="503"/>
    </row>
    <row r="62" spans="1:29" s="117" customFormat="1" ht="15">
      <c r="A62" s="520" t="s">
        <v>2538</v>
      </c>
      <c r="B62" s="509"/>
      <c r="C62" s="521" t="s">
        <v>2640</v>
      </c>
      <c r="D62" s="522"/>
      <c r="E62" s="522"/>
      <c r="F62" s="522"/>
      <c r="G62" s="522"/>
      <c r="H62" s="522"/>
      <c r="I62" s="522"/>
      <c r="J62" s="522"/>
      <c r="K62" s="522"/>
      <c r="L62" s="523"/>
      <c r="M62" s="524"/>
      <c r="N62" s="1148"/>
      <c r="O62" s="1148"/>
      <c r="P62" s="2675"/>
      <c r="Q62" s="503"/>
    </row>
    <row r="63" spans="1:29" s="117" customFormat="1" ht="15.75" thickBot="1">
      <c r="A63" s="520"/>
      <c r="B63" s="509"/>
      <c r="C63" s="510">
        <v>100</v>
      </c>
      <c r="D63" s="511"/>
      <c r="E63" s="511"/>
      <c r="F63" s="511"/>
      <c r="G63" s="511"/>
      <c r="H63" s="511"/>
      <c r="I63" s="511"/>
      <c r="J63" s="511"/>
      <c r="K63" s="511"/>
      <c r="L63" s="511"/>
      <c r="M63" s="513"/>
      <c r="N63" s="1148"/>
      <c r="O63" s="1148"/>
      <c r="P63" s="2674"/>
      <c r="Q63" s="503"/>
    </row>
    <row r="64" spans="1:29">
      <c r="A64" s="526" t="s">
        <v>2576</v>
      </c>
      <c r="B64" s="527" t="s">
        <v>2542</v>
      </c>
      <c r="C64" s="528">
        <f>C9</f>
        <v>0</v>
      </c>
      <c r="D64" s="529"/>
      <c r="E64" s="529"/>
      <c r="F64" s="529"/>
      <c r="G64" s="529"/>
      <c r="H64" s="529"/>
      <c r="I64" s="529"/>
      <c r="J64" s="529"/>
      <c r="K64" s="530"/>
      <c r="L64" s="531"/>
      <c r="M64" s="532"/>
      <c r="N64" s="1149"/>
      <c r="O64" s="1149"/>
      <c r="P64" s="2676"/>
      <c r="Q64" s="503"/>
    </row>
    <row r="65" spans="1:17" ht="15.75" thickBot="1">
      <c r="A65" s="533"/>
      <c r="B65" s="534"/>
      <c r="C65" s="535">
        <v>100</v>
      </c>
      <c r="D65" s="535"/>
      <c r="E65" s="535"/>
      <c r="F65" s="535"/>
      <c r="G65" s="535"/>
      <c r="H65" s="535"/>
      <c r="I65" s="535"/>
      <c r="J65" s="535"/>
      <c r="K65" s="535"/>
      <c r="L65" s="535"/>
      <c r="M65" s="536"/>
      <c r="N65" s="1150"/>
      <c r="O65" s="1150"/>
      <c r="P65" s="2676"/>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9"/>
      <c r="O66" s="1149"/>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6"/>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6"/>
      <c r="Q68" s="503"/>
    </row>
    <row r="69" spans="1:17" ht="15">
      <c r="A69" s="533"/>
      <c r="B69" s="547"/>
      <c r="C69" s="548"/>
      <c r="D69" s="548"/>
      <c r="E69" s="548"/>
      <c r="F69" s="548"/>
      <c r="G69" s="548"/>
      <c r="H69" s="548"/>
      <c r="I69" s="548"/>
      <c r="J69" s="548"/>
      <c r="K69" s="549"/>
      <c r="L69" s="550"/>
      <c r="M69" s="551"/>
      <c r="N69" s="1149"/>
      <c r="O69" s="1149"/>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6"/>
      <c r="Q70" s="503"/>
    </row>
    <row r="71" spans="1:17" s="470" customFormat="1" ht="15.75" thickTop="1">
      <c r="A71" s="552"/>
      <c r="B71" s="537">
        <f>B12</f>
        <v>111</v>
      </c>
      <c r="C71" s="553"/>
      <c r="D71" s="553"/>
      <c r="E71" s="553"/>
      <c r="F71" s="553"/>
      <c r="G71" s="553"/>
      <c r="H71" s="554"/>
      <c r="I71" s="554"/>
      <c r="J71" s="554"/>
      <c r="K71" s="554"/>
      <c r="L71" s="555"/>
      <c r="M71" s="556"/>
      <c r="N71" s="1151"/>
      <c r="O71" s="1151"/>
      <c r="P71" s="2677"/>
      <c r="Q71" s="558"/>
    </row>
    <row r="72" spans="1:17" s="470" customFormat="1" ht="15.75" thickBot="1">
      <c r="A72" s="552"/>
      <c r="B72" s="542"/>
      <c r="C72" s="559"/>
      <c r="D72" s="535"/>
      <c r="E72" s="535"/>
      <c r="F72" s="535"/>
      <c r="G72" s="535"/>
      <c r="H72" s="535"/>
      <c r="I72" s="535"/>
      <c r="J72" s="535"/>
      <c r="K72" s="535"/>
      <c r="L72" s="535"/>
      <c r="M72" s="536"/>
      <c r="N72" s="1150"/>
      <c r="O72" s="1150"/>
      <c r="P72" s="2677"/>
      <c r="Q72" s="558"/>
    </row>
    <row r="73" spans="1:17" s="470" customFormat="1" ht="15.75" thickTop="1">
      <c r="A73" s="552"/>
      <c r="B73" s="537">
        <f>B13</f>
        <v>111</v>
      </c>
      <c r="C73" s="553"/>
      <c r="D73" s="553"/>
      <c r="E73" s="553"/>
      <c r="F73" s="553"/>
      <c r="G73" s="553"/>
      <c r="H73" s="554"/>
      <c r="I73" s="554"/>
      <c r="J73" s="554"/>
      <c r="K73" s="554"/>
      <c r="L73" s="555"/>
      <c r="M73" s="556"/>
      <c r="N73" s="1151"/>
      <c r="O73" s="1151"/>
      <c r="P73" s="2678"/>
      <c r="Q73" s="560"/>
    </row>
    <row r="74" spans="1:17" s="470" customFormat="1" ht="15.75" thickBot="1">
      <c r="A74" s="552"/>
      <c r="B74" s="542"/>
      <c r="C74" s="559"/>
      <c r="D74" s="559"/>
      <c r="E74" s="559"/>
      <c r="F74" s="559"/>
      <c r="G74" s="559"/>
      <c r="H74" s="561"/>
      <c r="I74" s="561"/>
      <c r="J74" s="561"/>
      <c r="K74" s="561"/>
      <c r="L74" s="561"/>
      <c r="M74" s="562"/>
      <c r="N74" s="1151"/>
      <c r="O74" s="1151"/>
      <c r="P74" s="2677"/>
      <c r="Q74" s="558"/>
    </row>
    <row r="75" spans="1:17" s="470" customFormat="1" ht="15.75" thickTop="1">
      <c r="A75" s="552"/>
      <c r="B75" s="545">
        <f>B14</f>
        <v>111</v>
      </c>
      <c r="C75" s="522"/>
      <c r="D75" s="522"/>
      <c r="E75" s="522"/>
      <c r="F75" s="522"/>
      <c r="G75" s="522"/>
      <c r="H75" s="563"/>
      <c r="I75" s="563"/>
      <c r="J75" s="563"/>
      <c r="K75" s="563"/>
      <c r="L75" s="564"/>
      <c r="M75" s="565"/>
      <c r="N75" s="1151"/>
      <c r="O75" s="1151"/>
      <c r="P75" s="2679"/>
      <c r="Q75" s="558"/>
    </row>
    <row r="76" spans="1:17" s="470" customFormat="1" ht="15.75" thickBot="1">
      <c r="A76" s="567"/>
      <c r="B76" s="568"/>
      <c r="C76" s="569"/>
      <c r="D76" s="569"/>
      <c r="E76" s="569"/>
      <c r="F76" s="569"/>
      <c r="G76" s="569"/>
      <c r="H76" s="570"/>
      <c r="I76" s="570"/>
      <c r="J76" s="570"/>
      <c r="K76" s="570"/>
      <c r="L76" s="570"/>
      <c r="M76" s="571"/>
      <c r="N76" s="1151"/>
      <c r="O76" s="1151"/>
      <c r="P76" s="2677"/>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9"/>
      <c r="O77" s="1149"/>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6"/>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9"/>
      <c r="O79" s="1149"/>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6"/>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9"/>
      <c r="O81" s="1149"/>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6"/>
      <c r="Q82" s="503"/>
    </row>
    <row r="83" spans="1:17" ht="15.75" thickTop="1">
      <c r="A83" s="533"/>
      <c r="B83" s="545" t="s">
        <v>2677</v>
      </c>
      <c r="C83" s="659" t="s">
        <v>2663</v>
      </c>
      <c r="D83" s="659" t="s">
        <v>2664</v>
      </c>
      <c r="E83" s="659" t="s">
        <v>2665</v>
      </c>
      <c r="F83" s="659" t="s">
        <v>2666</v>
      </c>
      <c r="G83" s="659" t="s">
        <v>2667</v>
      </c>
      <c r="H83" s="538"/>
      <c r="I83" s="538"/>
      <c r="J83" s="538"/>
      <c r="K83" s="538"/>
      <c r="L83" s="538"/>
      <c r="M83" s="1379"/>
      <c r="N83" s="1150"/>
      <c r="O83" s="1150"/>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6"/>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9"/>
      <c r="O85" s="1149"/>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6"/>
      <c r="Q86" s="503"/>
    </row>
    <row r="87" spans="1:17" s="117" customFormat="1" ht="27.75" thickTop="1">
      <c r="A87" s="578"/>
      <c r="B87" s="537" t="s">
        <v>2687</v>
      </c>
      <c r="C87" s="553"/>
      <c r="D87" s="553"/>
      <c r="E87" s="553"/>
      <c r="F87" s="553"/>
      <c r="G87" s="553"/>
      <c r="H87" s="553"/>
      <c r="I87" s="553"/>
      <c r="J87" s="553"/>
      <c r="K87" s="553"/>
      <c r="L87" s="579"/>
      <c r="M87" s="580"/>
      <c r="N87" s="1148"/>
      <c r="O87" s="1148"/>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6"/>
      <c r="Q88" s="503"/>
    </row>
    <row r="89" spans="1:17" s="117" customFormat="1" ht="15.75" thickTop="1">
      <c r="A89" s="578"/>
      <c r="B89" s="537" t="str">
        <f>B27</f>
        <v>楼层</v>
      </c>
      <c r="C89" s="553"/>
      <c r="D89" s="553"/>
      <c r="E89" s="553"/>
      <c r="F89" s="2627"/>
      <c r="G89" s="553"/>
      <c r="H89" s="553"/>
      <c r="I89" s="553"/>
      <c r="J89" s="553"/>
      <c r="K89" s="553"/>
      <c r="L89" s="553"/>
      <c r="M89" s="580"/>
      <c r="N89" s="1148"/>
      <c r="O89" s="1148"/>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6"/>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7"/>
      <c r="Q92" s="558"/>
    </row>
    <row r="93" spans="1:17" ht="15.75" thickTop="1">
      <c r="A93" s="533"/>
      <c r="B93" s="537">
        <f>B29</f>
        <v>111</v>
      </c>
      <c r="C93" s="553"/>
      <c r="D93" s="553"/>
      <c r="E93" s="553"/>
      <c r="F93" s="553"/>
      <c r="G93" s="553"/>
      <c r="H93" s="553"/>
      <c r="I93" s="553"/>
      <c r="J93" s="553"/>
      <c r="K93" s="553"/>
      <c r="L93" s="579"/>
      <c r="M93" s="580"/>
      <c r="N93" s="1149"/>
      <c r="O93" s="1149"/>
      <c r="P93" s="2676"/>
      <c r="Q93" s="503"/>
    </row>
    <row r="94" spans="1:17" ht="15.75" thickBot="1">
      <c r="A94" s="533"/>
      <c r="B94" s="542"/>
      <c r="C94" s="559"/>
      <c r="D94" s="535"/>
      <c r="E94" s="535"/>
      <c r="F94" s="535"/>
      <c r="G94" s="535"/>
      <c r="H94" s="535"/>
      <c r="I94" s="535"/>
      <c r="J94" s="535"/>
      <c r="K94" s="535"/>
      <c r="L94" s="535"/>
      <c r="M94" s="536"/>
      <c r="N94" s="1150"/>
      <c r="O94" s="1150"/>
      <c r="P94" s="2676"/>
      <c r="Q94" s="503"/>
    </row>
    <row r="95" spans="1:17" ht="15.75" thickTop="1">
      <c r="A95" s="533"/>
      <c r="B95" s="537">
        <f>B30</f>
        <v>111</v>
      </c>
      <c r="C95" s="553"/>
      <c r="D95" s="553"/>
      <c r="E95" s="553"/>
      <c r="F95" s="553"/>
      <c r="G95" s="582"/>
      <c r="H95" s="582"/>
      <c r="I95" s="582"/>
      <c r="J95" s="582"/>
      <c r="K95" s="583"/>
      <c r="L95" s="584"/>
      <c r="M95" s="585"/>
      <c r="N95" s="1149"/>
      <c r="O95" s="1149"/>
      <c r="P95" s="2676"/>
      <c r="Q95" s="503"/>
    </row>
    <row r="96" spans="1:17" ht="15.75" thickBot="1">
      <c r="A96" s="533"/>
      <c r="B96" s="542"/>
      <c r="C96" s="559"/>
      <c r="D96" s="559"/>
      <c r="E96" s="559"/>
      <c r="F96" s="559"/>
      <c r="G96" s="535"/>
      <c r="H96" s="535"/>
      <c r="I96" s="535"/>
      <c r="J96" s="535"/>
      <c r="K96" s="535"/>
      <c r="L96" s="535"/>
      <c r="M96" s="536"/>
      <c r="N96" s="1150"/>
      <c r="O96" s="1150"/>
      <c r="P96" s="2676"/>
      <c r="Q96" s="503"/>
    </row>
    <row r="97" spans="1:17" ht="15.75" thickTop="1">
      <c r="A97" s="533"/>
      <c r="B97" s="537">
        <f>B31</f>
        <v>111</v>
      </c>
      <c r="C97" s="553"/>
      <c r="D97" s="553"/>
      <c r="E97" s="553"/>
      <c r="F97" s="553"/>
      <c r="G97" s="582"/>
      <c r="H97" s="582"/>
      <c r="I97" s="582"/>
      <c r="J97" s="582"/>
      <c r="K97" s="583"/>
      <c r="L97" s="584"/>
      <c r="M97" s="585"/>
      <c r="N97" s="1149"/>
      <c r="O97" s="1149"/>
      <c r="P97" s="2676"/>
      <c r="Q97" s="503"/>
    </row>
    <row r="98" spans="1:17" ht="15.75" thickBot="1">
      <c r="A98" s="533"/>
      <c r="B98" s="542"/>
      <c r="C98" s="559"/>
      <c r="D98" s="535"/>
      <c r="E98" s="535"/>
      <c r="F98" s="535"/>
      <c r="G98" s="535"/>
      <c r="H98" s="535"/>
      <c r="I98" s="535"/>
      <c r="J98" s="535"/>
      <c r="K98" s="535"/>
      <c r="L98" s="535"/>
      <c r="M98" s="536"/>
      <c r="N98" s="1150"/>
      <c r="O98" s="1150"/>
      <c r="P98" s="2676"/>
      <c r="Q98" s="503"/>
    </row>
    <row r="99" spans="1:17" ht="15.75" thickTop="1">
      <c r="A99" s="533"/>
      <c r="B99" s="545">
        <f>B32</f>
        <v>111</v>
      </c>
      <c r="C99" s="522"/>
      <c r="D99" s="522"/>
      <c r="E99" s="522"/>
      <c r="F99" s="522"/>
      <c r="G99" s="586"/>
      <c r="H99" s="586"/>
      <c r="I99" s="586"/>
      <c r="J99" s="586"/>
      <c r="K99" s="587"/>
      <c r="L99" s="588"/>
      <c r="M99" s="589"/>
      <c r="N99" s="1149"/>
      <c r="O99" s="1149"/>
      <c r="P99" s="2676"/>
      <c r="Q99" s="503"/>
    </row>
    <row r="100" spans="1:17" ht="15.75" thickBot="1">
      <c r="A100" s="2628"/>
      <c r="B100" s="568"/>
      <c r="C100" s="569"/>
      <c r="D100" s="569"/>
      <c r="E100" s="569"/>
      <c r="F100" s="569"/>
      <c r="G100" s="590"/>
      <c r="H100" s="590"/>
      <c r="I100" s="590"/>
      <c r="J100" s="590"/>
      <c r="K100" s="590"/>
      <c r="L100" s="590"/>
      <c r="M100" s="591"/>
      <c r="N100" s="1150"/>
      <c r="O100" s="1150"/>
      <c r="P100" s="2676"/>
      <c r="Q100" s="503"/>
    </row>
    <row r="101" spans="1:17">
      <c r="A101" s="526" t="s">
        <v>2551</v>
      </c>
      <c r="B101" s="527" t="s">
        <v>2600</v>
      </c>
      <c r="C101" s="529"/>
      <c r="D101" s="529"/>
      <c r="E101" s="529"/>
      <c r="F101" s="529"/>
      <c r="G101" s="529"/>
      <c r="H101" s="529"/>
      <c r="I101" s="529"/>
      <c r="J101" s="529"/>
      <c r="K101" s="530"/>
      <c r="L101" s="531"/>
      <c r="M101" s="532"/>
      <c r="N101" s="1149"/>
      <c r="O101" s="1149"/>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6"/>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6"/>
      <c r="Q103" s="503"/>
    </row>
    <row r="104" spans="1:17" s="470" customFormat="1">
      <c r="A104" s="592"/>
      <c r="B104" s="593"/>
      <c r="C104" s="594"/>
      <c r="D104" s="594"/>
      <c r="E104" s="594"/>
      <c r="F104" s="594"/>
      <c r="G104" s="594"/>
      <c r="H104" s="594"/>
      <c r="I104" s="594"/>
      <c r="J104" s="595"/>
      <c r="K104" s="595"/>
      <c r="L104" s="596"/>
      <c r="M104" s="597"/>
      <c r="N104" s="1151"/>
      <c r="O104" s="1151"/>
      <c r="P104" s="2677"/>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7"/>
      <c r="Q105" s="558"/>
    </row>
    <row r="106" spans="1:17" ht="15" thickTop="1">
      <c r="A106" s="598"/>
      <c r="B106" s="537" t="s">
        <v>2602</v>
      </c>
      <c r="C106" s="553"/>
      <c r="D106" s="553"/>
      <c r="E106" s="582"/>
      <c r="F106" s="582"/>
      <c r="G106" s="582"/>
      <c r="H106" s="582"/>
      <c r="I106" s="582"/>
      <c r="J106" s="582"/>
      <c r="K106" s="583"/>
      <c r="L106" s="584"/>
      <c r="M106" s="585"/>
      <c r="N106" s="1149"/>
      <c r="O106" s="1149"/>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6"/>
      <c r="Q107" s="503"/>
    </row>
    <row r="108" spans="1:17" ht="15" thickTop="1">
      <c r="A108" s="598"/>
      <c r="B108" s="537" t="s">
        <v>2604</v>
      </c>
      <c r="C108" s="553"/>
      <c r="D108" s="553"/>
      <c r="E108" s="553"/>
      <c r="F108" s="582"/>
      <c r="G108" s="582"/>
      <c r="H108" s="582"/>
      <c r="I108" s="582"/>
      <c r="J108" s="582"/>
      <c r="K108" s="583"/>
      <c r="L108" s="584"/>
      <c r="M108" s="585"/>
      <c r="N108" s="1149"/>
      <c r="O108" s="1149"/>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6"/>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6"/>
      <c r="Q112" s="503"/>
    </row>
    <row r="113" spans="1:17" s="470" customFormat="1" ht="15" thickTop="1">
      <c r="A113" s="592"/>
      <c r="B113" s="537" t="s">
        <v>2688</v>
      </c>
      <c r="C113" s="553"/>
      <c r="D113" s="553"/>
      <c r="E113" s="553"/>
      <c r="F113" s="553"/>
      <c r="G113" s="553"/>
      <c r="H113" s="582"/>
      <c r="I113" s="582"/>
      <c r="J113" s="582"/>
      <c r="K113" s="583"/>
      <c r="L113" s="584"/>
      <c r="M113" s="585"/>
      <c r="N113" s="1151"/>
      <c r="O113" s="1151"/>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7"/>
      <c r="Q114" s="558"/>
    </row>
    <row r="115" spans="1:17" ht="15" thickTop="1">
      <c r="A115" s="598"/>
      <c r="B115" s="537" t="s">
        <v>2605</v>
      </c>
      <c r="C115" s="553"/>
      <c r="D115" s="553"/>
      <c r="E115" s="582"/>
      <c r="F115" s="582"/>
      <c r="G115" s="582"/>
      <c r="H115" s="582"/>
      <c r="I115" s="582"/>
      <c r="J115" s="582"/>
      <c r="K115" s="583"/>
      <c r="L115" s="584"/>
      <c r="M115" s="585"/>
      <c r="N115" s="1149"/>
      <c r="O115" s="1149"/>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6"/>
      <c r="Q116" s="503"/>
    </row>
    <row r="117" spans="1:17" ht="15" thickTop="1">
      <c r="A117" s="598"/>
      <c r="B117" s="537" t="s">
        <v>2606</v>
      </c>
      <c r="C117" s="553"/>
      <c r="D117" s="553"/>
      <c r="E117" s="553"/>
      <c r="F117" s="553"/>
      <c r="G117" s="553"/>
      <c r="H117" s="582"/>
      <c r="I117" s="582"/>
      <c r="J117" s="582"/>
      <c r="K117" s="583"/>
      <c r="L117" s="584"/>
      <c r="M117" s="585"/>
      <c r="N117" s="1149"/>
      <c r="O117" s="1149"/>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6"/>
      <c r="Q118" s="503"/>
    </row>
    <row r="119" spans="1:17" ht="15" thickTop="1">
      <c r="A119" s="598"/>
      <c r="B119" s="635" t="s">
        <v>2689</v>
      </c>
      <c r="C119" s="582"/>
      <c r="D119" s="582"/>
      <c r="E119" s="582"/>
      <c r="F119" s="582"/>
      <c r="G119" s="582"/>
      <c r="H119" s="582"/>
      <c r="I119" s="582"/>
      <c r="J119" s="582"/>
      <c r="K119" s="582"/>
      <c r="L119" s="2681"/>
      <c r="M119" s="2682"/>
      <c r="N119" s="1150"/>
      <c r="O119" s="1150"/>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6"/>
      <c r="Q120" s="503"/>
    </row>
    <row r="121" spans="1:17" s="470" customFormat="1" ht="15" thickTop="1">
      <c r="A121" s="592"/>
      <c r="B121" s="537" t="s">
        <v>2672</v>
      </c>
      <c r="C121" s="553"/>
      <c r="D121" s="553"/>
      <c r="E121" s="553"/>
      <c r="F121" s="582"/>
      <c r="G121" s="554"/>
      <c r="H121" s="554"/>
      <c r="I121" s="554"/>
      <c r="J121" s="554"/>
      <c r="K121" s="554"/>
      <c r="L121" s="555"/>
      <c r="M121" s="556"/>
      <c r="N121" s="1151"/>
      <c r="O121" s="1151"/>
      <c r="P121" s="2677"/>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7"/>
      <c r="Q122" s="558"/>
    </row>
    <row r="123" spans="1:17" ht="15" thickTop="1">
      <c r="A123" s="598"/>
      <c r="B123" s="537" t="s">
        <v>2608</v>
      </c>
      <c r="C123" s="553"/>
      <c r="D123" s="553"/>
      <c r="E123" s="553"/>
      <c r="F123" s="582"/>
      <c r="G123" s="582"/>
      <c r="H123" s="582"/>
      <c r="I123" s="582"/>
      <c r="J123" s="582"/>
      <c r="K123" s="583"/>
      <c r="L123" s="584"/>
      <c r="M123" s="585"/>
      <c r="N123" s="1149"/>
      <c r="O123" s="1149"/>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6"/>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9"/>
      <c r="O125" s="1149"/>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6"/>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7"/>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7"/>
      <c r="Q128" s="558"/>
    </row>
    <row r="129" spans="1:17" ht="15" thickTop="1">
      <c r="A129" s="598"/>
      <c r="B129" s="537">
        <f>B46</f>
        <v>111</v>
      </c>
      <c r="C129" s="553"/>
      <c r="D129" s="553"/>
      <c r="E129" s="553"/>
      <c r="F129" s="553"/>
      <c r="G129" s="582"/>
      <c r="H129" s="582"/>
      <c r="I129" s="582"/>
      <c r="J129" s="582"/>
      <c r="K129" s="583"/>
      <c r="L129" s="584"/>
      <c r="M129" s="585"/>
      <c r="N129" s="1149"/>
      <c r="O129" s="1149"/>
      <c r="P129" s="2676"/>
      <c r="Q129" s="503"/>
    </row>
    <row r="130" spans="1:17" ht="15.75" thickBot="1">
      <c r="A130" s="533"/>
      <c r="B130" s="542"/>
      <c r="C130" s="559"/>
      <c r="D130" s="559"/>
      <c r="E130" s="559"/>
      <c r="F130" s="559"/>
      <c r="G130" s="535"/>
      <c r="H130" s="535"/>
      <c r="I130" s="535"/>
      <c r="J130" s="535"/>
      <c r="K130" s="535"/>
      <c r="L130" s="535"/>
      <c r="M130" s="536"/>
      <c r="N130" s="1150"/>
      <c r="O130" s="1150"/>
      <c r="P130" s="2676"/>
      <c r="Q130" s="503"/>
    </row>
    <row r="131" spans="1:17" ht="15" thickTop="1">
      <c r="A131" s="598"/>
      <c r="B131" s="545">
        <f>B47</f>
        <v>111</v>
      </c>
      <c r="C131" s="522"/>
      <c r="D131" s="522"/>
      <c r="E131" s="522"/>
      <c r="F131" s="522"/>
      <c r="G131" s="586"/>
      <c r="H131" s="586"/>
      <c r="I131" s="586"/>
      <c r="J131" s="586"/>
      <c r="K131" s="522"/>
      <c r="L131" s="523"/>
      <c r="M131" s="589"/>
      <c r="N131" s="1149"/>
      <c r="O131" s="1149"/>
      <c r="P131" s="2676"/>
      <c r="Q131" s="503"/>
    </row>
    <row r="132" spans="1:17" ht="15.75" thickBot="1">
      <c r="A132" s="2628"/>
      <c r="B132" s="568"/>
      <c r="C132" s="569"/>
      <c r="D132" s="569"/>
      <c r="E132" s="569"/>
      <c r="F132" s="569"/>
      <c r="G132" s="590"/>
      <c r="H132" s="590"/>
      <c r="I132" s="590"/>
      <c r="J132" s="590"/>
      <c r="K132" s="590"/>
      <c r="L132" s="590"/>
      <c r="M132" s="591"/>
      <c r="N132" s="1150"/>
      <c r="O132" s="1150"/>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1" t="s">
        <v>2690</v>
      </c>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IF(C2="——",ROUND(C43*D3/10000,0),ROUND(C43*D3/10000,0)-D2)</f>
        <v>#DIV/0!</v>
      </c>
      <c r="C2" s="2578"/>
      <c r="D2" s="1121" t="e">
        <f ca="1">SUMIF(INDIRECT("'"&amp;F2&amp;"'"&amp;"!A:A"),"承租人权益价值",INDIRECT("'"&amp;F2&amp;"'"&amp;"!c:c"))</f>
        <v>#REF!</v>
      </c>
      <c r="E2" s="2579" t="s">
        <v>2319</v>
      </c>
      <c r="F2" s="2580"/>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2320</v>
      </c>
      <c r="B3" s="608" t="e">
        <f ca="1">IF(C2="——",C43,ROUND(B2*10000/D3,0))</f>
        <v>#DIV/0!</v>
      </c>
      <c r="C3" s="399" t="s">
        <v>2632</v>
      </c>
      <c r="D3" s="398">
        <f>IF(D1="",'数据-汇总表'!E3,SUMIF('数据-汇总表'!$C19:$C33,D1,'数据-汇总表'!$E19:$E33))</f>
        <v>75745.560000000012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49" t="s">
        <v>2634</v>
      </c>
      <c r="D4" s="3262"/>
      <c r="E4" s="3263" t="s">
        <v>2635</v>
      </c>
      <c r="F4" s="3264"/>
      <c r="G4" s="3249" t="s">
        <v>2636</v>
      </c>
      <c r="H4" s="3262"/>
      <c r="I4" s="3249" t="s">
        <v>2637</v>
      </c>
      <c r="J4" s="3262"/>
      <c r="K4" s="609" t="s">
        <v>2638</v>
      </c>
      <c r="L4" s="1127"/>
      <c r="M4" s="1128"/>
      <c r="N4" s="1128"/>
      <c r="O4" s="1128"/>
      <c r="P4" s="3265" t="s">
        <v>2639</v>
      </c>
      <c r="Q4" s="3266"/>
      <c r="R4" s="3271" t="s">
        <v>2635</v>
      </c>
      <c r="S4" s="3272"/>
      <c r="T4" s="3271" t="s">
        <v>2636</v>
      </c>
      <c r="U4" s="3272"/>
      <c r="V4" s="3258" t="s">
        <v>2637</v>
      </c>
      <c r="W4" s="3258"/>
      <c r="X4" s="1809"/>
      <c r="Y4" s="3271" t="s">
        <v>2639</v>
      </c>
      <c r="Z4" s="3272"/>
      <c r="AA4" s="3259" t="s">
        <v>2635</v>
      </c>
      <c r="AB4" s="3260" t="s">
        <v>2636</v>
      </c>
      <c r="AC4" s="3259" t="s">
        <v>2637</v>
      </c>
    </row>
    <row r="5" spans="1:29" ht="15">
      <c r="A5" s="403"/>
      <c r="B5" s="404"/>
      <c r="C5" s="3279" t="s">
        <v>2530</v>
      </c>
      <c r="D5" s="3280"/>
      <c r="E5" s="3286" t="s">
        <v>2531</v>
      </c>
      <c r="F5" s="3287"/>
      <c r="G5" s="3279" t="s">
        <v>2532</v>
      </c>
      <c r="H5" s="3280"/>
      <c r="I5" s="3279" t="s">
        <v>2533</v>
      </c>
      <c r="J5" s="3280"/>
      <c r="K5" s="609"/>
      <c r="L5" s="1127"/>
      <c r="M5" s="1128"/>
      <c r="N5" s="1128"/>
      <c r="O5" s="1128"/>
      <c r="P5" s="3267"/>
      <c r="Q5" s="3268"/>
      <c r="R5" s="3273"/>
      <c r="S5" s="3274"/>
      <c r="T5" s="3273"/>
      <c r="U5" s="3274"/>
      <c r="V5" s="3258"/>
      <c r="W5" s="3258"/>
      <c r="X5" s="1809"/>
      <c r="Y5" s="3273"/>
      <c r="Z5" s="3274"/>
      <c r="AA5" s="3260"/>
      <c r="AB5" s="3260"/>
      <c r="AC5" s="3260"/>
    </row>
    <row r="6" spans="1:29" ht="15.75" thickBot="1">
      <c r="A6" s="405"/>
      <c r="B6" s="406"/>
      <c r="C6" s="3277" t="s">
        <v>2534</v>
      </c>
      <c r="D6" s="3278"/>
      <c r="E6" s="3284" t="s">
        <v>2534</v>
      </c>
      <c r="F6" s="3285"/>
      <c r="G6" s="3277" t="s">
        <v>2534</v>
      </c>
      <c r="H6" s="3278"/>
      <c r="I6" s="3277" t="s">
        <v>2534</v>
      </c>
      <c r="J6" s="3278"/>
      <c r="K6" s="609" t="s">
        <v>2535</v>
      </c>
      <c r="L6" s="1127"/>
      <c r="M6" s="1128"/>
      <c r="N6" s="1128"/>
      <c r="O6" s="1128"/>
      <c r="P6" s="3269"/>
      <c r="Q6" s="3270"/>
      <c r="R6" s="3273"/>
      <c r="S6" s="3274"/>
      <c r="T6" s="3275"/>
      <c r="U6" s="3276"/>
      <c r="V6" s="3258"/>
      <c r="W6" s="3258"/>
      <c r="X6" s="1809"/>
      <c r="Y6" s="3275"/>
      <c r="Z6" s="3276"/>
      <c r="AA6" s="3261"/>
      <c r="AB6" s="3261"/>
      <c r="AC6" s="3261"/>
    </row>
    <row r="7" spans="1:29" s="117" customFormat="1" ht="15.75" thickBot="1">
      <c r="A7" s="407" t="s">
        <v>2536</v>
      </c>
      <c r="B7" s="408"/>
      <c r="C7" s="409">
        <f>'数据-取费表'!B2</f>
        <v>43525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81" t="s">
        <v>2537</v>
      </c>
      <c r="Q7" s="3283"/>
      <c r="R7" s="769" t="s">
        <v>17</v>
      </c>
      <c r="S7" s="770">
        <f t="shared" ref="S7:S15" si="0">F7</f>
        <v>0</v>
      </c>
      <c r="T7" s="769" t="s">
        <v>17</v>
      </c>
      <c r="U7" s="770">
        <f t="shared" ref="U7:U15" si="1">H7</f>
        <v>0</v>
      </c>
      <c r="V7" s="769" t="s">
        <v>17</v>
      </c>
      <c r="W7" s="770">
        <f t="shared" ref="W7:W15" si="2">J7</f>
        <v>0</v>
      </c>
      <c r="X7" s="771"/>
      <c r="Y7" s="3281" t="s">
        <v>2537</v>
      </c>
      <c r="Z7" s="3282"/>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81" t="s">
        <v>2540</v>
      </c>
      <c r="Q8" s="3282"/>
      <c r="R8" s="769" t="s">
        <v>17</v>
      </c>
      <c r="S8" s="770">
        <f t="shared" si="0"/>
        <v>0</v>
      </c>
      <c r="T8" s="769" t="s">
        <v>17</v>
      </c>
      <c r="U8" s="770">
        <f t="shared" si="1"/>
        <v>0</v>
      </c>
      <c r="V8" s="769" t="s">
        <v>17</v>
      </c>
      <c r="W8" s="770">
        <f t="shared" si="2"/>
        <v>0</v>
      </c>
      <c r="X8" s="771"/>
      <c r="Y8" s="3281" t="s">
        <v>2540</v>
      </c>
      <c r="Z8" s="3282"/>
      <c r="AA8" s="772" t="e">
        <f t="shared" ref="AA8:AA40" si="3">D8/F8</f>
        <v>#DIV/0!</v>
      </c>
      <c r="AB8" s="772" t="e">
        <f t="shared" ref="AB8:AB40" si="4">D8/H8</f>
        <v>#DIV/0!</v>
      </c>
      <c r="AC8" s="772" t="e">
        <f t="shared" ref="AC8:AC40" si="5">D8/J8</f>
        <v>#DIV/0!</v>
      </c>
    </row>
    <row r="9" spans="1:29" s="117" customFormat="1">
      <c r="A9" s="414" t="s">
        <v>2541</v>
      </c>
      <c r="B9" s="71" t="s">
        <v>2542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52" t="s">
        <v>2543</v>
      </c>
      <c r="Q9" s="1791" t="str">
        <f t="shared" ref="Q9:Q15" si="6">B9</f>
        <v>用途</v>
      </c>
      <c r="R9" s="769" t="s">
        <v>17</v>
      </c>
      <c r="S9" s="770">
        <f t="shared" si="0"/>
        <v>100</v>
      </c>
      <c r="T9" s="769" t="s">
        <v>17</v>
      </c>
      <c r="U9" s="770">
        <f t="shared" si="1"/>
        <v>100</v>
      </c>
      <c r="V9" s="769" t="s">
        <v>17</v>
      </c>
      <c r="W9" s="770">
        <f t="shared" si="2"/>
        <v>100</v>
      </c>
      <c r="X9" s="771"/>
      <c r="Y9" s="3075" t="s">
        <v>2544</v>
      </c>
      <c r="Z9" s="55" t="str">
        <f t="shared" ref="Z9:Z15" si="7">Q9</f>
        <v>用途</v>
      </c>
      <c r="AA9" s="772">
        <f t="shared" si="3"/>
        <v>1</v>
      </c>
      <c r="AB9" s="772">
        <f t="shared" si="4"/>
        <v>1</v>
      </c>
      <c r="AC9" s="772">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52"/>
      <c r="Q10" s="1791"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52"/>
      <c r="Q11" s="1791"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29"/>
      <c r="M12" s="1130"/>
      <c r="N12" s="1130"/>
      <c r="O12" s="1131"/>
      <c r="P12" s="3252"/>
      <c r="Q12" s="1791">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7"/>
      <c r="M13" s="1128"/>
      <c r="N13" s="1128"/>
      <c r="O13" s="1136"/>
      <c r="P13" s="3252"/>
      <c r="Q13" s="1791">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7"/>
      <c r="M14" s="1128"/>
      <c r="N14" s="1128"/>
      <c r="O14" s="1136"/>
      <c r="P14" s="3252"/>
      <c r="Q14" s="1791">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39" t="s">
        <v>2547</v>
      </c>
      <c r="B15" s="69" t="s">
        <v>2691</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54" t="s">
        <v>2548</v>
      </c>
      <c r="Q15" s="1806" t="str">
        <f t="shared" si="6"/>
        <v>产业集聚程度</v>
      </c>
      <c r="R15" s="773" t="s">
        <v>17</v>
      </c>
      <c r="S15" s="774">
        <f t="shared" si="0"/>
        <v>100</v>
      </c>
      <c r="T15" s="773" t="s">
        <v>17</v>
      </c>
      <c r="U15" s="774">
        <f t="shared" si="1"/>
        <v>100</v>
      </c>
      <c r="V15" s="773" t="s">
        <v>17</v>
      </c>
      <c r="W15" s="774">
        <f t="shared" si="2"/>
        <v>100</v>
      </c>
      <c r="X15" s="1809"/>
      <c r="Y15" s="3254" t="s">
        <v>2548</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55"/>
      <c r="Q16" s="1806"/>
      <c r="R16" s="773"/>
      <c r="S16" s="774"/>
      <c r="T16" s="773"/>
      <c r="U16" s="774"/>
      <c r="V16" s="773"/>
      <c r="W16" s="774"/>
      <c r="X16" s="1809"/>
      <c r="Y16" s="3255"/>
      <c r="Z16" s="1810"/>
      <c r="AA16" s="1807">
        <v>1</v>
      </c>
      <c r="AB16" s="1807">
        <v>1</v>
      </c>
      <c r="AC16" s="1807">
        <v>1</v>
      </c>
    </row>
    <row r="17" spans="1:29" ht="85.5">
      <c r="A17" s="427"/>
      <c r="B17" s="450" t="s">
        <v>2090</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55"/>
      <c r="Q17" s="1806" t="str">
        <f>B17</f>
        <v>交通便捷度</v>
      </c>
      <c r="R17" s="773" t="s">
        <v>17</v>
      </c>
      <c r="S17" s="774">
        <f>F17</f>
        <v>100</v>
      </c>
      <c r="T17" s="773" t="s">
        <v>17</v>
      </c>
      <c r="U17" s="774">
        <f>H17</f>
        <v>100</v>
      </c>
      <c r="V17" s="773" t="s">
        <v>17</v>
      </c>
      <c r="W17" s="774">
        <f>J17</f>
        <v>100</v>
      </c>
      <c r="X17" s="1809"/>
      <c r="Y17" s="3255"/>
      <c r="Z17" s="1810" t="str">
        <f>Q17</f>
        <v>交通便捷度</v>
      </c>
      <c r="AA17" s="1807">
        <f t="shared" si="3"/>
        <v>1</v>
      </c>
      <c r="AB17" s="1807">
        <f t="shared" si="4"/>
        <v>1</v>
      </c>
      <c r="AC17" s="1807">
        <f t="shared" si="5"/>
        <v>1</v>
      </c>
    </row>
    <row r="18" spans="1:29" ht="15">
      <c r="A18" s="427"/>
      <c r="B18" s="455"/>
      <c r="C18" s="2600"/>
      <c r="D18" s="449"/>
      <c r="E18" s="2602"/>
      <c r="F18" s="452"/>
      <c r="G18" s="2601"/>
      <c r="H18" s="447"/>
      <c r="I18" s="2602"/>
      <c r="J18" s="447"/>
      <c r="K18" s="614"/>
      <c r="L18" s="1137"/>
      <c r="M18" s="1128"/>
      <c r="N18" s="1128"/>
      <c r="O18" s="1136"/>
      <c r="P18" s="3255"/>
      <c r="Q18" s="1806"/>
      <c r="R18" s="773"/>
      <c r="S18" s="774"/>
      <c r="T18" s="773"/>
      <c r="U18" s="774"/>
      <c r="V18" s="773"/>
      <c r="W18" s="774"/>
      <c r="X18" s="1809"/>
      <c r="Y18" s="3255"/>
      <c r="Z18" s="1810"/>
      <c r="AA18" s="1807">
        <v>1</v>
      </c>
      <c r="AB18" s="1807">
        <v>1</v>
      </c>
      <c r="AC18" s="1807">
        <v>1</v>
      </c>
    </row>
    <row r="19" spans="1:29" ht="42.75">
      <c r="A19" s="427"/>
      <c r="B19" s="450" t="s">
        <v>2676</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55"/>
      <c r="Q19" s="1806" t="str">
        <f>B19</f>
        <v>公共配套设施</v>
      </c>
      <c r="R19" s="773" t="s">
        <v>17</v>
      </c>
      <c r="S19" s="774">
        <f>F19</f>
        <v>100</v>
      </c>
      <c r="T19" s="773" t="s">
        <v>17</v>
      </c>
      <c r="U19" s="774">
        <f>H19</f>
        <v>100</v>
      </c>
      <c r="V19" s="773" t="s">
        <v>17</v>
      </c>
      <c r="W19" s="774">
        <f>J19</f>
        <v>100</v>
      </c>
      <c r="X19" s="1809"/>
      <c r="Y19" s="3255"/>
      <c r="Z19" s="1810" t="str">
        <f>Q19</f>
        <v>公共配套设施</v>
      </c>
      <c r="AA19" s="1807">
        <f t="shared" si="3"/>
        <v>1</v>
      </c>
      <c r="AB19" s="1807">
        <f t="shared" si="4"/>
        <v>1</v>
      </c>
      <c r="AC19" s="1807">
        <f t="shared" si="5"/>
        <v>1</v>
      </c>
    </row>
    <row r="20" spans="1:29" ht="15">
      <c r="A20" s="427"/>
      <c r="B20" s="455"/>
      <c r="C20" s="446"/>
      <c r="D20" s="447"/>
      <c r="E20" s="2597"/>
      <c r="F20" s="448"/>
      <c r="G20" s="2596"/>
      <c r="H20" s="447"/>
      <c r="I20" s="2597"/>
      <c r="J20" s="447"/>
      <c r="K20" s="614"/>
      <c r="L20" s="1137"/>
      <c r="M20" s="1128"/>
      <c r="N20" s="1128"/>
      <c r="O20" s="1136"/>
      <c r="P20" s="3255"/>
      <c r="Q20" s="1806"/>
      <c r="R20" s="773"/>
      <c r="S20" s="774"/>
      <c r="T20" s="773"/>
      <c r="U20" s="774"/>
      <c r="V20" s="773"/>
      <c r="W20" s="774"/>
      <c r="X20" s="1809"/>
      <c r="Y20" s="3255"/>
      <c r="Z20" s="1810"/>
      <c r="AA20" s="1807">
        <v>1</v>
      </c>
      <c r="AB20" s="1807">
        <v>1</v>
      </c>
      <c r="AC20" s="1807">
        <v>1</v>
      </c>
    </row>
    <row r="21" spans="1:29" ht="28.5">
      <c r="A21" s="427"/>
      <c r="B21" s="1381" t="s">
        <v>2677</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55"/>
      <c r="Q21" s="1806" t="str">
        <f>B21</f>
        <v>基础设施水平</v>
      </c>
      <c r="R21" s="773" t="s">
        <v>17</v>
      </c>
      <c r="S21" s="774">
        <f>F21</f>
        <v>100</v>
      </c>
      <c r="T21" s="773" t="s">
        <v>17</v>
      </c>
      <c r="U21" s="774">
        <f>H21</f>
        <v>100</v>
      </c>
      <c r="V21" s="773" t="s">
        <v>17</v>
      </c>
      <c r="W21" s="774">
        <f>J21</f>
        <v>100</v>
      </c>
      <c r="X21" s="1809"/>
      <c r="Y21" s="3255"/>
      <c r="Z21" s="1810" t="str">
        <f>Q21</f>
        <v>基础设施水平</v>
      </c>
      <c r="AA21" s="1807">
        <f t="shared" ref="AA21" si="8">D21/F21</f>
        <v>1</v>
      </c>
      <c r="AB21" s="1807">
        <f t="shared" ref="AB21" si="9">D21/H21</f>
        <v>1</v>
      </c>
      <c r="AC21" s="1807">
        <f t="shared" ref="AC21" si="10">D21/J21</f>
        <v>1</v>
      </c>
    </row>
    <row r="22" spans="1:29" ht="15">
      <c r="A22" s="427"/>
      <c r="B22" s="1381"/>
      <c r="C22" s="2600"/>
      <c r="D22" s="447"/>
      <c r="E22" s="446"/>
      <c r="F22" s="448"/>
      <c r="G22" s="446"/>
      <c r="H22" s="447"/>
      <c r="I22" s="446"/>
      <c r="J22" s="447"/>
      <c r="K22" s="1380"/>
      <c r="L22" s="1137"/>
      <c r="M22" s="1128"/>
      <c r="N22" s="1128"/>
      <c r="O22" s="1136"/>
      <c r="P22" s="3255"/>
      <c r="Q22" s="1806"/>
      <c r="R22" s="773"/>
      <c r="S22" s="774"/>
      <c r="T22" s="773"/>
      <c r="U22" s="774"/>
      <c r="V22" s="773"/>
      <c r="W22" s="774"/>
      <c r="X22" s="1809"/>
      <c r="Y22" s="3255"/>
      <c r="Z22" s="1810"/>
      <c r="AA22" s="1807">
        <v>1</v>
      </c>
      <c r="AB22" s="1807">
        <v>1</v>
      </c>
      <c r="AC22" s="1807">
        <v>1</v>
      </c>
    </row>
    <row r="23" spans="1:29" ht="71.25">
      <c r="A23" s="427"/>
      <c r="B23" s="450" t="s">
        <v>2678</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55"/>
      <c r="Q23" s="1806" t="str">
        <f>B23</f>
        <v>环境质量</v>
      </c>
      <c r="R23" s="773" t="s">
        <v>17</v>
      </c>
      <c r="S23" s="774">
        <f>F23</f>
        <v>100</v>
      </c>
      <c r="T23" s="773" t="s">
        <v>17</v>
      </c>
      <c r="U23" s="774">
        <f>H23</f>
        <v>100</v>
      </c>
      <c r="V23" s="773" t="s">
        <v>17</v>
      </c>
      <c r="W23" s="774">
        <f>J23</f>
        <v>100</v>
      </c>
      <c r="X23" s="1809"/>
      <c r="Y23" s="3255"/>
      <c r="Z23" s="1810" t="str">
        <f>Q23</f>
        <v>环境质量</v>
      </c>
      <c r="AA23" s="1807">
        <f t="shared" si="3"/>
        <v>1</v>
      </c>
      <c r="AB23" s="1807">
        <f t="shared" si="4"/>
        <v>1</v>
      </c>
      <c r="AC23" s="1807">
        <f t="shared" si="5"/>
        <v>1</v>
      </c>
    </row>
    <row r="24" spans="1:29" ht="15">
      <c r="A24" s="427"/>
      <c r="B24" s="1381"/>
      <c r="C24" s="446"/>
      <c r="D24" s="447"/>
      <c r="E24" s="2597"/>
      <c r="F24" s="448"/>
      <c r="G24" s="2596"/>
      <c r="H24" s="447"/>
      <c r="I24" s="2597"/>
      <c r="J24" s="447"/>
      <c r="K24" s="614"/>
      <c r="L24" s="1137"/>
      <c r="M24" s="1128"/>
      <c r="N24" s="1128"/>
      <c r="O24" s="1136"/>
      <c r="P24" s="3255"/>
      <c r="Q24" s="1806"/>
      <c r="R24" s="773"/>
      <c r="S24" s="774"/>
      <c r="T24" s="773"/>
      <c r="U24" s="774"/>
      <c r="V24" s="773"/>
      <c r="W24" s="774"/>
      <c r="X24" s="1809"/>
      <c r="Y24" s="3255"/>
      <c r="Z24" s="1810"/>
      <c r="AA24" s="1807">
        <v>1</v>
      </c>
      <c r="AB24" s="1807">
        <v>1</v>
      </c>
      <c r="AC24" s="1807">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55"/>
      <c r="Q25" s="1806">
        <f>B25</f>
        <v>111</v>
      </c>
      <c r="R25" s="773" t="s">
        <v>17</v>
      </c>
      <c r="S25" s="774">
        <f>F25</f>
        <v>100</v>
      </c>
      <c r="T25" s="773" t="s">
        <v>17</v>
      </c>
      <c r="U25" s="774">
        <f>H25</f>
        <v>100</v>
      </c>
      <c r="V25" s="773" t="s">
        <v>17</v>
      </c>
      <c r="W25" s="774">
        <f>J25</f>
        <v>100</v>
      </c>
      <c r="X25" s="1809"/>
      <c r="Y25" s="3255"/>
      <c r="Z25" s="1810">
        <f>Q25</f>
        <v>111</v>
      </c>
      <c r="AA25" s="1807">
        <f t="shared" si="3"/>
        <v>1</v>
      </c>
      <c r="AB25" s="1807">
        <f t="shared" si="4"/>
        <v>1</v>
      </c>
      <c r="AC25" s="1807">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55"/>
      <c r="Q26" s="1806">
        <f t="shared" ref="Q26:Q40" si="11">B26</f>
        <v>111</v>
      </c>
      <c r="R26" s="773" t="s">
        <v>17</v>
      </c>
      <c r="S26" s="774">
        <f>F26</f>
        <v>100</v>
      </c>
      <c r="T26" s="773" t="s">
        <v>17</v>
      </c>
      <c r="U26" s="774">
        <f>H26</f>
        <v>100</v>
      </c>
      <c r="V26" s="773" t="s">
        <v>17</v>
      </c>
      <c r="W26" s="774">
        <f>J26</f>
        <v>100</v>
      </c>
      <c r="X26" s="1809"/>
      <c r="Y26" s="3255"/>
      <c r="Z26" s="1810">
        <f>Q26</f>
        <v>111</v>
      </c>
      <c r="AA26" s="1807">
        <f t="shared" si="3"/>
        <v>1</v>
      </c>
      <c r="AB26" s="1807">
        <f t="shared" si="4"/>
        <v>1</v>
      </c>
      <c r="AC26" s="1807">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55"/>
      <c r="Q27" s="1791">
        <f t="shared" si="11"/>
        <v>111</v>
      </c>
      <c r="R27" s="769" t="s">
        <v>17</v>
      </c>
      <c r="S27" s="770">
        <f>F27</f>
        <v>100</v>
      </c>
      <c r="T27" s="769" t="s">
        <v>17</v>
      </c>
      <c r="U27" s="770">
        <f>H27</f>
        <v>100</v>
      </c>
      <c r="V27" s="769" t="s">
        <v>17</v>
      </c>
      <c r="W27" s="770">
        <f>J27</f>
        <v>100</v>
      </c>
      <c r="X27" s="771"/>
      <c r="Y27" s="3255"/>
      <c r="Z27" s="55">
        <f>Q27</f>
        <v>111</v>
      </c>
      <c r="AA27" s="1807">
        <f>D27/F27</f>
        <v>1</v>
      </c>
      <c r="AB27" s="1807">
        <f>D27/H27</f>
        <v>1</v>
      </c>
      <c r="AC27" s="1807">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55"/>
      <c r="Q28" s="1806">
        <f t="shared" si="11"/>
        <v>111</v>
      </c>
      <c r="R28" s="773" t="s">
        <v>17</v>
      </c>
      <c r="S28" s="774">
        <f t="shared" ref="S28:S40" si="12">F28</f>
        <v>100</v>
      </c>
      <c r="T28" s="773" t="s">
        <v>17</v>
      </c>
      <c r="U28" s="774">
        <f t="shared" ref="U28:U40" si="13">H28</f>
        <v>100</v>
      </c>
      <c r="V28" s="773" t="s">
        <v>17</v>
      </c>
      <c r="W28" s="774">
        <f t="shared" ref="W28:W40" si="14">J28</f>
        <v>100</v>
      </c>
      <c r="X28" s="1809"/>
      <c r="Y28" s="3255"/>
      <c r="Z28" s="1810">
        <f t="shared" ref="Z28:Z40" si="15">Q28</f>
        <v>111</v>
      </c>
      <c r="AA28" s="1807">
        <f t="shared" si="3"/>
        <v>1</v>
      </c>
      <c r="AB28" s="1807">
        <f t="shared" si="4"/>
        <v>1</v>
      </c>
      <c r="AC28" s="1807">
        <f t="shared" si="5"/>
        <v>1</v>
      </c>
    </row>
    <row r="29" spans="1:29" ht="28.5">
      <c r="A29" s="465" t="s">
        <v>2551</v>
      </c>
      <c r="B29" s="71" t="s">
        <v>2681</v>
      </c>
      <c r="C29" s="2671"/>
      <c r="D29" s="466">
        <v>100</v>
      </c>
      <c r="E29" s="2671"/>
      <c r="F29" s="460">
        <f>SUMIF(88:88,E29,89:89)-SUMIF(88:88,C29,89:89)+100</f>
        <v>100</v>
      </c>
      <c r="G29" s="2671"/>
      <c r="H29" s="434">
        <f>SUMIF(88:88,G29,89:89)-SUMIF(88:88,C29,89:89)+100</f>
        <v>100</v>
      </c>
      <c r="I29" s="2671"/>
      <c r="J29" s="466">
        <f>SUMIF(88:88,I29,89:89)-SUMIF(88:88,C29,89:89)+100</f>
        <v>100</v>
      </c>
      <c r="K29" s="611"/>
      <c r="L29" s="1137"/>
      <c r="M29" s="1128"/>
      <c r="N29" s="1128"/>
      <c r="O29" s="1136"/>
      <c r="P29" s="3256" t="s">
        <v>2553</v>
      </c>
      <c r="Q29" s="1806" t="str">
        <f t="shared" si="11"/>
        <v>建筑类型</v>
      </c>
      <c r="R29" s="773" t="s">
        <v>17</v>
      </c>
      <c r="S29" s="774">
        <f t="shared" si="12"/>
        <v>100</v>
      </c>
      <c r="T29" s="773" t="s">
        <v>17</v>
      </c>
      <c r="U29" s="774">
        <f t="shared" si="13"/>
        <v>100</v>
      </c>
      <c r="V29" s="773" t="s">
        <v>17</v>
      </c>
      <c r="W29" s="774">
        <f t="shared" si="14"/>
        <v>100</v>
      </c>
      <c r="X29" s="1809"/>
      <c r="Y29" s="3257" t="s">
        <v>2553</v>
      </c>
      <c r="Z29" s="1810" t="str">
        <f t="shared" si="15"/>
        <v>建筑类型</v>
      </c>
      <c r="AA29" s="1807">
        <f t="shared" si="3"/>
        <v>1</v>
      </c>
      <c r="AB29" s="1807">
        <f t="shared" si="4"/>
        <v>1</v>
      </c>
      <c r="AC29" s="1807">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57"/>
      <c r="Q30" s="775" t="str">
        <f t="shared" si="11"/>
        <v>项目建筑规模</v>
      </c>
      <c r="R30" s="776" t="s">
        <v>17</v>
      </c>
      <c r="S30" s="777" t="e">
        <f t="shared" si="12"/>
        <v>#N/A</v>
      </c>
      <c r="T30" s="776" t="s">
        <v>17</v>
      </c>
      <c r="U30" s="777" t="e">
        <f t="shared" si="13"/>
        <v>#N/A</v>
      </c>
      <c r="V30" s="776" t="s">
        <v>17</v>
      </c>
      <c r="W30" s="777" t="e">
        <f t="shared" si="14"/>
        <v>#N/A</v>
      </c>
      <c r="X30" s="778"/>
      <c r="Y30" s="3257"/>
      <c r="Z30" s="779" t="str">
        <f t="shared" si="15"/>
        <v>项目建筑规模</v>
      </c>
      <c r="AA30" s="1807" t="e">
        <f t="shared" si="3"/>
        <v>#N/A</v>
      </c>
      <c r="AB30" s="1807" t="e">
        <f t="shared" si="4"/>
        <v>#N/A</v>
      </c>
      <c r="AC30" s="1807"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57"/>
      <c r="Q31" s="1806" t="str">
        <f t="shared" si="11"/>
        <v>建筑结构</v>
      </c>
      <c r="R31" s="773" t="s">
        <v>17</v>
      </c>
      <c r="S31" s="774">
        <f t="shared" si="12"/>
        <v>100</v>
      </c>
      <c r="T31" s="773" t="s">
        <v>17</v>
      </c>
      <c r="U31" s="774">
        <f t="shared" si="13"/>
        <v>100</v>
      </c>
      <c r="V31" s="773" t="s">
        <v>17</v>
      </c>
      <c r="W31" s="774">
        <f t="shared" si="14"/>
        <v>100</v>
      </c>
      <c r="X31" s="1809"/>
      <c r="Y31" s="3257"/>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57"/>
      <c r="Q32" s="1806" t="str">
        <f t="shared" si="11"/>
        <v>公共部分装修</v>
      </c>
      <c r="R32" s="773" t="s">
        <v>17</v>
      </c>
      <c r="S32" s="774">
        <f t="shared" si="12"/>
        <v>100</v>
      </c>
      <c r="T32" s="773" t="s">
        <v>17</v>
      </c>
      <c r="U32" s="774">
        <f t="shared" si="13"/>
        <v>100</v>
      </c>
      <c r="V32" s="773" t="s">
        <v>17</v>
      </c>
      <c r="W32" s="774">
        <f t="shared" si="14"/>
        <v>100</v>
      </c>
      <c r="X32" s="1809"/>
      <c r="Y32" s="3257"/>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57"/>
      <c r="Q33" s="1806" t="str">
        <f t="shared" si="11"/>
        <v>成新度</v>
      </c>
      <c r="R33" s="773" t="s">
        <v>17</v>
      </c>
      <c r="S33" s="774" t="e">
        <f t="shared" si="12"/>
        <v>#N/A</v>
      </c>
      <c r="T33" s="773" t="s">
        <v>17</v>
      </c>
      <c r="U33" s="774" t="e">
        <f t="shared" si="13"/>
        <v>#N/A</v>
      </c>
      <c r="V33" s="773" t="s">
        <v>17</v>
      </c>
      <c r="W33" s="774" t="e">
        <f t="shared" si="14"/>
        <v>#N/A</v>
      </c>
      <c r="X33" s="1809"/>
      <c r="Y33" s="3257"/>
      <c r="Z33" s="1810" t="str">
        <f t="shared" si="15"/>
        <v>成新度</v>
      </c>
      <c r="AA33" s="1807" t="e">
        <f t="shared" si="3"/>
        <v>#N/A</v>
      </c>
      <c r="AB33" s="1807" t="e">
        <f t="shared" si="4"/>
        <v>#N/A</v>
      </c>
      <c r="AC33" s="1807" t="e">
        <f t="shared" si="5"/>
        <v>#N/A</v>
      </c>
    </row>
    <row r="34" spans="1:29" s="117"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57"/>
      <c r="Q34" s="1791" t="str">
        <f t="shared" si="11"/>
        <v>物业管理</v>
      </c>
      <c r="R34" s="769" t="s">
        <v>17</v>
      </c>
      <c r="S34" s="770">
        <f t="shared" si="12"/>
        <v>100</v>
      </c>
      <c r="T34" s="769" t="s">
        <v>17</v>
      </c>
      <c r="U34" s="770">
        <f t="shared" si="13"/>
        <v>100</v>
      </c>
      <c r="V34" s="769" t="s">
        <v>17</v>
      </c>
      <c r="W34" s="770">
        <f t="shared" si="14"/>
        <v>100</v>
      </c>
      <c r="X34" s="771"/>
      <c r="Y34" s="3257"/>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57" t="s">
        <v>2553</v>
      </c>
      <c r="Q35" s="1806" t="str">
        <f t="shared" si="11"/>
        <v>市政基础设施</v>
      </c>
      <c r="R35" s="773" t="s">
        <v>17</v>
      </c>
      <c r="S35" s="774">
        <f t="shared" si="12"/>
        <v>100</v>
      </c>
      <c r="T35" s="773" t="s">
        <v>17</v>
      </c>
      <c r="U35" s="774">
        <f t="shared" si="13"/>
        <v>100</v>
      </c>
      <c r="V35" s="773" t="s">
        <v>17</v>
      </c>
      <c r="W35" s="774">
        <f t="shared" si="14"/>
        <v>100</v>
      </c>
      <c r="X35" s="1809"/>
      <c r="Y35" s="3257" t="s">
        <v>2553</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57"/>
      <c r="Q36" s="1806" t="str">
        <f t="shared" si="11"/>
        <v>内部装修</v>
      </c>
      <c r="R36" s="773" t="s">
        <v>17</v>
      </c>
      <c r="S36" s="774">
        <f t="shared" si="12"/>
        <v>100</v>
      </c>
      <c r="T36" s="773" t="s">
        <v>17</v>
      </c>
      <c r="U36" s="774">
        <f t="shared" si="13"/>
        <v>100</v>
      </c>
      <c r="V36" s="773" t="s">
        <v>17</v>
      </c>
      <c r="W36" s="774">
        <f t="shared" si="14"/>
        <v>100</v>
      </c>
      <c r="X36" s="1809"/>
      <c r="Y36" s="3257"/>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57"/>
      <c r="Q37" s="1806" t="str">
        <f t="shared" si="11"/>
        <v>内部装修状况</v>
      </c>
      <c r="R37" s="773" t="s">
        <v>17</v>
      </c>
      <c r="S37" s="774">
        <f t="shared" si="12"/>
        <v>100</v>
      </c>
      <c r="T37" s="773" t="s">
        <v>17</v>
      </c>
      <c r="U37" s="774">
        <f t="shared" si="13"/>
        <v>100</v>
      </c>
      <c r="V37" s="773" t="s">
        <v>17</v>
      </c>
      <c r="W37" s="774">
        <f t="shared" si="14"/>
        <v>100</v>
      </c>
      <c r="X37" s="1809"/>
      <c r="Y37" s="3257"/>
      <c r="Z37" s="1810" t="str">
        <f t="shared" si="15"/>
        <v>内部装修状况</v>
      </c>
      <c r="AA37" s="1807">
        <f t="shared" si="3"/>
        <v>1</v>
      </c>
      <c r="AB37" s="1807">
        <f t="shared" si="4"/>
        <v>1</v>
      </c>
      <c r="AC37" s="1807">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57"/>
      <c r="Q38" s="775">
        <f t="shared" si="11"/>
        <v>111</v>
      </c>
      <c r="R38" s="776" t="s">
        <v>17</v>
      </c>
      <c r="S38" s="777">
        <f t="shared" si="12"/>
        <v>100</v>
      </c>
      <c r="T38" s="776" t="s">
        <v>17</v>
      </c>
      <c r="U38" s="777">
        <f t="shared" si="13"/>
        <v>100</v>
      </c>
      <c r="V38" s="776" t="s">
        <v>17</v>
      </c>
      <c r="W38" s="777">
        <f t="shared" si="14"/>
        <v>100</v>
      </c>
      <c r="X38" s="778"/>
      <c r="Y38" s="3257"/>
      <c r="Z38" s="779">
        <f t="shared" si="15"/>
        <v>111</v>
      </c>
      <c r="AA38" s="1807">
        <f t="shared" si="3"/>
        <v>1</v>
      </c>
      <c r="AB38" s="1807">
        <f t="shared" si="4"/>
        <v>1</v>
      </c>
      <c r="AC38" s="1807">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57"/>
      <c r="Q39" s="1806">
        <f t="shared" si="11"/>
        <v>111</v>
      </c>
      <c r="R39" s="773" t="s">
        <v>17</v>
      </c>
      <c r="S39" s="774">
        <f t="shared" si="12"/>
        <v>100</v>
      </c>
      <c r="T39" s="773" t="s">
        <v>17</v>
      </c>
      <c r="U39" s="774">
        <f t="shared" si="13"/>
        <v>100</v>
      </c>
      <c r="V39" s="773" t="s">
        <v>17</v>
      </c>
      <c r="W39" s="774">
        <f t="shared" si="14"/>
        <v>100</v>
      </c>
      <c r="X39" s="1809"/>
      <c r="Y39" s="3257"/>
      <c r="Z39" s="1810">
        <f t="shared" si="15"/>
        <v>111</v>
      </c>
      <c r="AA39" s="1807">
        <f t="shared" si="3"/>
        <v>1</v>
      </c>
      <c r="AB39" s="1807">
        <f t="shared" si="4"/>
        <v>1</v>
      </c>
      <c r="AC39" s="1807">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20"/>
      <c r="Q40" s="1806">
        <f t="shared" si="11"/>
        <v>111</v>
      </c>
      <c r="R40" s="773" t="s">
        <v>17</v>
      </c>
      <c r="S40" s="774">
        <f t="shared" si="12"/>
        <v>100</v>
      </c>
      <c r="T40" s="773" t="s">
        <v>17</v>
      </c>
      <c r="U40" s="774">
        <f t="shared" si="13"/>
        <v>100</v>
      </c>
      <c r="V40" s="773" t="s">
        <v>17</v>
      </c>
      <c r="W40" s="774">
        <f t="shared" si="14"/>
        <v>100</v>
      </c>
      <c r="X40" s="1809"/>
      <c r="Y40" s="3320"/>
      <c r="Z40" s="1810">
        <f t="shared" si="15"/>
        <v>111</v>
      </c>
      <c r="AA40" s="1807">
        <f t="shared" si="3"/>
        <v>1</v>
      </c>
      <c r="AB40" s="1807">
        <f t="shared" si="4"/>
        <v>1</v>
      </c>
      <c r="AC40" s="1807">
        <f t="shared" si="5"/>
        <v>1</v>
      </c>
    </row>
    <row r="41" spans="1:29" ht="15">
      <c r="A41" s="478" t="s">
        <v>2565</v>
      </c>
      <c r="B41" s="479"/>
      <c r="C41" s="1404" t="s">
        <v>1</v>
      </c>
      <c r="D41" s="1405"/>
      <c r="E41" s="1406"/>
      <c r="F41" s="1407"/>
      <c r="G41" s="1408"/>
      <c r="H41" s="1409"/>
      <c r="I41" s="1406"/>
      <c r="J41" s="1409"/>
      <c r="K41" s="782"/>
      <c r="L41" s="1140"/>
      <c r="M41" s="1141"/>
      <c r="N41" s="1128"/>
      <c r="O41" s="1141"/>
      <c r="P41" s="3252" t="str">
        <f>A41</f>
        <v>成交单价（元/平方米）</v>
      </c>
      <c r="Q41" s="3252"/>
      <c r="R41" s="3316">
        <f>E41</f>
        <v>0</v>
      </c>
      <c r="S41" s="3316"/>
      <c r="T41" s="3316">
        <f>G41</f>
        <v>0</v>
      </c>
      <c r="U41" s="3316"/>
      <c r="V41" s="3316">
        <f>I41</f>
        <v>0</v>
      </c>
      <c r="W41" s="3316"/>
      <c r="X41" s="758"/>
      <c r="Y41" s="780"/>
      <c r="Z41" s="758"/>
      <c r="AA41" s="758"/>
      <c r="AB41" s="758"/>
      <c r="AC41" s="758"/>
    </row>
    <row r="42" spans="1:29" ht="15.75" thickBot="1">
      <c r="A42" s="485" t="s">
        <v>2657</v>
      </c>
      <c r="B42" s="486"/>
      <c r="C42" s="1410" t="e">
        <f>R43</f>
        <v>#DIV/0!</v>
      </c>
      <c r="D42" s="1411"/>
      <c r="E42" s="1412" t="e">
        <f>R42</f>
        <v>#DIV/0!</v>
      </c>
      <c r="F42" s="1412"/>
      <c r="G42" s="1410" t="e">
        <f>T42</f>
        <v>#DIV/0!</v>
      </c>
      <c r="H42" s="1411"/>
      <c r="I42" s="1412" t="e">
        <f>V42</f>
        <v>#DIV/0!</v>
      </c>
      <c r="J42" s="1411"/>
      <c r="K42" s="783"/>
      <c r="L42" s="1140"/>
      <c r="M42" s="1141"/>
      <c r="N42" s="1128"/>
      <c r="O42" s="1141"/>
      <c r="P42" s="3252" t="str">
        <f>A42</f>
        <v>比较价值（元/平方米）</v>
      </c>
      <c r="Q42" s="3252"/>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58"/>
      <c r="Y42" s="758"/>
      <c r="Z42" s="758"/>
      <c r="AA42" s="758"/>
      <c r="AB42" s="758"/>
      <c r="AC42" s="758"/>
    </row>
    <row r="43" spans="1:29" ht="15.75" thickBot="1">
      <c r="A43" s="491" t="s">
        <v>2658</v>
      </c>
      <c r="B43" s="492"/>
      <c r="C43" s="1414" t="e">
        <f>R43</f>
        <v>#DIV/0!</v>
      </c>
      <c r="D43" s="1414"/>
      <c r="E43" s="1414"/>
      <c r="F43" s="1414"/>
      <c r="G43" s="1414"/>
      <c r="H43" s="1414"/>
      <c r="I43" s="1414"/>
      <c r="J43" s="1414"/>
      <c r="K43" s="784"/>
      <c r="L43" s="1140"/>
      <c r="M43" s="1141"/>
      <c r="N43" s="1141"/>
      <c r="O43" s="1141"/>
      <c r="P43" s="3246" t="str">
        <f>A43</f>
        <v>估价对象XX用房的比较价值（楼面单价，元/平方米）</v>
      </c>
      <c r="Q43" s="3247"/>
      <c r="R43" s="3315" t="e">
        <f>IF(F1="售价",ROUND(AVERAGE(R42:V42),0),ROUND(AVERAGE(R42:V42),1))</f>
        <v>#DIV/0!</v>
      </c>
      <c r="S43" s="3315"/>
      <c r="T43" s="3315"/>
      <c r="U43" s="3315"/>
      <c r="V43" s="3315"/>
      <c r="W43" s="3315"/>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2662</v>
      </c>
      <c r="B51" s="758"/>
      <c r="C51" s="763"/>
      <c r="D51" s="763"/>
      <c r="E51" s="763"/>
      <c r="F51" s="764"/>
      <c r="G51" s="764"/>
      <c r="H51" s="763"/>
      <c r="I51" s="763"/>
      <c r="J51" s="763"/>
      <c r="K51" s="1157"/>
      <c r="L51" s="1158"/>
      <c r="M51" s="1156"/>
      <c r="N51" s="1156"/>
      <c r="O51" s="1156"/>
      <c r="P51" s="502"/>
      <c r="Q51" s="503"/>
    </row>
    <row r="52" spans="1:17" s="507" customFormat="1" ht="15">
      <c r="A52" s="504" t="s">
        <v>2536</v>
      </c>
      <c r="B52" s="505"/>
      <c r="C52" s="1570" t="str">
        <f>YEAR(C7)&amp;"-"&amp;MONTH(C7)</f>
        <v>2019-3</v>
      </c>
      <c r="D52" s="1571">
        <f>EDATE(C52,-1)</f>
        <v>43497</v>
      </c>
      <c r="E52" s="1571">
        <f t="shared" ref="E52:O52" si="16">EDATE(D52,-1)</f>
        <v>43466</v>
      </c>
      <c r="F52" s="1571">
        <f t="shared" si="16"/>
        <v>43435</v>
      </c>
      <c r="G52" s="1571">
        <f t="shared" si="16"/>
        <v>43405</v>
      </c>
      <c r="H52" s="1571">
        <f t="shared" si="16"/>
        <v>43374</v>
      </c>
      <c r="I52" s="1571">
        <f t="shared" si="16"/>
        <v>43344</v>
      </c>
      <c r="J52" s="1571">
        <f t="shared" si="16"/>
        <v>43313</v>
      </c>
      <c r="K52" s="1571">
        <f t="shared" si="16"/>
        <v>43282</v>
      </c>
      <c r="L52" s="1571">
        <f t="shared" si="16"/>
        <v>43252</v>
      </c>
      <c r="M52" s="1571">
        <f t="shared" si="16"/>
        <v>43221</v>
      </c>
      <c r="N52" s="1571">
        <f t="shared" si="16"/>
        <v>43191</v>
      </c>
      <c r="O52" s="1571">
        <f t="shared" si="16"/>
        <v>43160</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2576</v>
      </c>
      <c r="B57" s="527" t="s">
        <v>2542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8"/>
      <c r="B87" s="568"/>
      <c r="C87" s="569"/>
      <c r="D87" s="569"/>
      <c r="E87" s="569"/>
      <c r="F87" s="569"/>
      <c r="G87" s="590"/>
      <c r="H87" s="590"/>
      <c r="I87" s="590"/>
      <c r="J87" s="590"/>
      <c r="K87" s="590"/>
      <c r="L87" s="590"/>
      <c r="M87" s="591"/>
      <c r="N87" s="1150"/>
      <c r="O87" s="1150"/>
      <c r="P87" s="45"/>
      <c r="Q87" s="503"/>
    </row>
    <row r="88" spans="1:17">
      <c r="A88" s="526" t="s">
        <v>2551</v>
      </c>
      <c r="B88" s="527" t="s">
        <v>2600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2605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2606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2608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8"/>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18"/>
      <c r="F1" s="2576"/>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2318</v>
      </c>
      <c r="B2" s="1415" t="e">
        <f ca="1">IF(C2="——",IF(B37="元/平方米",ROUND(C39*D3/10000,0),ROUND(F3*C39/10000,0)),IF(B37="元/平方米",ROUND(C39*D3/10000,0),ROUND(F3*C39/10000,0))-D2)</f>
        <v>#DIV/0!</v>
      </c>
      <c r="C2" s="2578"/>
      <c r="D2" s="1121" t="e">
        <f ca="1">SUMIF(INDIRECT("'"&amp;F2&amp;"'"&amp;"!A:A"),"承租人权益价值",INDIRECT("'"&amp;F2&amp;"'"&amp;"!c:c"))</f>
        <v>#REF!</v>
      </c>
      <c r="E2" s="2579" t="s">
        <v>2319</v>
      </c>
      <c r="F2" s="2580"/>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2320</v>
      </c>
      <c r="B3" s="608" t="e">
        <f ca="1">IF(AND(C2="——",B37="元/平方米"),C39,ROUND(B2*10000/D3,0))</f>
        <v>#DIV/0!</v>
      </c>
      <c r="C3" s="399" t="s">
        <v>2632</v>
      </c>
      <c r="D3" s="398">
        <f>SUMIF('数据-汇总表'!$C19:$C33,D1,'数据-汇总表'!$E19:$E33)</f>
        <v>0</v>
      </c>
      <c r="E3" s="399" t="s">
        <v>2696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2633</v>
      </c>
      <c r="B4" s="401"/>
      <c r="C4" s="3249" t="s">
        <v>2634</v>
      </c>
      <c r="D4" s="3262"/>
      <c r="E4" s="3263" t="s">
        <v>2635</v>
      </c>
      <c r="F4" s="3264"/>
      <c r="G4" s="3249" t="s">
        <v>2636</v>
      </c>
      <c r="H4" s="3262"/>
      <c r="I4" s="3249" t="s">
        <v>2637</v>
      </c>
      <c r="J4" s="3262"/>
      <c r="K4" s="609" t="s">
        <v>2638</v>
      </c>
      <c r="L4" s="1127"/>
      <c r="M4" s="1128"/>
      <c r="N4" s="1128"/>
      <c r="O4" s="1128"/>
      <c r="P4" s="3265" t="s">
        <v>2639</v>
      </c>
      <c r="Q4" s="3266"/>
      <c r="R4" s="3271" t="s">
        <v>2635</v>
      </c>
      <c r="S4" s="3272"/>
      <c r="T4" s="3271" t="s">
        <v>2636</v>
      </c>
      <c r="U4" s="3272"/>
      <c r="V4" s="3258" t="s">
        <v>2637</v>
      </c>
      <c r="W4" s="3258"/>
      <c r="X4" s="1809"/>
      <c r="Y4" s="3271" t="s">
        <v>2639</v>
      </c>
      <c r="Z4" s="3272"/>
      <c r="AA4" s="3259" t="s">
        <v>2635</v>
      </c>
      <c r="AB4" s="3260" t="s">
        <v>2636</v>
      </c>
      <c r="AC4" s="3259" t="s">
        <v>2637</v>
      </c>
    </row>
    <row r="5" spans="1:29" ht="15">
      <c r="A5" s="403"/>
      <c r="B5" s="404"/>
      <c r="C5" s="3279" t="s">
        <v>2530</v>
      </c>
      <c r="D5" s="3280"/>
      <c r="E5" s="3286" t="s">
        <v>2531</v>
      </c>
      <c r="F5" s="3287"/>
      <c r="G5" s="3279" t="s">
        <v>2532</v>
      </c>
      <c r="H5" s="3280"/>
      <c r="I5" s="3279" t="s">
        <v>2533</v>
      </c>
      <c r="J5" s="3280"/>
      <c r="K5" s="609"/>
      <c r="L5" s="1127"/>
      <c r="M5" s="1128"/>
      <c r="N5" s="1128"/>
      <c r="O5" s="1128"/>
      <c r="P5" s="3267"/>
      <c r="Q5" s="3268"/>
      <c r="R5" s="3273"/>
      <c r="S5" s="3274"/>
      <c r="T5" s="3273"/>
      <c r="U5" s="3274"/>
      <c r="V5" s="3258"/>
      <c r="W5" s="3258"/>
      <c r="X5" s="1809"/>
      <c r="Y5" s="3273"/>
      <c r="Z5" s="3274"/>
      <c r="AA5" s="3260"/>
      <c r="AB5" s="3260"/>
      <c r="AC5" s="3260"/>
    </row>
    <row r="6" spans="1:29" ht="15.75" thickBot="1">
      <c r="A6" s="405"/>
      <c r="B6" s="406"/>
      <c r="C6" s="3277" t="s">
        <v>2534</v>
      </c>
      <c r="D6" s="3278"/>
      <c r="E6" s="3284" t="s">
        <v>2534</v>
      </c>
      <c r="F6" s="3285"/>
      <c r="G6" s="3277" t="s">
        <v>2534</v>
      </c>
      <c r="H6" s="3278"/>
      <c r="I6" s="3277" t="s">
        <v>2534</v>
      </c>
      <c r="J6" s="3278"/>
      <c r="K6" s="609" t="s">
        <v>2535</v>
      </c>
      <c r="L6" s="1127"/>
      <c r="M6" s="1128"/>
      <c r="N6" s="1128"/>
      <c r="O6" s="1128"/>
      <c r="P6" s="3269"/>
      <c r="Q6" s="3270"/>
      <c r="R6" s="3273"/>
      <c r="S6" s="3274"/>
      <c r="T6" s="3275"/>
      <c r="U6" s="3276"/>
      <c r="V6" s="3258"/>
      <c r="W6" s="3258"/>
      <c r="X6" s="1809"/>
      <c r="Y6" s="3275"/>
      <c r="Z6" s="3276"/>
      <c r="AA6" s="3261"/>
      <c r="AB6" s="3261"/>
      <c r="AC6" s="3261"/>
    </row>
    <row r="7" spans="1:29" s="117" customFormat="1" ht="15.75" thickBot="1">
      <c r="A7" s="407" t="s">
        <v>2536</v>
      </c>
      <c r="B7" s="408"/>
      <c r="C7" s="409">
        <f>'数据-取费表'!B2</f>
        <v>43525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81" t="s">
        <v>2537</v>
      </c>
      <c r="Q7" s="3283"/>
      <c r="R7" s="769" t="s">
        <v>17</v>
      </c>
      <c r="S7" s="770">
        <f t="shared" ref="S7:S14" si="0">F7</f>
        <v>0</v>
      </c>
      <c r="T7" s="769" t="s">
        <v>17</v>
      </c>
      <c r="U7" s="770">
        <f t="shared" ref="U7:U14" si="1">H7</f>
        <v>0</v>
      </c>
      <c r="V7" s="769" t="s">
        <v>17</v>
      </c>
      <c r="W7" s="770">
        <f t="shared" ref="W7:W14" si="2">J7</f>
        <v>0</v>
      </c>
      <c r="X7" s="771"/>
      <c r="Y7" s="3281" t="s">
        <v>2537</v>
      </c>
      <c r="Z7" s="3282"/>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81" t="s">
        <v>2540</v>
      </c>
      <c r="Q8" s="3282"/>
      <c r="R8" s="769" t="s">
        <v>17</v>
      </c>
      <c r="S8" s="770">
        <f t="shared" si="0"/>
        <v>0</v>
      </c>
      <c r="T8" s="769" t="s">
        <v>17</v>
      </c>
      <c r="U8" s="770">
        <f t="shared" si="1"/>
        <v>0</v>
      </c>
      <c r="V8" s="769" t="s">
        <v>17</v>
      </c>
      <c r="W8" s="770">
        <f t="shared" si="2"/>
        <v>0</v>
      </c>
      <c r="X8" s="771"/>
      <c r="Y8" s="3281" t="s">
        <v>2540</v>
      </c>
      <c r="Z8" s="3282"/>
      <c r="AA8" s="772" t="e">
        <f t="shared" ref="AA8:AA36" si="3">D8/F8</f>
        <v>#DIV/0!</v>
      </c>
      <c r="AB8" s="772" t="e">
        <f t="shared" ref="AB8:AB36" si="4">D8/H8</f>
        <v>#DIV/0!</v>
      </c>
      <c r="AC8" s="772" t="e">
        <f t="shared" ref="AC8:AC36" si="5">D8/J8</f>
        <v>#DIV/0!</v>
      </c>
    </row>
    <row r="9" spans="1:29" s="117" customFormat="1">
      <c r="A9" s="68"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52" t="s">
        <v>2543</v>
      </c>
      <c r="Q9" s="1791" t="str">
        <f t="shared" ref="Q9:Q14" si="6">B9</f>
        <v>用途</v>
      </c>
      <c r="R9" s="769" t="s">
        <v>17</v>
      </c>
      <c r="S9" s="770">
        <f t="shared" si="0"/>
        <v>100</v>
      </c>
      <c r="T9" s="769" t="s">
        <v>17</v>
      </c>
      <c r="U9" s="770">
        <f t="shared" si="1"/>
        <v>100</v>
      </c>
      <c r="V9" s="769" t="s">
        <v>17</v>
      </c>
      <c r="W9" s="770">
        <f t="shared" si="2"/>
        <v>100</v>
      </c>
      <c r="X9" s="771"/>
      <c r="Y9" s="3075" t="s">
        <v>2544</v>
      </c>
      <c r="Z9" s="55" t="str">
        <f t="shared" ref="Z9:Z14" si="7">Q9</f>
        <v>用途</v>
      </c>
      <c r="AA9" s="772">
        <f t="shared" si="3"/>
        <v>1</v>
      </c>
      <c r="AB9" s="772">
        <f t="shared" si="4"/>
        <v>1</v>
      </c>
      <c r="AC9" s="772">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52"/>
      <c r="Q10" s="1791"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52"/>
      <c r="Q11" s="1791">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52"/>
      <c r="Q12" s="1791">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52"/>
      <c r="Q13" s="1791">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85.5">
      <c r="A14" s="400" t="s">
        <v>2547</v>
      </c>
      <c r="B14" s="628" t="s">
        <v>2697</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54" t="s">
        <v>2548</v>
      </c>
      <c r="Q14" s="1806" t="str">
        <f t="shared" si="6"/>
        <v>交通便捷度</v>
      </c>
      <c r="R14" s="773" t="s">
        <v>17</v>
      </c>
      <c r="S14" s="774">
        <f t="shared" si="0"/>
        <v>100</v>
      </c>
      <c r="T14" s="773" t="s">
        <v>17</v>
      </c>
      <c r="U14" s="774">
        <f t="shared" si="1"/>
        <v>100</v>
      </c>
      <c r="V14" s="773" t="s">
        <v>17</v>
      </c>
      <c r="W14" s="774">
        <f t="shared" si="2"/>
        <v>100</v>
      </c>
      <c r="X14" s="1809"/>
      <c r="Y14" s="3254" t="s">
        <v>2548</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7"/>
      <c r="M15" s="1128"/>
      <c r="N15" s="1128"/>
      <c r="O15" s="1128"/>
      <c r="P15" s="3255"/>
      <c r="Q15" s="1806"/>
      <c r="R15" s="773"/>
      <c r="S15" s="774"/>
      <c r="T15" s="773"/>
      <c r="U15" s="774"/>
      <c r="V15" s="773"/>
      <c r="W15" s="774"/>
      <c r="X15" s="1809"/>
      <c r="Y15" s="3255"/>
      <c r="Z15" s="1810"/>
      <c r="AA15" s="1807">
        <v>1</v>
      </c>
      <c r="AB15" s="1807">
        <v>1</v>
      </c>
      <c r="AC15" s="1807">
        <v>1</v>
      </c>
    </row>
    <row r="16" spans="1:29" ht="42.75">
      <c r="A16" s="403"/>
      <c r="B16" s="630" t="s">
        <v>2676</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55"/>
      <c r="Q16" s="1806" t="str">
        <f>B16</f>
        <v>公共配套设施</v>
      </c>
      <c r="R16" s="773" t="s">
        <v>17</v>
      </c>
      <c r="S16" s="774">
        <f>F16</f>
        <v>100</v>
      </c>
      <c r="T16" s="773" t="s">
        <v>17</v>
      </c>
      <c r="U16" s="774">
        <f>H16</f>
        <v>100</v>
      </c>
      <c r="V16" s="773" t="s">
        <v>17</v>
      </c>
      <c r="W16" s="774">
        <f>J16</f>
        <v>100</v>
      </c>
      <c r="X16" s="1809"/>
      <c r="Y16" s="3255"/>
      <c r="Z16" s="1810" t="str">
        <f>Q16</f>
        <v>公共配套设施</v>
      </c>
      <c r="AA16" s="1807">
        <f t="shared" si="3"/>
        <v>1</v>
      </c>
      <c r="AB16" s="1807">
        <f t="shared" si="4"/>
        <v>1</v>
      </c>
      <c r="AC16" s="1807">
        <f t="shared" si="5"/>
        <v>1</v>
      </c>
    </row>
    <row r="17" spans="1:29" ht="15">
      <c r="A17" s="403"/>
      <c r="B17" s="631"/>
      <c r="C17" s="2600"/>
      <c r="D17" s="447"/>
      <c r="E17" s="446"/>
      <c r="F17" s="448"/>
      <c r="G17" s="446"/>
      <c r="H17" s="447"/>
      <c r="I17" s="446"/>
      <c r="J17" s="447"/>
      <c r="K17" s="614"/>
      <c r="L17" s="1137"/>
      <c r="M17" s="1128"/>
      <c r="N17" s="1128"/>
      <c r="O17" s="1128"/>
      <c r="P17" s="3255"/>
      <c r="Q17" s="1806"/>
      <c r="R17" s="773"/>
      <c r="S17" s="774"/>
      <c r="T17" s="773"/>
      <c r="U17" s="774"/>
      <c r="V17" s="773"/>
      <c r="W17" s="774"/>
      <c r="X17" s="1809"/>
      <c r="Y17" s="3255"/>
      <c r="Z17" s="1810"/>
      <c r="AA17" s="1807">
        <v>1</v>
      </c>
      <c r="AB17" s="1807">
        <v>1</v>
      </c>
      <c r="AC17" s="1807">
        <v>1</v>
      </c>
    </row>
    <row r="18" spans="1:29" ht="28.5">
      <c r="A18" s="403"/>
      <c r="B18" s="632" t="s">
        <v>2677</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55"/>
      <c r="Q18" s="1806" t="str">
        <f>B18</f>
        <v>基础设施水平</v>
      </c>
      <c r="R18" s="773" t="s">
        <v>17</v>
      </c>
      <c r="S18" s="774">
        <f>F18</f>
        <v>100</v>
      </c>
      <c r="T18" s="773" t="s">
        <v>17</v>
      </c>
      <c r="U18" s="774">
        <f>H18</f>
        <v>100</v>
      </c>
      <c r="V18" s="773" t="s">
        <v>17</v>
      </c>
      <c r="W18" s="774">
        <f>J18</f>
        <v>100</v>
      </c>
      <c r="X18" s="1809"/>
      <c r="Y18" s="3255"/>
      <c r="Z18" s="1810" t="str">
        <f>Q18</f>
        <v>基础设施水平</v>
      </c>
      <c r="AA18" s="1807">
        <f t="shared" ref="AA18" si="8">D18/F18</f>
        <v>1</v>
      </c>
      <c r="AB18" s="1807">
        <f t="shared" ref="AB18" si="9">D18/H18</f>
        <v>1</v>
      </c>
      <c r="AC18" s="1807">
        <f t="shared" ref="AC18" si="10">D18/J18</f>
        <v>1</v>
      </c>
    </row>
    <row r="19" spans="1:29" ht="15">
      <c r="A19" s="403"/>
      <c r="B19" s="632"/>
      <c r="C19" s="2600"/>
      <c r="D19" s="449"/>
      <c r="E19" s="2600"/>
      <c r="F19" s="452"/>
      <c r="G19" s="2600"/>
      <c r="H19" s="447"/>
      <c r="I19" s="446"/>
      <c r="J19" s="447"/>
      <c r="K19" s="1380"/>
      <c r="L19" s="1137"/>
      <c r="M19" s="1128"/>
      <c r="N19" s="1128"/>
      <c r="O19" s="1128"/>
      <c r="P19" s="3255"/>
      <c r="Q19" s="1806"/>
      <c r="R19" s="773"/>
      <c r="S19" s="774"/>
      <c r="T19" s="773"/>
      <c r="U19" s="774"/>
      <c r="V19" s="773"/>
      <c r="W19" s="774"/>
      <c r="X19" s="1809"/>
      <c r="Y19" s="3255"/>
      <c r="Z19" s="1810"/>
      <c r="AA19" s="1807">
        <v>1</v>
      </c>
      <c r="AB19" s="1807">
        <v>1</v>
      </c>
      <c r="AC19" s="1807">
        <v>1</v>
      </c>
    </row>
    <row r="20" spans="1:29" ht="57">
      <c r="A20" s="403"/>
      <c r="B20" s="630" t="s">
        <v>2698</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55"/>
      <c r="Q20" s="1806" t="str">
        <f>B20</f>
        <v>自然及人文环境</v>
      </c>
      <c r="R20" s="773" t="s">
        <v>17</v>
      </c>
      <c r="S20" s="774">
        <f>F20</f>
        <v>100</v>
      </c>
      <c r="T20" s="773" t="s">
        <v>17</v>
      </c>
      <c r="U20" s="774">
        <f>H20</f>
        <v>100</v>
      </c>
      <c r="V20" s="773" t="s">
        <v>17</v>
      </c>
      <c r="W20" s="774">
        <f>J20</f>
        <v>100</v>
      </c>
      <c r="X20" s="1809"/>
      <c r="Y20" s="3255"/>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7"/>
      <c r="M21" s="1128"/>
      <c r="N21" s="1128"/>
      <c r="O21" s="1128"/>
      <c r="P21" s="3255"/>
      <c r="Q21" s="1806"/>
      <c r="R21" s="773"/>
      <c r="S21" s="774"/>
      <c r="T21" s="773"/>
      <c r="U21" s="774"/>
      <c r="V21" s="773"/>
      <c r="W21" s="774"/>
      <c r="X21" s="1809"/>
      <c r="Y21" s="3255"/>
      <c r="Z21" s="1810"/>
      <c r="AA21" s="1807">
        <v>1</v>
      </c>
      <c r="AB21" s="1807">
        <v>1</v>
      </c>
      <c r="AC21" s="1807">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55"/>
      <c r="Q22" s="1806" t="str">
        <f>B22</f>
        <v>楼层</v>
      </c>
      <c r="R22" s="773" t="s">
        <v>17</v>
      </c>
      <c r="S22" s="774">
        <f>F22</f>
        <v>100</v>
      </c>
      <c r="T22" s="773" t="s">
        <v>17</v>
      </c>
      <c r="U22" s="774">
        <f>H22</f>
        <v>100</v>
      </c>
      <c r="V22" s="773" t="s">
        <v>17</v>
      </c>
      <c r="W22" s="774">
        <f>J22</f>
        <v>100</v>
      </c>
      <c r="X22" s="1809"/>
      <c r="Y22" s="3255"/>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55"/>
      <c r="Q23" s="1806">
        <f>B23</f>
        <v>111</v>
      </c>
      <c r="R23" s="773" t="s">
        <v>17</v>
      </c>
      <c r="S23" s="774">
        <f>F23</f>
        <v>100</v>
      </c>
      <c r="T23" s="773" t="s">
        <v>17</v>
      </c>
      <c r="U23" s="774">
        <f>H23</f>
        <v>100</v>
      </c>
      <c r="V23" s="773" t="s">
        <v>17</v>
      </c>
      <c r="W23" s="774">
        <f>J23</f>
        <v>100</v>
      </c>
      <c r="X23" s="1809"/>
      <c r="Y23" s="3255"/>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55"/>
      <c r="Q24" s="1806">
        <f t="shared" ref="Q24:Q36" si="11">B24</f>
        <v>111</v>
      </c>
      <c r="R24" s="773" t="s">
        <v>17</v>
      </c>
      <c r="S24" s="774">
        <f>F24</f>
        <v>100</v>
      </c>
      <c r="T24" s="773" t="s">
        <v>17</v>
      </c>
      <c r="U24" s="774">
        <f>H24</f>
        <v>100</v>
      </c>
      <c r="V24" s="773" t="s">
        <v>17</v>
      </c>
      <c r="W24" s="774">
        <f>J24</f>
        <v>100</v>
      </c>
      <c r="X24" s="1809"/>
      <c r="Y24" s="3255"/>
      <c r="Z24" s="1810">
        <f>Q24</f>
        <v>111</v>
      </c>
      <c r="AA24" s="1807">
        <f t="shared" si="3"/>
        <v>1</v>
      </c>
      <c r="AB24" s="1807">
        <f t="shared" si="4"/>
        <v>1</v>
      </c>
      <c r="AC24" s="1807">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55"/>
      <c r="Q25" s="1791">
        <f t="shared" si="11"/>
        <v>111</v>
      </c>
      <c r="R25" s="769" t="s">
        <v>17</v>
      </c>
      <c r="S25" s="770">
        <f>F25</f>
        <v>100</v>
      </c>
      <c r="T25" s="769" t="s">
        <v>17</v>
      </c>
      <c r="U25" s="770">
        <f>H25</f>
        <v>100</v>
      </c>
      <c r="V25" s="769" t="s">
        <v>17</v>
      </c>
      <c r="W25" s="770">
        <f>J25</f>
        <v>100</v>
      </c>
      <c r="X25" s="771"/>
      <c r="Y25" s="3255"/>
      <c r="Z25" s="55">
        <f>Q25</f>
        <v>111</v>
      </c>
      <c r="AA25" s="1807">
        <f>D25/F25</f>
        <v>1</v>
      </c>
      <c r="AB25" s="1807">
        <f>D25/H25</f>
        <v>1</v>
      </c>
      <c r="AC25" s="1807">
        <f>D25/J25</f>
        <v>1</v>
      </c>
    </row>
    <row r="26" spans="1:29" ht="28.5">
      <c r="A26" s="651" t="s">
        <v>2551</v>
      </c>
      <c r="B26" s="70" t="s">
        <v>2700</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56" t="s">
        <v>2553</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57" t="s">
        <v>2553</v>
      </c>
      <c r="Z26" s="1810" t="str">
        <f t="shared" ref="Z26:Z36" si="15">Q26</f>
        <v>配套类型</v>
      </c>
      <c r="AA26" s="1807">
        <f t="shared" si="3"/>
        <v>1</v>
      </c>
      <c r="AB26" s="1807">
        <f t="shared" si="4"/>
        <v>1</v>
      </c>
      <c r="AC26" s="1807">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57"/>
      <c r="Q27" s="775" t="str">
        <f t="shared" si="11"/>
        <v>项目停车位配比</v>
      </c>
      <c r="R27" s="776" t="s">
        <v>17</v>
      </c>
      <c r="S27" s="777">
        <f t="shared" si="12"/>
        <v>100</v>
      </c>
      <c r="T27" s="776" t="s">
        <v>17</v>
      </c>
      <c r="U27" s="777">
        <f t="shared" si="13"/>
        <v>100</v>
      </c>
      <c r="V27" s="776" t="s">
        <v>17</v>
      </c>
      <c r="W27" s="777">
        <f t="shared" si="14"/>
        <v>100</v>
      </c>
      <c r="X27" s="778"/>
      <c r="Y27" s="3257"/>
      <c r="Z27" s="779" t="str">
        <f t="shared" si="15"/>
        <v>项目停车位配比</v>
      </c>
      <c r="AA27" s="1807">
        <f t="shared" si="3"/>
        <v>1</v>
      </c>
      <c r="AB27" s="1807">
        <f t="shared" si="4"/>
        <v>1</v>
      </c>
      <c r="AC27" s="1807">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57"/>
      <c r="Q28" s="1806" t="str">
        <f t="shared" si="11"/>
        <v>公共部分装修</v>
      </c>
      <c r="R28" s="773" t="s">
        <v>17</v>
      </c>
      <c r="S28" s="774">
        <f t="shared" si="12"/>
        <v>100</v>
      </c>
      <c r="T28" s="773" t="s">
        <v>17</v>
      </c>
      <c r="U28" s="774">
        <f t="shared" si="13"/>
        <v>100</v>
      </c>
      <c r="V28" s="773" t="s">
        <v>17</v>
      </c>
      <c r="W28" s="774">
        <f t="shared" si="14"/>
        <v>100</v>
      </c>
      <c r="X28" s="1809"/>
      <c r="Y28" s="3257"/>
      <c r="Z28" s="1810" t="str">
        <f t="shared" si="15"/>
        <v>公共部分装修</v>
      </c>
      <c r="AA28" s="1807">
        <f t="shared" si="3"/>
        <v>1</v>
      </c>
      <c r="AB28" s="1807">
        <f t="shared" si="4"/>
        <v>1</v>
      </c>
      <c r="AC28" s="1807">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57"/>
      <c r="Q29" s="1806" t="str">
        <f t="shared" si="11"/>
        <v>成新率</v>
      </c>
      <c r="R29" s="773" t="s">
        <v>17</v>
      </c>
      <c r="S29" s="774" t="e">
        <f t="shared" si="12"/>
        <v>#N/A</v>
      </c>
      <c r="T29" s="773" t="s">
        <v>17</v>
      </c>
      <c r="U29" s="774" t="e">
        <f t="shared" si="13"/>
        <v>#N/A</v>
      </c>
      <c r="V29" s="773" t="s">
        <v>17</v>
      </c>
      <c r="W29" s="774" t="e">
        <f t="shared" si="14"/>
        <v>#N/A</v>
      </c>
      <c r="X29" s="1809"/>
      <c r="Y29" s="3257"/>
      <c r="Z29" s="1810" t="str">
        <f t="shared" si="15"/>
        <v>成新率</v>
      </c>
      <c r="AA29" s="1807" t="e">
        <f t="shared" si="3"/>
        <v>#N/A</v>
      </c>
      <c r="AB29" s="1807" t="e">
        <f t="shared" si="4"/>
        <v>#N/A</v>
      </c>
      <c r="AC29" s="1807"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57"/>
      <c r="Q30" s="1806" t="str">
        <f t="shared" si="11"/>
        <v>物业等级</v>
      </c>
      <c r="R30" s="773" t="s">
        <v>17</v>
      </c>
      <c r="S30" s="774">
        <f t="shared" si="12"/>
        <v>100</v>
      </c>
      <c r="T30" s="773" t="s">
        <v>17</v>
      </c>
      <c r="U30" s="774">
        <f t="shared" si="13"/>
        <v>100</v>
      </c>
      <c r="V30" s="773" t="s">
        <v>17</v>
      </c>
      <c r="W30" s="774">
        <f t="shared" si="14"/>
        <v>100</v>
      </c>
      <c r="X30" s="1809"/>
      <c r="Y30" s="3257"/>
      <c r="Z30" s="1810" t="str">
        <f t="shared" si="15"/>
        <v>物业等级</v>
      </c>
      <c r="AA30" s="1807">
        <f t="shared" si="3"/>
        <v>1</v>
      </c>
      <c r="AB30" s="1807">
        <f t="shared" si="4"/>
        <v>1</v>
      </c>
      <c r="AC30" s="1807">
        <f t="shared" si="5"/>
        <v>1</v>
      </c>
    </row>
    <row r="31" spans="1:29" s="117"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57"/>
      <c r="Q31" s="1791" t="str">
        <f t="shared" si="11"/>
        <v>停车位面积</v>
      </c>
      <c r="R31" s="769" t="s">
        <v>17</v>
      </c>
      <c r="S31" s="770" t="e">
        <f t="shared" si="12"/>
        <v>#N/A</v>
      </c>
      <c r="T31" s="769" t="s">
        <v>17</v>
      </c>
      <c r="U31" s="770" t="e">
        <f t="shared" si="13"/>
        <v>#N/A</v>
      </c>
      <c r="V31" s="769" t="s">
        <v>17</v>
      </c>
      <c r="W31" s="770" t="e">
        <f t="shared" si="14"/>
        <v>#N/A</v>
      </c>
      <c r="X31" s="771"/>
      <c r="Y31" s="3257"/>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57" t="s">
        <v>2553</v>
      </c>
      <c r="Q32" s="1806" t="str">
        <f t="shared" si="11"/>
        <v>车位类型</v>
      </c>
      <c r="R32" s="773" t="s">
        <v>17</v>
      </c>
      <c r="S32" s="774">
        <f t="shared" si="12"/>
        <v>100</v>
      </c>
      <c r="T32" s="773" t="s">
        <v>17</v>
      </c>
      <c r="U32" s="774">
        <f t="shared" si="13"/>
        <v>100</v>
      </c>
      <c r="V32" s="773" t="s">
        <v>17</v>
      </c>
      <c r="W32" s="774">
        <f t="shared" si="14"/>
        <v>100</v>
      </c>
      <c r="X32" s="1809"/>
      <c r="Y32" s="3257" t="s">
        <v>2553</v>
      </c>
      <c r="Z32" s="1810" t="str">
        <f t="shared" si="15"/>
        <v>车位类型</v>
      </c>
      <c r="AA32" s="1807">
        <f t="shared" si="3"/>
        <v>1</v>
      </c>
      <c r="AB32" s="1807">
        <f t="shared" si="4"/>
        <v>1</v>
      </c>
      <c r="AC32" s="1807">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57"/>
      <c r="Q33" s="1806" t="str">
        <f t="shared" si="11"/>
        <v>是否直接入户</v>
      </c>
      <c r="R33" s="773" t="s">
        <v>17</v>
      </c>
      <c r="S33" s="774">
        <f t="shared" si="12"/>
        <v>100</v>
      </c>
      <c r="T33" s="773" t="s">
        <v>17</v>
      </c>
      <c r="U33" s="774">
        <f t="shared" si="13"/>
        <v>100</v>
      </c>
      <c r="V33" s="773" t="s">
        <v>17</v>
      </c>
      <c r="W33" s="774">
        <f t="shared" si="14"/>
        <v>100</v>
      </c>
      <c r="X33" s="1809"/>
      <c r="Y33" s="3257"/>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57"/>
      <c r="Q34" s="1806">
        <f t="shared" si="11"/>
        <v>111</v>
      </c>
      <c r="R34" s="773" t="s">
        <v>17</v>
      </c>
      <c r="S34" s="774">
        <f t="shared" si="12"/>
        <v>100</v>
      </c>
      <c r="T34" s="773" t="s">
        <v>17</v>
      </c>
      <c r="U34" s="774">
        <f t="shared" si="13"/>
        <v>100</v>
      </c>
      <c r="V34" s="773" t="s">
        <v>17</v>
      </c>
      <c r="W34" s="774">
        <f t="shared" si="14"/>
        <v>100</v>
      </c>
      <c r="X34" s="1809"/>
      <c r="Y34" s="3257"/>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57"/>
      <c r="Q35" s="775">
        <f t="shared" si="11"/>
        <v>111</v>
      </c>
      <c r="R35" s="776" t="s">
        <v>17</v>
      </c>
      <c r="S35" s="777">
        <f t="shared" si="12"/>
        <v>100</v>
      </c>
      <c r="T35" s="776" t="s">
        <v>17</v>
      </c>
      <c r="U35" s="777">
        <f t="shared" si="13"/>
        <v>100</v>
      </c>
      <c r="V35" s="776" t="s">
        <v>17</v>
      </c>
      <c r="W35" s="777">
        <f t="shared" si="14"/>
        <v>100</v>
      </c>
      <c r="X35" s="778"/>
      <c r="Y35" s="3257"/>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57"/>
      <c r="Q36" s="1806">
        <f t="shared" si="11"/>
        <v>111</v>
      </c>
      <c r="R36" s="773" t="s">
        <v>17</v>
      </c>
      <c r="S36" s="774">
        <f t="shared" si="12"/>
        <v>100</v>
      </c>
      <c r="T36" s="773" t="s">
        <v>17</v>
      </c>
      <c r="U36" s="774">
        <f t="shared" si="13"/>
        <v>100</v>
      </c>
      <c r="V36" s="773" t="s">
        <v>17</v>
      </c>
      <c r="W36" s="774">
        <f t="shared" si="14"/>
        <v>100</v>
      </c>
      <c r="X36" s="1809"/>
      <c r="Y36" s="3257"/>
      <c r="Z36" s="1810">
        <f t="shared" si="15"/>
        <v>111</v>
      </c>
      <c r="AA36" s="1807">
        <f t="shared" si="3"/>
        <v>1</v>
      </c>
      <c r="AB36" s="1807">
        <f t="shared" si="4"/>
        <v>1</v>
      </c>
      <c r="AC36" s="1807">
        <f t="shared" si="5"/>
        <v>1</v>
      </c>
    </row>
    <row r="37" spans="1:29" ht="15">
      <c r="A37" s="478" t="s">
        <v>2708</v>
      </c>
      <c r="B37" s="2687" t="s">
        <v>2709</v>
      </c>
      <c r="C37" s="1404" t="s">
        <v>1</v>
      </c>
      <c r="D37" s="1405"/>
      <c r="E37" s="1406"/>
      <c r="F37" s="1407"/>
      <c r="G37" s="1408"/>
      <c r="H37" s="1409"/>
      <c r="I37" s="1406"/>
      <c r="J37" s="1409"/>
      <c r="K37" s="618"/>
      <c r="L37" s="1140"/>
      <c r="M37" s="1141"/>
      <c r="N37" s="1128"/>
      <c r="O37" s="1141"/>
      <c r="P37" s="3252" t="str">
        <f>A37</f>
        <v>成交单价</v>
      </c>
      <c r="Q37" s="3252"/>
      <c r="R37" s="3316">
        <f>E37</f>
        <v>0</v>
      </c>
      <c r="S37" s="3316"/>
      <c r="T37" s="3316">
        <f>G37</f>
        <v>0</v>
      </c>
      <c r="U37" s="3316"/>
      <c r="V37" s="3316">
        <f>I37</f>
        <v>0</v>
      </c>
      <c r="W37" s="3316"/>
      <c r="X37" s="758"/>
      <c r="Y37" s="780"/>
      <c r="Z37" s="758"/>
      <c r="AA37" s="758"/>
      <c r="AB37" s="758"/>
      <c r="AC37" s="758"/>
    </row>
    <row r="38" spans="1:29" ht="15.75" thickBot="1">
      <c r="A38" s="485" t="s">
        <v>2710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52" t="str">
        <f>A38</f>
        <v>比较价值（元/平方米）</v>
      </c>
      <c r="Q38" s="3252"/>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758"/>
      <c r="Y38" s="758"/>
      <c r="Z38" s="758"/>
      <c r="AA38" s="758"/>
      <c r="AB38" s="758"/>
      <c r="AC38" s="758"/>
    </row>
    <row r="39" spans="1:29" ht="15.75" thickBot="1">
      <c r="A39" s="491" t="s">
        <v>2711</v>
      </c>
      <c r="B39" s="492"/>
      <c r="C39" s="1414" t="e">
        <f>R39</f>
        <v>#DIV/0!</v>
      </c>
      <c r="D39" s="1414"/>
      <c r="E39" s="1414"/>
      <c r="F39" s="1414"/>
      <c r="G39" s="1414"/>
      <c r="H39" s="1414"/>
      <c r="I39" s="1414"/>
      <c r="J39" s="1414"/>
      <c r="K39" s="620"/>
      <c r="L39" s="1140"/>
      <c r="M39" s="1141"/>
      <c r="N39" s="1141"/>
      <c r="O39" s="1141"/>
      <c r="P39" s="3246" t="str">
        <f>A39</f>
        <v>估价对象XX用房的比较价值（楼面单价，元/平方米）</v>
      </c>
      <c r="Q39" s="3247"/>
      <c r="R39" s="3315" t="e">
        <f>IF(F1="售价",ROUND(AVERAGE(R38:V38),0),ROUND(AVERAGE(R38:V38),1))</f>
        <v>#DIV/0!</v>
      </c>
      <c r="S39" s="3315"/>
      <c r="T39" s="3315"/>
      <c r="U39" s="3315"/>
      <c r="V39" s="3315"/>
      <c r="W39" s="3315"/>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2716</v>
      </c>
      <c r="B48" s="505"/>
      <c r="C48" s="1570" t="str">
        <f>YEAR(C7)&amp;"-"&amp;MONTH(C7)</f>
        <v>2019-3</v>
      </c>
      <c r="D48" s="1571">
        <f>EDATE(C48,-1)</f>
        <v>43497</v>
      </c>
      <c r="E48" s="1571">
        <f t="shared" ref="E48:O48" si="16">EDATE(D48,-1)</f>
        <v>43466</v>
      </c>
      <c r="F48" s="1571">
        <f t="shared" si="16"/>
        <v>43435</v>
      </c>
      <c r="G48" s="1571">
        <f t="shared" si="16"/>
        <v>43405</v>
      </c>
      <c r="H48" s="1571">
        <f t="shared" si="16"/>
        <v>43374</v>
      </c>
      <c r="I48" s="1571">
        <f t="shared" si="16"/>
        <v>43344</v>
      </c>
      <c r="J48" s="1571">
        <f t="shared" si="16"/>
        <v>43313</v>
      </c>
      <c r="K48" s="1571">
        <f t="shared" si="16"/>
        <v>43282</v>
      </c>
      <c r="L48" s="1571">
        <f t="shared" si="16"/>
        <v>43252</v>
      </c>
      <c r="M48" s="1571">
        <f t="shared" si="16"/>
        <v>43221</v>
      </c>
      <c r="N48" s="1571">
        <f t="shared" si="16"/>
        <v>43191</v>
      </c>
      <c r="O48" s="1571">
        <f t="shared" si="16"/>
        <v>43160</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2573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2538</v>
      </c>
      <c r="B51" s="509"/>
      <c r="C51" s="521" t="s">
        <v>2640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2576</v>
      </c>
      <c r="B53" s="527" t="s">
        <v>2542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2591</v>
      </c>
      <c r="C65" s="577" t="s">
        <v>2585</v>
      </c>
      <c r="D65" s="577" t="s">
        <v>2586</v>
      </c>
      <c r="E65" s="577" t="s">
        <v>2587</v>
      </c>
      <c r="F65" s="577" t="s">
        <v>2588</v>
      </c>
      <c r="G65" s="577" t="s">
        <v>2589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2677</v>
      </c>
      <c r="C67" s="659" t="s">
        <v>2663</v>
      </c>
      <c r="D67" s="659" t="s">
        <v>2664</v>
      </c>
      <c r="E67" s="659" t="s">
        <v>2665</v>
      </c>
      <c r="F67" s="659" t="s">
        <v>2666</v>
      </c>
      <c r="G67" s="659" t="s">
        <v>2667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2597</v>
      </c>
      <c r="C69" s="577" t="s">
        <v>2585</v>
      </c>
      <c r="D69" s="577" t="s">
        <v>2586</v>
      </c>
      <c r="E69" s="577" t="s">
        <v>2587</v>
      </c>
      <c r="F69" s="577" t="s">
        <v>2588</v>
      </c>
      <c r="G69" s="577" t="s">
        <v>2589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2717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2551</v>
      </c>
      <c r="B79" s="527" t="s">
        <v>2718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2719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26"/>
      <c r="F1" s="2576"/>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2318</v>
      </c>
      <c r="B2" s="1415" t="e">
        <f ca="1">IF(C2="——",ROUND(C37*D3/10000,0),ROUND(C37*D3/10000,0)-D2)</f>
        <v>#DIV/0!</v>
      </c>
      <c r="C2" s="2578"/>
      <c r="D2" s="1121" t="e">
        <f ca="1">SUMIF(INDIRECT("'"&amp;F2&amp;"'"&amp;"!A:A"),"承租人权益价值",INDIRECT("'"&amp;F2&amp;"'"&amp;"!c:c"))</f>
        <v>#REF!</v>
      </c>
      <c r="E2" s="2579" t="s">
        <v>2319</v>
      </c>
      <c r="F2" s="2580"/>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 ca="1">IF(C2="——",C37,ROUND(B2*10000/D3,0))</f>
        <v>#DIV/0!</v>
      </c>
      <c r="C3" s="399" t="s">
        <v>2632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49" t="s">
        <v>2634</v>
      </c>
      <c r="D4" s="3262"/>
      <c r="E4" s="3263" t="s">
        <v>2635</v>
      </c>
      <c r="F4" s="3264"/>
      <c r="G4" s="3249" t="s">
        <v>2636</v>
      </c>
      <c r="H4" s="3262"/>
      <c r="I4" s="3249" t="s">
        <v>2637</v>
      </c>
      <c r="J4" s="3262"/>
      <c r="K4" s="609" t="s">
        <v>2638</v>
      </c>
      <c r="L4" s="1127"/>
      <c r="M4" s="1128"/>
      <c r="N4" s="1128"/>
      <c r="O4" s="1128"/>
      <c r="P4" s="3265" t="s">
        <v>2639</v>
      </c>
      <c r="Q4" s="3266"/>
      <c r="R4" s="3271" t="s">
        <v>2635</v>
      </c>
      <c r="S4" s="3272"/>
      <c r="T4" s="3271" t="s">
        <v>2636</v>
      </c>
      <c r="U4" s="3272"/>
      <c r="V4" s="3258" t="s">
        <v>2637</v>
      </c>
      <c r="W4" s="3258"/>
      <c r="X4" s="1809"/>
      <c r="Y4" s="3271" t="s">
        <v>2639</v>
      </c>
      <c r="Z4" s="3272"/>
      <c r="AA4" s="3259" t="s">
        <v>2635</v>
      </c>
      <c r="AB4" s="3260" t="s">
        <v>2636</v>
      </c>
      <c r="AC4" s="3259" t="s">
        <v>2637</v>
      </c>
    </row>
    <row r="5" spans="1:29" ht="15">
      <c r="A5" s="403"/>
      <c r="B5" s="404"/>
      <c r="C5" s="3279" t="s">
        <v>2530</v>
      </c>
      <c r="D5" s="3280"/>
      <c r="E5" s="3286" t="s">
        <v>2531</v>
      </c>
      <c r="F5" s="3287"/>
      <c r="G5" s="3279" t="s">
        <v>2532</v>
      </c>
      <c r="H5" s="3280"/>
      <c r="I5" s="3279" t="s">
        <v>2533</v>
      </c>
      <c r="J5" s="3280"/>
      <c r="K5" s="609"/>
      <c r="L5" s="1127"/>
      <c r="M5" s="1128"/>
      <c r="N5" s="1128"/>
      <c r="O5" s="1128"/>
      <c r="P5" s="3267"/>
      <c r="Q5" s="3268"/>
      <c r="R5" s="3273"/>
      <c r="S5" s="3274"/>
      <c r="T5" s="3273"/>
      <c r="U5" s="3274"/>
      <c r="V5" s="3258"/>
      <c r="W5" s="3258"/>
      <c r="X5" s="1809"/>
      <c r="Y5" s="3273"/>
      <c r="Z5" s="3274"/>
      <c r="AA5" s="3260"/>
      <c r="AB5" s="3260"/>
      <c r="AC5" s="3260"/>
    </row>
    <row r="6" spans="1:29" ht="15.75" thickBot="1">
      <c r="A6" s="405"/>
      <c r="B6" s="406"/>
      <c r="C6" s="3277" t="s">
        <v>2534</v>
      </c>
      <c r="D6" s="3278"/>
      <c r="E6" s="3284" t="s">
        <v>2534</v>
      </c>
      <c r="F6" s="3285"/>
      <c r="G6" s="3277" t="s">
        <v>2534</v>
      </c>
      <c r="H6" s="3278"/>
      <c r="I6" s="3277" t="s">
        <v>2534</v>
      </c>
      <c r="J6" s="3278"/>
      <c r="K6" s="609" t="s">
        <v>2535</v>
      </c>
      <c r="L6" s="1127"/>
      <c r="M6" s="1128"/>
      <c r="N6" s="1128"/>
      <c r="O6" s="1128"/>
      <c r="P6" s="3269"/>
      <c r="Q6" s="3270"/>
      <c r="R6" s="3273"/>
      <c r="S6" s="3274"/>
      <c r="T6" s="3275"/>
      <c r="U6" s="3276"/>
      <c r="V6" s="3258"/>
      <c r="W6" s="3258"/>
      <c r="X6" s="1809"/>
      <c r="Y6" s="3275"/>
      <c r="Z6" s="3276"/>
      <c r="AA6" s="3261"/>
      <c r="AB6" s="3261"/>
      <c r="AC6" s="3261"/>
    </row>
    <row r="7" spans="1:29" s="117" customFormat="1" ht="15.75" thickBot="1">
      <c r="A7" s="407" t="s">
        <v>2536</v>
      </c>
      <c r="B7" s="408"/>
      <c r="C7" s="409">
        <f>'数据-取费表'!B2</f>
        <v>43525</v>
      </c>
      <c r="D7" s="410">
        <v>100</v>
      </c>
      <c r="E7" s="411"/>
      <c r="F7" s="412">
        <f>SUMIF(46:46,YEAR(E7)&amp;"-"&amp;MONTH(E7),47:47)</f>
        <v>0</v>
      </c>
      <c r="G7" s="2688"/>
      <c r="H7" s="410">
        <f>SUMIF(46:46,YEAR(G7)&amp;"-"&amp;MONTH(G7),47:47)</f>
        <v>0</v>
      </c>
      <c r="I7" s="411"/>
      <c r="J7" s="410">
        <f>SUMIF(46:46,YEAR(I7)&amp;"-"&amp;MONTH(I7),47:47)</f>
        <v>0</v>
      </c>
      <c r="K7" s="610"/>
      <c r="L7" s="1129"/>
      <c r="M7" s="1130"/>
      <c r="N7" s="1130"/>
      <c r="O7" s="1130"/>
      <c r="P7" s="3281" t="s">
        <v>2537</v>
      </c>
      <c r="Q7" s="3283"/>
      <c r="R7" s="769" t="s">
        <v>17</v>
      </c>
      <c r="S7" s="770">
        <f t="shared" ref="S7:S14" si="0">F7</f>
        <v>0</v>
      </c>
      <c r="T7" s="769" t="s">
        <v>17</v>
      </c>
      <c r="U7" s="770">
        <f t="shared" ref="U7:U14" si="1">H7</f>
        <v>0</v>
      </c>
      <c r="V7" s="769" t="s">
        <v>17</v>
      </c>
      <c r="W7" s="770">
        <f t="shared" ref="W7:W14" si="2">J7</f>
        <v>0</v>
      </c>
      <c r="X7" s="771"/>
      <c r="Y7" s="3281" t="s">
        <v>2537</v>
      </c>
      <c r="Z7" s="3282"/>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81" t="s">
        <v>2540</v>
      </c>
      <c r="Q8" s="3282"/>
      <c r="R8" s="769" t="s">
        <v>17</v>
      </c>
      <c r="S8" s="770">
        <f t="shared" si="0"/>
        <v>0</v>
      </c>
      <c r="T8" s="769" t="s">
        <v>17</v>
      </c>
      <c r="U8" s="770">
        <f t="shared" si="1"/>
        <v>0</v>
      </c>
      <c r="V8" s="769" t="s">
        <v>17</v>
      </c>
      <c r="W8" s="770">
        <f t="shared" si="2"/>
        <v>0</v>
      </c>
      <c r="X8" s="771"/>
      <c r="Y8" s="3281" t="s">
        <v>2540</v>
      </c>
      <c r="Z8" s="3282"/>
      <c r="AA8" s="772" t="e">
        <f t="shared" ref="AA8:AA34" si="3">D8/F8</f>
        <v>#DIV/0!</v>
      </c>
      <c r="AB8" s="772" t="e">
        <f t="shared" ref="AB8:AB34" si="4">D8/H8</f>
        <v>#DIV/0!</v>
      </c>
      <c r="AC8" s="772" t="e">
        <f t="shared" ref="AC8:AC34" si="5">D8/J8</f>
        <v>#DIV/0!</v>
      </c>
    </row>
    <row r="9" spans="1:29" s="117" customFormat="1">
      <c r="A9" s="414" t="s">
        <v>2541</v>
      </c>
      <c r="B9" s="71" t="s">
        <v>2542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52" t="s">
        <v>2543</v>
      </c>
      <c r="Q9" s="1791" t="str">
        <f t="shared" ref="Q9:Q14" si="6">B9</f>
        <v>用途</v>
      </c>
      <c r="R9" s="769" t="s">
        <v>17</v>
      </c>
      <c r="S9" s="770">
        <f t="shared" si="0"/>
        <v>100</v>
      </c>
      <c r="T9" s="769" t="s">
        <v>17</v>
      </c>
      <c r="U9" s="770">
        <f t="shared" si="1"/>
        <v>100</v>
      </c>
      <c r="V9" s="769" t="s">
        <v>17</v>
      </c>
      <c r="W9" s="770">
        <f t="shared" si="2"/>
        <v>100</v>
      </c>
      <c r="X9" s="771"/>
      <c r="Y9" s="3075" t="s">
        <v>2544</v>
      </c>
      <c r="Z9" s="55" t="str">
        <f t="shared" ref="Z9:Z14" si="7">Q9</f>
        <v>用途</v>
      </c>
      <c r="AA9" s="772">
        <f t="shared" si="3"/>
        <v>1</v>
      </c>
      <c r="AB9" s="772">
        <f t="shared" si="4"/>
        <v>1</v>
      </c>
      <c r="AC9" s="772">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52"/>
      <c r="Q10" s="1791"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52"/>
      <c r="Q11" s="1791">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52"/>
      <c r="Q12" s="1791">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7"/>
      <c r="M13" s="1128"/>
      <c r="N13" s="1128"/>
      <c r="O13" s="1136"/>
      <c r="P13" s="3252"/>
      <c r="Q13" s="1791">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85.5">
      <c r="A14" s="439" t="s">
        <v>2547</v>
      </c>
      <c r="B14" s="69" t="s">
        <v>2697</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54" t="s">
        <v>2548</v>
      </c>
      <c r="Q14" s="1806" t="str">
        <f t="shared" si="6"/>
        <v>交通便捷度</v>
      </c>
      <c r="R14" s="773" t="s">
        <v>17</v>
      </c>
      <c r="S14" s="774">
        <f t="shared" si="0"/>
        <v>100</v>
      </c>
      <c r="T14" s="773" t="s">
        <v>17</v>
      </c>
      <c r="U14" s="774">
        <f t="shared" si="1"/>
        <v>100</v>
      </c>
      <c r="V14" s="773" t="s">
        <v>17</v>
      </c>
      <c r="W14" s="774">
        <f t="shared" si="2"/>
        <v>100</v>
      </c>
      <c r="X14" s="1809"/>
      <c r="Y14" s="3254" t="s">
        <v>2548</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55"/>
      <c r="Q15" s="1806"/>
      <c r="R15" s="773"/>
      <c r="S15" s="774"/>
      <c r="T15" s="773"/>
      <c r="U15" s="774"/>
      <c r="V15" s="773"/>
      <c r="W15" s="774"/>
      <c r="X15" s="1809"/>
      <c r="Y15" s="3255"/>
      <c r="Z15" s="1810"/>
      <c r="AA15" s="1807">
        <v>1</v>
      </c>
      <c r="AB15" s="1807">
        <v>1</v>
      </c>
      <c r="AC15" s="1807">
        <v>1</v>
      </c>
    </row>
    <row r="16" spans="1:29" ht="42.75">
      <c r="A16" s="427"/>
      <c r="B16" s="450" t="s">
        <v>2676</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55"/>
      <c r="Q16" s="1806" t="str">
        <f>B16</f>
        <v>公共配套设施</v>
      </c>
      <c r="R16" s="773" t="s">
        <v>17</v>
      </c>
      <c r="S16" s="774">
        <f>F16</f>
        <v>100</v>
      </c>
      <c r="T16" s="773" t="s">
        <v>17</v>
      </c>
      <c r="U16" s="774">
        <f>H16</f>
        <v>100</v>
      </c>
      <c r="V16" s="773" t="s">
        <v>17</v>
      </c>
      <c r="W16" s="774">
        <f>J16</f>
        <v>100</v>
      </c>
      <c r="X16" s="1809"/>
      <c r="Y16" s="3255"/>
      <c r="Z16" s="1810" t="str">
        <f>Q16</f>
        <v>公共配套设施</v>
      </c>
      <c r="AA16" s="1807">
        <f t="shared" si="3"/>
        <v>1</v>
      </c>
      <c r="AB16" s="1807">
        <f t="shared" si="4"/>
        <v>1</v>
      </c>
      <c r="AC16" s="1807">
        <f t="shared" si="5"/>
        <v>1</v>
      </c>
    </row>
    <row r="17" spans="1:29" ht="15">
      <c r="A17" s="427"/>
      <c r="B17" s="455"/>
      <c r="C17" s="2600"/>
      <c r="D17" s="447"/>
      <c r="E17" s="446"/>
      <c r="F17" s="448"/>
      <c r="G17" s="446"/>
      <c r="H17" s="447"/>
      <c r="I17" s="446"/>
      <c r="J17" s="447"/>
      <c r="K17" s="614"/>
      <c r="L17" s="1137"/>
      <c r="M17" s="1128"/>
      <c r="N17" s="1128"/>
      <c r="O17" s="1136"/>
      <c r="P17" s="3255"/>
      <c r="Q17" s="1806"/>
      <c r="R17" s="773"/>
      <c r="S17" s="774"/>
      <c r="T17" s="773"/>
      <c r="U17" s="774"/>
      <c r="V17" s="773"/>
      <c r="W17" s="774"/>
      <c r="X17" s="1809"/>
      <c r="Y17" s="3255"/>
      <c r="Z17" s="1810"/>
      <c r="AA17" s="1807">
        <v>1</v>
      </c>
      <c r="AB17" s="1807">
        <v>1</v>
      </c>
      <c r="AC17" s="1807">
        <v>1</v>
      </c>
    </row>
    <row r="18" spans="1:29" ht="28.5">
      <c r="A18" s="427"/>
      <c r="B18" s="1381" t="s">
        <v>2677</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55"/>
      <c r="Q18" s="1806" t="str">
        <f>B18</f>
        <v>基础设施水平</v>
      </c>
      <c r="R18" s="773" t="s">
        <v>17</v>
      </c>
      <c r="S18" s="774">
        <f>F18</f>
        <v>100</v>
      </c>
      <c r="T18" s="773" t="s">
        <v>17</v>
      </c>
      <c r="U18" s="774">
        <f>H18</f>
        <v>100</v>
      </c>
      <c r="V18" s="773" t="s">
        <v>17</v>
      </c>
      <c r="W18" s="774">
        <f>J18</f>
        <v>100</v>
      </c>
      <c r="X18" s="1809"/>
      <c r="Y18" s="3255"/>
      <c r="Z18" s="1810" t="str">
        <f>Q18</f>
        <v>基础设施水平</v>
      </c>
      <c r="AA18" s="1807">
        <f t="shared" ref="AA18" si="8">D18/F18</f>
        <v>1</v>
      </c>
      <c r="AB18" s="1807">
        <f t="shared" ref="AB18" si="9">D18/H18</f>
        <v>1</v>
      </c>
      <c r="AC18" s="1807">
        <f t="shared" ref="AC18" si="10">D18/J18</f>
        <v>1</v>
      </c>
    </row>
    <row r="19" spans="1:29" ht="15">
      <c r="A19" s="427"/>
      <c r="B19" s="1381"/>
      <c r="C19" s="2600"/>
      <c r="D19" s="449"/>
      <c r="E19" s="2600"/>
      <c r="F19" s="452"/>
      <c r="G19" s="2600"/>
      <c r="H19" s="447"/>
      <c r="I19" s="446"/>
      <c r="J19" s="447"/>
      <c r="K19" s="1380"/>
      <c r="L19" s="1137"/>
      <c r="M19" s="1128"/>
      <c r="N19" s="1128"/>
      <c r="O19" s="1136"/>
      <c r="P19" s="3255"/>
      <c r="Q19" s="1806"/>
      <c r="R19" s="773"/>
      <c r="S19" s="774"/>
      <c r="T19" s="773"/>
      <c r="U19" s="774"/>
      <c r="V19" s="773"/>
      <c r="W19" s="774"/>
      <c r="X19" s="1809"/>
      <c r="Y19" s="3255"/>
      <c r="Z19" s="1810"/>
      <c r="AA19" s="1807">
        <v>1</v>
      </c>
      <c r="AB19" s="1807">
        <v>1</v>
      </c>
      <c r="AC19" s="1807">
        <v>1</v>
      </c>
    </row>
    <row r="20" spans="1:29" ht="57">
      <c r="A20" s="427"/>
      <c r="B20" s="450" t="s">
        <v>2698</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55"/>
      <c r="Q20" s="1806" t="str">
        <f>B20</f>
        <v>自然及人文环境</v>
      </c>
      <c r="R20" s="773" t="s">
        <v>17</v>
      </c>
      <c r="S20" s="774">
        <f>F20</f>
        <v>100</v>
      </c>
      <c r="T20" s="773" t="s">
        <v>17</v>
      </c>
      <c r="U20" s="774">
        <f>H20</f>
        <v>100</v>
      </c>
      <c r="V20" s="773" t="s">
        <v>17</v>
      </c>
      <c r="W20" s="774">
        <f>J20</f>
        <v>100</v>
      </c>
      <c r="X20" s="1809"/>
      <c r="Y20" s="3255"/>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55"/>
      <c r="Q21" s="1806"/>
      <c r="R21" s="773"/>
      <c r="S21" s="774"/>
      <c r="T21" s="773"/>
      <c r="U21" s="774"/>
      <c r="V21" s="773"/>
      <c r="W21" s="774"/>
      <c r="X21" s="1809"/>
      <c r="Y21" s="3255"/>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55"/>
      <c r="Q22" s="1806" t="str">
        <f>B22</f>
        <v>楼层</v>
      </c>
      <c r="R22" s="773" t="s">
        <v>17</v>
      </c>
      <c r="S22" s="774">
        <f>F22</f>
        <v>100</v>
      </c>
      <c r="T22" s="773" t="s">
        <v>17</v>
      </c>
      <c r="U22" s="774">
        <f>H22</f>
        <v>100</v>
      </c>
      <c r="V22" s="773" t="s">
        <v>17</v>
      </c>
      <c r="W22" s="774">
        <f>J22</f>
        <v>100</v>
      </c>
      <c r="X22" s="1809"/>
      <c r="Y22" s="3255"/>
      <c r="Z22" s="1810" t="str">
        <f>Q22</f>
        <v>楼层</v>
      </c>
      <c r="AA22" s="1807">
        <f t="shared" si="3"/>
        <v>1</v>
      </c>
      <c r="AB22" s="1807">
        <f t="shared" si="4"/>
        <v>1</v>
      </c>
      <c r="AC22" s="1807">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55"/>
      <c r="Q23" s="1806">
        <f>B23</f>
        <v>111</v>
      </c>
      <c r="R23" s="773" t="s">
        <v>17</v>
      </c>
      <c r="S23" s="774">
        <f>F23</f>
        <v>100</v>
      </c>
      <c r="T23" s="773" t="s">
        <v>17</v>
      </c>
      <c r="U23" s="774">
        <f>H23</f>
        <v>100</v>
      </c>
      <c r="V23" s="773" t="s">
        <v>17</v>
      </c>
      <c r="W23" s="774">
        <f>J23</f>
        <v>100</v>
      </c>
      <c r="X23" s="1809"/>
      <c r="Y23" s="3255"/>
      <c r="Z23" s="1810">
        <f>Q23</f>
        <v>111</v>
      </c>
      <c r="AA23" s="1807">
        <f t="shared" si="3"/>
        <v>1</v>
      </c>
      <c r="AB23" s="1807">
        <f t="shared" si="4"/>
        <v>1</v>
      </c>
      <c r="AC23" s="1807">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55"/>
      <c r="Q24" s="1806">
        <f t="shared" ref="Q24:Q34" si="11">B24</f>
        <v>111</v>
      </c>
      <c r="R24" s="773" t="s">
        <v>17</v>
      </c>
      <c r="S24" s="774">
        <f>F24</f>
        <v>100</v>
      </c>
      <c r="T24" s="773" t="s">
        <v>17</v>
      </c>
      <c r="U24" s="774">
        <f>H24</f>
        <v>100</v>
      </c>
      <c r="V24" s="773" t="s">
        <v>17</v>
      </c>
      <c r="W24" s="774">
        <f>J24</f>
        <v>100</v>
      </c>
      <c r="X24" s="1809"/>
      <c r="Y24" s="3255"/>
      <c r="Z24" s="1810">
        <f>Q24</f>
        <v>111</v>
      </c>
      <c r="AA24" s="1807">
        <f t="shared" si="3"/>
        <v>1</v>
      </c>
      <c r="AB24" s="1807">
        <f t="shared" si="4"/>
        <v>1</v>
      </c>
      <c r="AC24" s="1807">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9"/>
      <c r="M25" s="1130"/>
      <c r="N25" s="1130"/>
      <c r="O25" s="1131"/>
      <c r="P25" s="3255"/>
      <c r="Q25" s="1791">
        <f t="shared" si="11"/>
        <v>111</v>
      </c>
      <c r="R25" s="769" t="s">
        <v>17</v>
      </c>
      <c r="S25" s="770">
        <f>F25</f>
        <v>100</v>
      </c>
      <c r="T25" s="769" t="s">
        <v>17</v>
      </c>
      <c r="U25" s="770">
        <f>H25</f>
        <v>100</v>
      </c>
      <c r="V25" s="769" t="s">
        <v>17</v>
      </c>
      <c r="W25" s="770">
        <f>J25</f>
        <v>100</v>
      </c>
      <c r="X25" s="771"/>
      <c r="Y25" s="3255"/>
      <c r="Z25" s="55">
        <f>Q25</f>
        <v>111</v>
      </c>
      <c r="AA25" s="1807">
        <f>D25/F25</f>
        <v>1</v>
      </c>
      <c r="AB25" s="1807">
        <f>D25/H25</f>
        <v>1</v>
      </c>
      <c r="AC25" s="1807">
        <f>D25/J25</f>
        <v>1</v>
      </c>
    </row>
    <row r="26" spans="1:29" ht="28.5">
      <c r="A26" s="465" t="s">
        <v>2551</v>
      </c>
      <c r="B26" s="71" t="s">
        <v>2702</v>
      </c>
      <c r="C26" s="2671"/>
      <c r="D26" s="466">
        <v>100</v>
      </c>
      <c r="E26" s="2671"/>
      <c r="F26" s="666">
        <f>SUMIF(77:77,E26,78:78)-SUMIF(77:77,C26,78:78)+100</f>
        <v>100</v>
      </c>
      <c r="G26" s="2671"/>
      <c r="H26" s="466">
        <f>SUMIF(77:77,G26,78:78)-SUMIF(77:77,C26,78:78)+100</f>
        <v>100</v>
      </c>
      <c r="I26" s="2671"/>
      <c r="J26" s="466">
        <f>SUMIF(77:77,I26,78:78)-SUMIF(77:77,C26,78:78)+100</f>
        <v>100</v>
      </c>
      <c r="K26" s="611"/>
      <c r="L26" s="1137"/>
      <c r="M26" s="1128"/>
      <c r="N26" s="1128"/>
      <c r="O26" s="1136"/>
      <c r="P26" s="3256" t="s">
        <v>2553</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57" t="s">
        <v>2553</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57"/>
      <c r="Q27" s="775" t="str">
        <f t="shared" si="11"/>
        <v>成新率</v>
      </c>
      <c r="R27" s="776" t="s">
        <v>17</v>
      </c>
      <c r="S27" s="777" t="e">
        <f t="shared" si="12"/>
        <v>#N/A</v>
      </c>
      <c r="T27" s="776" t="s">
        <v>17</v>
      </c>
      <c r="U27" s="777" t="e">
        <f t="shared" si="13"/>
        <v>#N/A</v>
      </c>
      <c r="V27" s="776" t="s">
        <v>17</v>
      </c>
      <c r="W27" s="777" t="e">
        <f t="shared" si="14"/>
        <v>#N/A</v>
      </c>
      <c r="X27" s="778"/>
      <c r="Y27" s="3257"/>
      <c r="Z27" s="779"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57"/>
      <c r="Q28" s="1806" t="str">
        <f t="shared" si="11"/>
        <v>物业等级</v>
      </c>
      <c r="R28" s="773" t="s">
        <v>17</v>
      </c>
      <c r="S28" s="774">
        <f t="shared" si="12"/>
        <v>100</v>
      </c>
      <c r="T28" s="773" t="s">
        <v>17</v>
      </c>
      <c r="U28" s="774">
        <f t="shared" si="13"/>
        <v>100</v>
      </c>
      <c r="V28" s="773" t="s">
        <v>17</v>
      </c>
      <c r="W28" s="774">
        <f t="shared" si="14"/>
        <v>100</v>
      </c>
      <c r="X28" s="1809"/>
      <c r="Y28" s="3257"/>
      <c r="Z28" s="1810" t="str">
        <f t="shared" si="15"/>
        <v>物业等级</v>
      </c>
      <c r="AA28" s="1807">
        <f t="shared" si="3"/>
        <v>1</v>
      </c>
      <c r="AB28" s="1807">
        <f t="shared" si="4"/>
        <v>1</v>
      </c>
      <c r="AC28" s="1807">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57"/>
      <c r="Q29" s="1806" t="str">
        <f t="shared" si="11"/>
        <v>有无电梯</v>
      </c>
      <c r="R29" s="773" t="s">
        <v>17</v>
      </c>
      <c r="S29" s="774">
        <f t="shared" si="12"/>
        <v>100</v>
      </c>
      <c r="T29" s="773" t="s">
        <v>17</v>
      </c>
      <c r="U29" s="774">
        <f t="shared" si="13"/>
        <v>100</v>
      </c>
      <c r="V29" s="773" t="s">
        <v>17</v>
      </c>
      <c r="W29" s="774">
        <f t="shared" si="14"/>
        <v>100</v>
      </c>
      <c r="X29" s="1809"/>
      <c r="Y29" s="3257"/>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57"/>
      <c r="Q30" s="1806" t="str">
        <f t="shared" si="11"/>
        <v>建筑面积</v>
      </c>
      <c r="R30" s="773" t="s">
        <v>17</v>
      </c>
      <c r="S30" s="774" t="e">
        <f t="shared" si="12"/>
        <v>#N/A</v>
      </c>
      <c r="T30" s="773" t="s">
        <v>17</v>
      </c>
      <c r="U30" s="774" t="e">
        <f t="shared" si="13"/>
        <v>#N/A</v>
      </c>
      <c r="V30" s="773" t="s">
        <v>17</v>
      </c>
      <c r="W30" s="774" t="e">
        <f t="shared" si="14"/>
        <v>#N/A</v>
      </c>
      <c r="X30" s="1809"/>
      <c r="Y30" s="3257"/>
      <c r="Z30" s="1810" t="str">
        <f t="shared" si="15"/>
        <v>建筑面积</v>
      </c>
      <c r="AA30" s="1807" t="e">
        <f t="shared" si="3"/>
        <v>#N/A</v>
      </c>
      <c r="AB30" s="1807" t="e">
        <f t="shared" si="4"/>
        <v>#N/A</v>
      </c>
      <c r="AC30" s="1807" t="e">
        <f t="shared" si="5"/>
        <v>#N/A</v>
      </c>
    </row>
    <row r="31" spans="1:29" s="117"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57"/>
      <c r="Q31" s="1791" t="str">
        <f t="shared" si="11"/>
        <v>是否封闭</v>
      </c>
      <c r="R31" s="769" t="s">
        <v>17</v>
      </c>
      <c r="S31" s="770">
        <f t="shared" si="12"/>
        <v>100</v>
      </c>
      <c r="T31" s="769" t="s">
        <v>17</v>
      </c>
      <c r="U31" s="770">
        <f t="shared" si="13"/>
        <v>100</v>
      </c>
      <c r="V31" s="769" t="s">
        <v>17</v>
      </c>
      <c r="W31" s="770">
        <f t="shared" si="14"/>
        <v>100</v>
      </c>
      <c r="X31" s="771"/>
      <c r="Y31" s="3257"/>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57" t="s">
        <v>2553</v>
      </c>
      <c r="Q32" s="1806">
        <f t="shared" si="11"/>
        <v>111</v>
      </c>
      <c r="R32" s="773" t="s">
        <v>17</v>
      </c>
      <c r="S32" s="774">
        <f t="shared" si="12"/>
        <v>100</v>
      </c>
      <c r="T32" s="773" t="s">
        <v>17</v>
      </c>
      <c r="U32" s="774">
        <f t="shared" si="13"/>
        <v>100</v>
      </c>
      <c r="V32" s="773" t="s">
        <v>17</v>
      </c>
      <c r="W32" s="774">
        <f t="shared" si="14"/>
        <v>100</v>
      </c>
      <c r="X32" s="1809"/>
      <c r="Y32" s="3257" t="s">
        <v>2553</v>
      </c>
      <c r="Z32" s="1810">
        <f t="shared" si="15"/>
        <v>111</v>
      </c>
      <c r="AA32" s="1807">
        <f t="shared" si="3"/>
        <v>1</v>
      </c>
      <c r="AB32" s="1807">
        <f t="shared" si="4"/>
        <v>1</v>
      </c>
      <c r="AC32" s="1807">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57"/>
      <c r="Q33" s="1806">
        <f t="shared" si="11"/>
        <v>111</v>
      </c>
      <c r="R33" s="773" t="s">
        <v>17</v>
      </c>
      <c r="S33" s="774">
        <f t="shared" si="12"/>
        <v>100</v>
      </c>
      <c r="T33" s="773" t="s">
        <v>17</v>
      </c>
      <c r="U33" s="774">
        <f t="shared" si="13"/>
        <v>100</v>
      </c>
      <c r="V33" s="773" t="s">
        <v>17</v>
      </c>
      <c r="W33" s="774">
        <f t="shared" si="14"/>
        <v>100</v>
      </c>
      <c r="X33" s="1809"/>
      <c r="Y33" s="3257"/>
      <c r="Z33" s="1810">
        <f t="shared" si="15"/>
        <v>111</v>
      </c>
      <c r="AA33" s="1807">
        <f t="shared" si="3"/>
        <v>1</v>
      </c>
      <c r="AB33" s="1807">
        <f t="shared" si="4"/>
        <v>1</v>
      </c>
      <c r="AC33" s="1807">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7"/>
      <c r="M34" s="1128"/>
      <c r="N34" s="1128"/>
      <c r="O34" s="1136"/>
      <c r="P34" s="3257"/>
      <c r="Q34" s="1806">
        <f t="shared" si="11"/>
        <v>111</v>
      </c>
      <c r="R34" s="773" t="s">
        <v>17</v>
      </c>
      <c r="S34" s="774">
        <f t="shared" si="12"/>
        <v>100</v>
      </c>
      <c r="T34" s="773" t="s">
        <v>17</v>
      </c>
      <c r="U34" s="774">
        <f t="shared" si="13"/>
        <v>100</v>
      </c>
      <c r="V34" s="773" t="s">
        <v>17</v>
      </c>
      <c r="W34" s="774">
        <f t="shared" si="14"/>
        <v>100</v>
      </c>
      <c r="X34" s="1809"/>
      <c r="Y34" s="3257"/>
      <c r="Z34" s="1810">
        <f t="shared" si="15"/>
        <v>111</v>
      </c>
      <c r="AA34" s="1807">
        <f t="shared" si="3"/>
        <v>1</v>
      </c>
      <c r="AB34" s="1807">
        <f t="shared" si="4"/>
        <v>1</v>
      </c>
      <c r="AC34" s="1807">
        <f t="shared" si="5"/>
        <v>1</v>
      </c>
    </row>
    <row r="35" spans="1:29" ht="15">
      <c r="A35" s="478" t="s">
        <v>2565</v>
      </c>
      <c r="B35" s="479"/>
      <c r="C35" s="1404" t="s">
        <v>1</v>
      </c>
      <c r="D35" s="1405"/>
      <c r="E35" s="1406"/>
      <c r="F35" s="1407"/>
      <c r="G35" s="1408"/>
      <c r="H35" s="1409"/>
      <c r="I35" s="1406"/>
      <c r="J35" s="1409"/>
      <c r="K35" s="782"/>
      <c r="L35" s="1140"/>
      <c r="M35" s="1141"/>
      <c r="N35" s="1128"/>
      <c r="O35" s="1141"/>
      <c r="P35" s="3252" t="str">
        <f>A35</f>
        <v>成交单价（元/平方米）</v>
      </c>
      <c r="Q35" s="3252"/>
      <c r="R35" s="3316">
        <f>E35</f>
        <v>0</v>
      </c>
      <c r="S35" s="3316"/>
      <c r="T35" s="3316">
        <f>G35</f>
        <v>0</v>
      </c>
      <c r="U35" s="3316"/>
      <c r="V35" s="3316">
        <f>I35</f>
        <v>0</v>
      </c>
      <c r="W35" s="3316"/>
      <c r="X35" s="758"/>
      <c r="Y35" s="780"/>
      <c r="Z35" s="758"/>
      <c r="AA35" s="758"/>
      <c r="AB35" s="758"/>
      <c r="AC35" s="758"/>
    </row>
    <row r="36" spans="1:29" ht="15.75" thickBot="1">
      <c r="A36" s="485" t="s">
        <v>2657</v>
      </c>
      <c r="B36" s="486"/>
      <c r="C36" s="1410" t="e">
        <f>R37</f>
        <v>#DIV/0!</v>
      </c>
      <c r="D36" s="1411"/>
      <c r="E36" s="1412" t="e">
        <f>R36</f>
        <v>#DIV/0!</v>
      </c>
      <c r="F36" s="1412"/>
      <c r="G36" s="1410" t="e">
        <f>T36</f>
        <v>#DIV/0!</v>
      </c>
      <c r="H36" s="1411"/>
      <c r="I36" s="1412" t="e">
        <f>V36</f>
        <v>#DIV/0!</v>
      </c>
      <c r="J36" s="1411"/>
      <c r="K36" s="783"/>
      <c r="L36" s="1140"/>
      <c r="M36" s="1141"/>
      <c r="N36" s="1128"/>
      <c r="O36" s="1141"/>
      <c r="P36" s="3252" t="str">
        <f>A36</f>
        <v>比较价值（元/平方米）</v>
      </c>
      <c r="Q36" s="3252"/>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58"/>
      <c r="Y36" s="758"/>
      <c r="Z36" s="758"/>
      <c r="AA36" s="758"/>
      <c r="AB36" s="758"/>
      <c r="AC36" s="758"/>
    </row>
    <row r="37" spans="1:29" ht="15.75" thickBot="1">
      <c r="A37" s="491" t="s">
        <v>2658</v>
      </c>
      <c r="B37" s="492"/>
      <c r="C37" s="1414" t="e">
        <f>R37</f>
        <v>#DIV/0!</v>
      </c>
      <c r="D37" s="1414"/>
      <c r="E37" s="1414"/>
      <c r="F37" s="1414"/>
      <c r="G37" s="1414"/>
      <c r="H37" s="1414"/>
      <c r="I37" s="1414"/>
      <c r="J37" s="1414"/>
      <c r="K37" s="784"/>
      <c r="L37" s="1140"/>
      <c r="M37" s="1141"/>
      <c r="N37" s="1141"/>
      <c r="O37" s="1141"/>
      <c r="P37" s="3246" t="str">
        <f>A37</f>
        <v>估价对象XX用房的比较价值（楼面单价，元/平方米）</v>
      </c>
      <c r="Q37" s="3247"/>
      <c r="R37" s="3315" t="e">
        <f>IF(F1="售价",ROUND(AVERAGE(R36:V36),0),ROUND(AVERAGE(R36:V36),1))</f>
        <v>#DIV/0!</v>
      </c>
      <c r="S37" s="3315"/>
      <c r="T37" s="3315"/>
      <c r="U37" s="3315"/>
      <c r="V37" s="3315"/>
      <c r="W37" s="3315"/>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70" t="str">
        <f>YEAR(C7)&amp;"-"&amp;MONTH(C7)</f>
        <v>2019-3</v>
      </c>
      <c r="D46" s="1571">
        <f>EDATE(C46,-1)</f>
        <v>43497</v>
      </c>
      <c r="E46" s="1571">
        <f t="shared" ref="E46:O46" si="16">EDATE(D46,-1)</f>
        <v>43466</v>
      </c>
      <c r="F46" s="1571">
        <f t="shared" si="16"/>
        <v>43435</v>
      </c>
      <c r="G46" s="1571">
        <f t="shared" si="16"/>
        <v>43405</v>
      </c>
      <c r="H46" s="1571">
        <f t="shared" si="16"/>
        <v>43374</v>
      </c>
      <c r="I46" s="1571">
        <f t="shared" si="16"/>
        <v>43344</v>
      </c>
      <c r="J46" s="1571">
        <f t="shared" si="16"/>
        <v>43313</v>
      </c>
      <c r="K46" s="1571">
        <f t="shared" si="16"/>
        <v>43282</v>
      </c>
      <c r="L46" s="1571">
        <f t="shared" si="16"/>
        <v>43252</v>
      </c>
      <c r="M46" s="1571">
        <f t="shared" si="16"/>
        <v>43221</v>
      </c>
      <c r="N46" s="1571">
        <f t="shared" si="16"/>
        <v>43191</v>
      </c>
      <c r="O46" s="1571">
        <f t="shared" si="16"/>
        <v>43160</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2576</v>
      </c>
      <c r="B51" s="527" t="s">
        <v>2542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2717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2551</v>
      </c>
      <c r="B77" s="527" t="s">
        <v>2604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2729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2782</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2318</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2320</v>
      </c>
      <c r="B3" s="608" t="e">
        <f>ROUND(IF(D3="",B2*10000/'数据-汇总表'!E3,B2*10000/D3),0)</f>
        <v>#DIV/0!</v>
      </c>
      <c r="C3" s="246" t="s">
        <v>2734</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2633</v>
      </c>
      <c r="B4" s="401"/>
      <c r="C4" s="3249" t="s">
        <v>2634</v>
      </c>
      <c r="D4" s="3262"/>
      <c r="E4" s="3263" t="s">
        <v>2635</v>
      </c>
      <c r="F4" s="3264"/>
      <c r="G4" s="3249" t="s">
        <v>2636</v>
      </c>
      <c r="H4" s="3262"/>
      <c r="I4" s="3249" t="s">
        <v>2637</v>
      </c>
      <c r="J4" s="3262"/>
      <c r="K4" s="609" t="s">
        <v>2638</v>
      </c>
      <c r="L4" s="1127"/>
      <c r="M4" s="1128"/>
      <c r="N4" s="1128"/>
      <c r="O4" s="1128"/>
      <c r="P4" s="3265" t="s">
        <v>2639</v>
      </c>
      <c r="Q4" s="3266"/>
      <c r="R4" s="3271" t="s">
        <v>2635</v>
      </c>
      <c r="S4" s="3272"/>
      <c r="T4" s="3271" t="s">
        <v>2636</v>
      </c>
      <c r="U4" s="3272"/>
      <c r="V4" s="3258" t="s">
        <v>2637</v>
      </c>
      <c r="W4" s="3258"/>
      <c r="X4" s="1809"/>
      <c r="Y4" s="3271" t="s">
        <v>2639</v>
      </c>
      <c r="Z4" s="3272"/>
      <c r="AA4" s="3259" t="s">
        <v>2635</v>
      </c>
      <c r="AB4" s="3260" t="s">
        <v>2636</v>
      </c>
      <c r="AC4" s="3259" t="s">
        <v>2637</v>
      </c>
    </row>
    <row r="5" spans="1:29" ht="15">
      <c r="A5" s="403"/>
      <c r="B5" s="404"/>
      <c r="C5" s="3279" t="s">
        <v>2530</v>
      </c>
      <c r="D5" s="3280"/>
      <c r="E5" s="3286" t="s">
        <v>2531</v>
      </c>
      <c r="F5" s="3287"/>
      <c r="G5" s="3279" t="s">
        <v>2532</v>
      </c>
      <c r="H5" s="3280"/>
      <c r="I5" s="3279" t="s">
        <v>2533</v>
      </c>
      <c r="J5" s="3280"/>
      <c r="K5" s="609"/>
      <c r="L5" s="1127"/>
      <c r="M5" s="1128"/>
      <c r="N5" s="1128"/>
      <c r="O5" s="1128"/>
      <c r="P5" s="3267"/>
      <c r="Q5" s="3268"/>
      <c r="R5" s="3273"/>
      <c r="S5" s="3274"/>
      <c r="T5" s="3273"/>
      <c r="U5" s="3274"/>
      <c r="V5" s="3258"/>
      <c r="W5" s="3258"/>
      <c r="X5" s="1809"/>
      <c r="Y5" s="3273"/>
      <c r="Z5" s="3274"/>
      <c r="AA5" s="3260"/>
      <c r="AB5" s="3260"/>
      <c r="AC5" s="3260"/>
    </row>
    <row r="6" spans="1:29" ht="15.75" thickBot="1">
      <c r="A6" s="405"/>
      <c r="B6" s="406"/>
      <c r="C6" s="3338" t="s">
        <v>2783</v>
      </c>
      <c r="D6" s="3339"/>
      <c r="E6" s="3340" t="s">
        <v>2783</v>
      </c>
      <c r="F6" s="3341"/>
      <c r="G6" s="3338" t="s">
        <v>2783</v>
      </c>
      <c r="H6" s="3339"/>
      <c r="I6" s="3338" t="s">
        <v>2783</v>
      </c>
      <c r="J6" s="3339"/>
      <c r="K6" s="609" t="s">
        <v>2535</v>
      </c>
      <c r="L6" s="1127"/>
      <c r="M6" s="1128"/>
      <c r="N6" s="1128"/>
      <c r="O6" s="1128"/>
      <c r="P6" s="3269"/>
      <c r="Q6" s="3270"/>
      <c r="R6" s="3273"/>
      <c r="S6" s="3274"/>
      <c r="T6" s="3275"/>
      <c r="U6" s="3276"/>
      <c r="V6" s="3258"/>
      <c r="W6" s="3258"/>
      <c r="X6" s="1809"/>
      <c r="Y6" s="3275"/>
      <c r="Z6" s="3276"/>
      <c r="AA6" s="3261"/>
      <c r="AB6" s="3261"/>
      <c r="AC6" s="3261"/>
    </row>
    <row r="7" spans="1:29" s="117" customFormat="1" ht="15.75" thickBot="1">
      <c r="A7" s="407" t="s">
        <v>2536</v>
      </c>
      <c r="B7" s="408"/>
      <c r="C7" s="409">
        <f>'数据-取费表'!B2</f>
        <v>43525</v>
      </c>
      <c r="D7" s="410">
        <v>100</v>
      </c>
      <c r="E7" s="411"/>
      <c r="F7" s="412">
        <f>SUMIF(65:65,YEAR(E7)&amp;"-"&amp;INT((MONTH(E7)+2)/3),66:66)</f>
        <v>0</v>
      </c>
      <c r="G7" s="2688"/>
      <c r="H7" s="410">
        <f>SUMIF(65:65,YEAR(G7)&amp;"-"&amp;INT((MONTH(G7)+2)/3),66:66)</f>
        <v>0</v>
      </c>
      <c r="I7" s="2688"/>
      <c r="J7" s="410">
        <f>SUMIF(65:65,YEAR(I7)&amp;"-"&amp;INT((MONTH(I7)+2)/3),66:66)</f>
        <v>0</v>
      </c>
      <c r="K7" s="610"/>
      <c r="L7" s="1129"/>
      <c r="M7" s="1130"/>
      <c r="N7" s="1130"/>
      <c r="O7" s="1130"/>
      <c r="P7" s="3281" t="s">
        <v>2537</v>
      </c>
      <c r="Q7" s="3283"/>
      <c r="R7" s="769" t="s">
        <v>17</v>
      </c>
      <c r="S7" s="770">
        <f t="shared" ref="S7:S15" si="0">F7</f>
        <v>0</v>
      </c>
      <c r="T7" s="769" t="s">
        <v>17</v>
      </c>
      <c r="U7" s="770">
        <f t="shared" ref="U7:U15" si="1">H7</f>
        <v>0</v>
      </c>
      <c r="V7" s="769" t="s">
        <v>17</v>
      </c>
      <c r="W7" s="770">
        <f t="shared" ref="W7:W15" si="2">J7</f>
        <v>0</v>
      </c>
      <c r="X7" s="771"/>
      <c r="Y7" s="3281" t="s">
        <v>2537</v>
      </c>
      <c r="Z7" s="3282"/>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81" t="s">
        <v>2540</v>
      </c>
      <c r="Q8" s="3282"/>
      <c r="R8" s="769" t="s">
        <v>17</v>
      </c>
      <c r="S8" s="770">
        <f t="shared" si="0"/>
        <v>0</v>
      </c>
      <c r="T8" s="769" t="s">
        <v>17</v>
      </c>
      <c r="U8" s="770">
        <f t="shared" si="1"/>
        <v>0</v>
      </c>
      <c r="V8" s="769" t="s">
        <v>17</v>
      </c>
      <c r="W8" s="770">
        <f t="shared" si="2"/>
        <v>0</v>
      </c>
      <c r="X8" s="771"/>
      <c r="Y8" s="3281" t="s">
        <v>2540</v>
      </c>
      <c r="Z8" s="3282"/>
      <c r="AA8" s="772" t="e">
        <f t="shared" ref="AA8:AA40" si="3">D8/F8</f>
        <v>#DIV/0!</v>
      </c>
      <c r="AB8" s="772" t="e">
        <f t="shared" ref="AB8:AB40" si="4">D8/H8</f>
        <v>#DIV/0!</v>
      </c>
      <c r="AC8" s="772" t="e">
        <f t="shared" ref="AC8:AC40" si="5">D8/J8</f>
        <v>#DIV/0!</v>
      </c>
    </row>
    <row r="9" spans="1:29" s="117" customFormat="1">
      <c r="A9" s="414" t="s">
        <v>2541</v>
      </c>
      <c r="B9" s="71" t="s">
        <v>2542</v>
      </c>
      <c r="C9" s="2691"/>
      <c r="D9" s="134">
        <v>100</v>
      </c>
      <c r="E9" s="2691"/>
      <c r="F9" s="134">
        <f>SUMIF(70:70,E9,71:71)-SUMIF(70:70,C9,71:71)+100</f>
        <v>100</v>
      </c>
      <c r="G9" s="2691"/>
      <c r="H9" s="134">
        <f>SUMIF(70:70,G9,71:71)-SUMIF(70:70,C9,71:71)+100</f>
        <v>100</v>
      </c>
      <c r="I9" s="2691"/>
      <c r="J9" s="134">
        <f>SUMIF(70:70,I9,71:71)-SUMIF(70:70,C9,71:71)+100</f>
        <v>100</v>
      </c>
      <c r="K9" s="610"/>
      <c r="L9" s="1129"/>
      <c r="M9" s="1130"/>
      <c r="N9" s="1130"/>
      <c r="O9" s="1131"/>
      <c r="P9" s="3252" t="s">
        <v>2543</v>
      </c>
      <c r="Q9" s="1791" t="str">
        <f t="shared" ref="Q9:Q15" si="6">B9</f>
        <v>用途</v>
      </c>
      <c r="R9" s="769" t="s">
        <v>17</v>
      </c>
      <c r="S9" s="770">
        <f t="shared" si="0"/>
        <v>100</v>
      </c>
      <c r="T9" s="769" t="s">
        <v>17</v>
      </c>
      <c r="U9" s="770">
        <f t="shared" si="1"/>
        <v>100</v>
      </c>
      <c r="V9" s="769" t="s">
        <v>17</v>
      </c>
      <c r="W9" s="770">
        <f t="shared" si="2"/>
        <v>100</v>
      </c>
      <c r="X9" s="771"/>
      <c r="Y9" s="3075" t="s">
        <v>2544</v>
      </c>
      <c r="Z9" s="55" t="str">
        <f t="shared" ref="Z9:Z15" si="7">Q9</f>
        <v>用途</v>
      </c>
      <c r="AA9" s="772">
        <f t="shared" si="3"/>
        <v>1</v>
      </c>
      <c r="AB9" s="772">
        <f t="shared" si="4"/>
        <v>1</v>
      </c>
      <c r="AC9" s="772">
        <f t="shared" si="5"/>
        <v>1</v>
      </c>
    </row>
    <row r="10" spans="1:29" s="426" customFormat="1" ht="27">
      <c r="A10" s="420"/>
      <c r="B10" s="421" t="s">
        <v>2545</v>
      </c>
      <c r="C10" s="431"/>
      <c r="D10" s="135">
        <v>100</v>
      </c>
      <c r="E10" s="431"/>
      <c r="F10" s="135">
        <f>ROUND(100/'数据-取费表'!G16,0)</f>
        <v>102</v>
      </c>
      <c r="G10" s="431"/>
      <c r="H10" s="135">
        <f>ROUND(100/'数据-取费表'!G16,0)</f>
        <v>102</v>
      </c>
      <c r="I10" s="431"/>
      <c r="J10" s="135">
        <f>ROUND(100/'数据-取费表'!G16,0)</f>
        <v>102</v>
      </c>
      <c r="K10" s="671"/>
      <c r="L10" s="1132"/>
      <c r="M10" s="1133"/>
      <c r="N10" s="1133"/>
      <c r="O10" s="1134"/>
      <c r="P10" s="3252"/>
      <c r="Q10" s="1791" t="str">
        <f t="shared" si="6"/>
        <v>土地使用年限（年）</v>
      </c>
      <c r="R10" s="769" t="s">
        <v>17</v>
      </c>
      <c r="S10" s="770">
        <f t="shared" si="0"/>
        <v>102</v>
      </c>
      <c r="T10" s="769" t="s">
        <v>17</v>
      </c>
      <c r="U10" s="770">
        <f t="shared" si="1"/>
        <v>102</v>
      </c>
      <c r="V10" s="769" t="s">
        <v>17</v>
      </c>
      <c r="W10" s="770">
        <f t="shared" si="2"/>
        <v>102</v>
      </c>
      <c r="X10" s="771"/>
      <c r="Y10" s="3075"/>
      <c r="Z10" s="55" t="str">
        <f t="shared" si="7"/>
        <v>土地使用年限（年）</v>
      </c>
      <c r="AA10" s="772">
        <f t="shared" si="3"/>
        <v>0.98039215686274506</v>
      </c>
      <c r="AB10" s="772">
        <f t="shared" si="4"/>
        <v>0.98039215686274506</v>
      </c>
      <c r="AC10" s="772">
        <f t="shared" si="5"/>
        <v>0.98039215686274506</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52"/>
      <c r="Q11" s="1791"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52"/>
      <c r="Q12" s="1791">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52"/>
      <c r="Q13" s="1791">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52"/>
      <c r="Q14" s="1791">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39" t="s">
        <v>2547</v>
      </c>
      <c r="B15" s="628" t="s">
        <v>2784</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54" t="s">
        <v>2548</v>
      </c>
      <c r="Q15" s="1806" t="str">
        <f t="shared" si="6"/>
        <v>产业集聚程度</v>
      </c>
      <c r="R15" s="773" t="s">
        <v>17</v>
      </c>
      <c r="S15" s="774">
        <f t="shared" si="0"/>
        <v>100</v>
      </c>
      <c r="T15" s="773" t="s">
        <v>17</v>
      </c>
      <c r="U15" s="774">
        <f t="shared" si="1"/>
        <v>100</v>
      </c>
      <c r="V15" s="773" t="s">
        <v>17</v>
      </c>
      <c r="W15" s="774">
        <f t="shared" si="2"/>
        <v>100</v>
      </c>
      <c r="X15" s="1809"/>
      <c r="Y15" s="3254" t="s">
        <v>2548</v>
      </c>
      <c r="Z15" s="1810" t="str">
        <f t="shared" si="7"/>
        <v>产业集聚程度</v>
      </c>
      <c r="AA15" s="1807">
        <f t="shared" si="3"/>
        <v>1</v>
      </c>
      <c r="AB15" s="1807">
        <f t="shared" si="4"/>
        <v>1</v>
      </c>
      <c r="AC15" s="1807">
        <f t="shared" si="5"/>
        <v>1</v>
      </c>
    </row>
    <row r="16" spans="1:29" ht="15">
      <c r="A16" s="427"/>
      <c r="B16" s="629"/>
      <c r="C16" s="446"/>
      <c r="D16" s="447"/>
      <c r="E16" s="2603"/>
      <c r="F16" s="447"/>
      <c r="G16" s="2603"/>
      <c r="H16" s="449"/>
      <c r="I16" s="2603"/>
      <c r="J16" s="447"/>
      <c r="K16" s="671"/>
      <c r="L16" s="1137"/>
      <c r="M16" s="1128"/>
      <c r="N16" s="1128"/>
      <c r="O16" s="1136"/>
      <c r="P16" s="3255"/>
      <c r="Q16" s="1806"/>
      <c r="R16" s="773"/>
      <c r="S16" s="774"/>
      <c r="T16" s="773"/>
      <c r="U16" s="774"/>
      <c r="V16" s="773"/>
      <c r="W16" s="774"/>
      <c r="X16" s="1809"/>
      <c r="Y16" s="3255"/>
      <c r="Z16" s="1810"/>
      <c r="AA16" s="1807">
        <v>1</v>
      </c>
      <c r="AB16" s="1807">
        <v>1</v>
      </c>
      <c r="AC16" s="1807">
        <v>1</v>
      </c>
    </row>
    <row r="17" spans="1:29" ht="85.5">
      <c r="A17" s="427"/>
      <c r="B17" s="630" t="s">
        <v>2697</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55"/>
      <c r="Q17" s="1806" t="str">
        <f>B17</f>
        <v>交通便捷度</v>
      </c>
      <c r="R17" s="773" t="s">
        <v>17</v>
      </c>
      <c r="S17" s="774">
        <f>F17</f>
        <v>100</v>
      </c>
      <c r="T17" s="773" t="s">
        <v>17</v>
      </c>
      <c r="U17" s="774">
        <f>H17</f>
        <v>100</v>
      </c>
      <c r="V17" s="773" t="s">
        <v>17</v>
      </c>
      <c r="W17" s="774">
        <f>J17</f>
        <v>100</v>
      </c>
      <c r="X17" s="1809"/>
      <c r="Y17" s="3255"/>
      <c r="Z17" s="1810" t="str">
        <f>Q17</f>
        <v>交通便捷度</v>
      </c>
      <c r="AA17" s="1807">
        <f t="shared" si="3"/>
        <v>1</v>
      </c>
      <c r="AB17" s="1807">
        <f t="shared" si="4"/>
        <v>1</v>
      </c>
      <c r="AC17" s="1807">
        <f t="shared" si="5"/>
        <v>1</v>
      </c>
    </row>
    <row r="18" spans="1:29" ht="15">
      <c r="A18" s="427"/>
      <c r="B18" s="631"/>
      <c r="C18" s="446"/>
      <c r="D18" s="447"/>
      <c r="E18" s="2597"/>
      <c r="F18" s="447"/>
      <c r="G18" s="2597"/>
      <c r="H18" s="447"/>
      <c r="I18" s="2596"/>
      <c r="J18" s="447"/>
      <c r="K18" s="671"/>
      <c r="L18" s="1137"/>
      <c r="M18" s="1128"/>
      <c r="N18" s="1128"/>
      <c r="O18" s="1136"/>
      <c r="P18" s="3255"/>
      <c r="Q18" s="1806"/>
      <c r="R18" s="773"/>
      <c r="S18" s="774"/>
      <c r="T18" s="773"/>
      <c r="U18" s="774"/>
      <c r="V18" s="773"/>
      <c r="W18" s="774"/>
      <c r="X18" s="1809"/>
      <c r="Y18" s="3255"/>
      <c r="Z18" s="1810"/>
      <c r="AA18" s="1807">
        <v>1</v>
      </c>
      <c r="AB18" s="1807">
        <v>1</v>
      </c>
      <c r="AC18" s="1807">
        <v>1</v>
      </c>
    </row>
    <row r="19" spans="1:29" ht="15">
      <c r="A19" s="427"/>
      <c r="B19" s="630" t="s">
        <v>2735</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55"/>
      <c r="Q19" s="1806" t="str">
        <f t="shared" ref="Q19:Q33" si="8">B19</f>
        <v>区域土地利用方向</v>
      </c>
      <c r="R19" s="773" t="s">
        <v>17</v>
      </c>
      <c r="S19" s="774">
        <f>F19</f>
        <v>100</v>
      </c>
      <c r="T19" s="773" t="s">
        <v>17</v>
      </c>
      <c r="U19" s="774">
        <f>H19</f>
        <v>100</v>
      </c>
      <c r="V19" s="773" t="s">
        <v>17</v>
      </c>
      <c r="W19" s="774">
        <f>J19</f>
        <v>100</v>
      </c>
      <c r="X19" s="1809"/>
      <c r="Y19" s="3255"/>
      <c r="Z19" s="1810" t="str">
        <f>Q19</f>
        <v>区域土地利用方向</v>
      </c>
      <c r="AA19" s="1807">
        <f t="shared" si="3"/>
        <v>1</v>
      </c>
      <c r="AB19" s="1807">
        <f t="shared" si="4"/>
        <v>1</v>
      </c>
      <c r="AC19" s="1807">
        <f t="shared" si="5"/>
        <v>1</v>
      </c>
    </row>
    <row r="20" spans="1:29" ht="15">
      <c r="A20" s="403"/>
      <c r="B20" s="631"/>
      <c r="C20" s="446"/>
      <c r="D20" s="447"/>
      <c r="E20" s="2597"/>
      <c r="F20" s="447"/>
      <c r="G20" s="2597"/>
      <c r="H20" s="447"/>
      <c r="I20" s="2597"/>
      <c r="J20" s="447"/>
      <c r="K20" s="806"/>
      <c r="L20" s="1137"/>
      <c r="M20" s="1128"/>
      <c r="N20" s="1128"/>
      <c r="O20" s="1136"/>
      <c r="P20" s="3255"/>
      <c r="Q20" s="1806"/>
      <c r="R20" s="773"/>
      <c r="S20" s="774"/>
      <c r="T20" s="773"/>
      <c r="U20" s="774"/>
      <c r="V20" s="773"/>
      <c r="W20" s="774"/>
      <c r="X20" s="1809"/>
      <c r="Y20" s="3255"/>
      <c r="Z20" s="1810"/>
      <c r="AA20" s="1807"/>
      <c r="AB20" s="1807"/>
      <c r="AC20" s="1807"/>
    </row>
    <row r="21" spans="1:29" ht="71.25">
      <c r="A21" s="403"/>
      <c r="B21" s="630" t="s">
        <v>2785</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55"/>
      <c r="Q21" s="1806" t="str">
        <f t="shared" si="8"/>
        <v>环境状况</v>
      </c>
      <c r="R21" s="773" t="s">
        <v>17</v>
      </c>
      <c r="S21" s="774">
        <f>F21</f>
        <v>100</v>
      </c>
      <c r="T21" s="773" t="s">
        <v>17</v>
      </c>
      <c r="U21" s="774">
        <f>H21</f>
        <v>100</v>
      </c>
      <c r="V21" s="773" t="s">
        <v>17</v>
      </c>
      <c r="W21" s="774">
        <f>J21</f>
        <v>100</v>
      </c>
      <c r="X21" s="1809"/>
      <c r="Y21" s="3255"/>
      <c r="Z21" s="1810" t="str">
        <f>Q21</f>
        <v>环境状况</v>
      </c>
      <c r="AA21" s="1807">
        <f t="shared" si="3"/>
        <v>1</v>
      </c>
      <c r="AB21" s="1807">
        <f t="shared" si="4"/>
        <v>1</v>
      </c>
      <c r="AC21" s="1807">
        <f t="shared" si="5"/>
        <v>1</v>
      </c>
    </row>
    <row r="22" spans="1:29" ht="15">
      <c r="A22" s="403"/>
      <c r="B22" s="631"/>
      <c r="C22" s="446"/>
      <c r="D22" s="447"/>
      <c r="E22" s="2603"/>
      <c r="F22" s="447"/>
      <c r="G22" s="2603"/>
      <c r="H22" s="447"/>
      <c r="I22" s="446"/>
      <c r="J22" s="447"/>
      <c r="K22" s="671"/>
      <c r="L22" s="1137"/>
      <c r="M22" s="1128"/>
      <c r="N22" s="1128"/>
      <c r="O22" s="1136"/>
      <c r="P22" s="3255"/>
      <c r="Q22" s="1806"/>
      <c r="R22" s="773"/>
      <c r="S22" s="774"/>
      <c r="T22" s="773"/>
      <c r="U22" s="774"/>
      <c r="V22" s="773"/>
      <c r="W22" s="774"/>
      <c r="X22" s="1809"/>
      <c r="Y22" s="3255"/>
      <c r="Z22" s="1810"/>
      <c r="AA22" s="1807">
        <v>1</v>
      </c>
      <c r="AB22" s="1807">
        <v>1</v>
      </c>
      <c r="AC22" s="1807">
        <v>1</v>
      </c>
    </row>
    <row r="23" spans="1:29" s="117" customFormat="1" ht="42.75">
      <c r="A23" s="648"/>
      <c r="B23" s="632" t="s">
        <v>2642</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55"/>
      <c r="Q23" s="1791" t="str">
        <f t="shared" si="8"/>
        <v>公共配套设施</v>
      </c>
      <c r="R23" s="769" t="s">
        <v>17</v>
      </c>
      <c r="S23" s="770">
        <f>F23</f>
        <v>100</v>
      </c>
      <c r="T23" s="769" t="s">
        <v>17</v>
      </c>
      <c r="U23" s="770">
        <f>H23</f>
        <v>100</v>
      </c>
      <c r="V23" s="769" t="s">
        <v>17</v>
      </c>
      <c r="W23" s="770">
        <f>J23</f>
        <v>100</v>
      </c>
      <c r="X23" s="771"/>
      <c r="Y23" s="3255"/>
      <c r="Z23" s="55" t="str">
        <f>Q23</f>
        <v>公共配套设施</v>
      </c>
      <c r="AA23" s="1807">
        <f>D23/F23</f>
        <v>1</v>
      </c>
      <c r="AB23" s="1807">
        <f>D23/H23</f>
        <v>1</v>
      </c>
      <c r="AC23" s="1807">
        <f>D23/J23</f>
        <v>1</v>
      </c>
    </row>
    <row r="24" spans="1:29" s="117" customFormat="1" ht="15">
      <c r="A24" s="648"/>
      <c r="B24" s="631"/>
      <c r="C24" s="2692"/>
      <c r="D24" s="447"/>
      <c r="E24" s="2603"/>
      <c r="F24" s="447"/>
      <c r="G24" s="2603"/>
      <c r="H24" s="447"/>
      <c r="I24" s="446"/>
      <c r="J24" s="447"/>
      <c r="K24" s="671"/>
      <c r="L24" s="1129"/>
      <c r="M24" s="1130"/>
      <c r="N24" s="1130"/>
      <c r="O24" s="1131"/>
      <c r="P24" s="3255"/>
      <c r="Q24" s="1791"/>
      <c r="R24" s="769"/>
      <c r="S24" s="770"/>
      <c r="T24" s="769"/>
      <c r="U24" s="770"/>
      <c r="V24" s="769"/>
      <c r="W24" s="770"/>
      <c r="X24" s="771"/>
      <c r="Y24" s="3255"/>
      <c r="Z24" s="55"/>
      <c r="AA24" s="772">
        <v>1</v>
      </c>
      <c r="AB24" s="772">
        <v>1</v>
      </c>
      <c r="AC24" s="772">
        <v>1</v>
      </c>
    </row>
    <row r="25" spans="1:29" s="117" customFormat="1" ht="28.5">
      <c r="A25" s="648"/>
      <c r="B25" s="632" t="s">
        <v>2643</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55"/>
      <c r="Q25" s="1791" t="str">
        <f t="shared" ref="Q25" si="9">B25</f>
        <v>基础设施水平</v>
      </c>
      <c r="R25" s="769" t="s">
        <v>17</v>
      </c>
      <c r="S25" s="770">
        <f>F25</f>
        <v>100</v>
      </c>
      <c r="T25" s="769" t="s">
        <v>17</v>
      </c>
      <c r="U25" s="770">
        <f>H25</f>
        <v>100</v>
      </c>
      <c r="V25" s="769" t="s">
        <v>17</v>
      </c>
      <c r="W25" s="770">
        <f>J25</f>
        <v>100</v>
      </c>
      <c r="X25" s="771"/>
      <c r="Y25" s="3255"/>
      <c r="Z25" s="55" t="str">
        <f>Q25</f>
        <v>基础设施水平</v>
      </c>
      <c r="AA25" s="1807">
        <f>D25/F25</f>
        <v>1</v>
      </c>
      <c r="AB25" s="1807">
        <f>D25/H25</f>
        <v>1</v>
      </c>
      <c r="AC25" s="1807">
        <f>D25/J25</f>
        <v>1</v>
      </c>
    </row>
    <row r="26" spans="1:29" s="117" customFormat="1" ht="15">
      <c r="A26" s="648"/>
      <c r="B26" s="631"/>
      <c r="C26" s="2692"/>
      <c r="D26" s="447"/>
      <c r="E26" s="2693"/>
      <c r="F26" s="447"/>
      <c r="G26" s="2693"/>
      <c r="H26" s="447"/>
      <c r="I26" s="2693"/>
      <c r="J26" s="447"/>
      <c r="K26" s="671"/>
      <c r="L26" s="1129"/>
      <c r="M26" s="1130"/>
      <c r="N26" s="1130"/>
      <c r="O26" s="1131"/>
      <c r="P26" s="3255"/>
      <c r="Q26" s="1791"/>
      <c r="R26" s="769"/>
      <c r="S26" s="770"/>
      <c r="T26" s="769"/>
      <c r="U26" s="770"/>
      <c r="V26" s="769"/>
      <c r="W26" s="770"/>
      <c r="X26" s="771"/>
      <c r="Y26" s="3255"/>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55"/>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55"/>
      <c r="Z27" s="1810" t="str">
        <f t="shared" ref="Z27:Z40" si="13">Q27</f>
        <v>临街状况</v>
      </c>
      <c r="AA27" s="1807">
        <f t="shared" si="3"/>
        <v>1</v>
      </c>
      <c r="AB27" s="1807">
        <f t="shared" si="4"/>
        <v>1</v>
      </c>
      <c r="AC27" s="1807">
        <f t="shared" si="5"/>
        <v>1</v>
      </c>
    </row>
    <row r="28" spans="1:29" ht="27">
      <c r="A28" s="427"/>
      <c r="B28" s="632" t="s">
        <v>2679</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55"/>
      <c r="Q28" s="1806" t="str">
        <f t="shared" si="8"/>
        <v>毗邻道路的类型与等级</v>
      </c>
      <c r="R28" s="773" t="s">
        <v>17</v>
      </c>
      <c r="S28" s="774">
        <f t="shared" si="10"/>
        <v>100</v>
      </c>
      <c r="T28" s="773" t="s">
        <v>17</v>
      </c>
      <c r="U28" s="774">
        <f t="shared" si="11"/>
        <v>100</v>
      </c>
      <c r="V28" s="773" t="s">
        <v>17</v>
      </c>
      <c r="W28" s="774">
        <f t="shared" si="12"/>
        <v>100</v>
      </c>
      <c r="X28" s="1809"/>
      <c r="Y28" s="3255"/>
      <c r="Z28" s="1810" t="str">
        <f t="shared" si="13"/>
        <v>毗邻道路的类型与等级</v>
      </c>
      <c r="AA28" s="1807">
        <f t="shared" si="3"/>
        <v>1</v>
      </c>
      <c r="AB28" s="1807">
        <f t="shared" si="4"/>
        <v>1</v>
      </c>
      <c r="AC28" s="1807">
        <f t="shared" si="5"/>
        <v>1</v>
      </c>
    </row>
    <row r="29" spans="1:29" ht="15">
      <c r="A29" s="427"/>
      <c r="B29" s="631"/>
      <c r="C29" s="446"/>
      <c r="D29" s="447"/>
      <c r="E29" s="2603"/>
      <c r="F29" s="447"/>
      <c r="G29" s="2603"/>
      <c r="H29" s="447"/>
      <c r="I29" s="2603"/>
      <c r="J29" s="447"/>
      <c r="K29" s="612"/>
      <c r="L29" s="1137"/>
      <c r="M29" s="1128"/>
      <c r="N29" s="1128"/>
      <c r="O29" s="1136"/>
      <c r="P29" s="3255"/>
      <c r="Q29" s="1806"/>
      <c r="R29" s="773"/>
      <c r="S29" s="774"/>
      <c r="T29" s="773"/>
      <c r="U29" s="774"/>
      <c r="V29" s="773"/>
      <c r="W29" s="774"/>
      <c r="X29" s="1809"/>
      <c r="Y29" s="3255"/>
      <c r="Z29" s="1810"/>
      <c r="AA29" s="1807">
        <v>1</v>
      </c>
      <c r="AB29" s="1807">
        <v>1</v>
      </c>
      <c r="AC29" s="1807">
        <v>1</v>
      </c>
    </row>
    <row r="30" spans="1:29" ht="15">
      <c r="A30" s="427"/>
      <c r="B30" s="653" t="s">
        <v>2737</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55"/>
      <c r="Q30" s="1806" t="str">
        <f t="shared" si="8"/>
        <v>土地级别</v>
      </c>
      <c r="R30" s="773" t="s">
        <v>17</v>
      </c>
      <c r="S30" s="774">
        <f t="shared" si="10"/>
        <v>100</v>
      </c>
      <c r="T30" s="773" t="s">
        <v>17</v>
      </c>
      <c r="U30" s="774">
        <f t="shared" si="11"/>
        <v>100</v>
      </c>
      <c r="V30" s="773" t="s">
        <v>17</v>
      </c>
      <c r="W30" s="774">
        <f t="shared" si="12"/>
        <v>100</v>
      </c>
      <c r="X30" s="1809"/>
      <c r="Y30" s="3255"/>
      <c r="Z30" s="1810" t="str">
        <f t="shared" si="13"/>
        <v>土地级别</v>
      </c>
      <c r="AA30" s="1807">
        <f t="shared" si="3"/>
        <v>1</v>
      </c>
      <c r="AB30" s="1807">
        <f t="shared" si="4"/>
        <v>1</v>
      </c>
      <c r="AC30" s="1807">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55"/>
      <c r="Q31" s="1806">
        <f t="shared" si="8"/>
        <v>111</v>
      </c>
      <c r="R31" s="773" t="s">
        <v>17</v>
      </c>
      <c r="S31" s="774">
        <f t="shared" si="10"/>
        <v>100</v>
      </c>
      <c r="T31" s="773" t="s">
        <v>17</v>
      </c>
      <c r="U31" s="774">
        <f t="shared" si="11"/>
        <v>100</v>
      </c>
      <c r="V31" s="773" t="s">
        <v>17</v>
      </c>
      <c r="W31" s="774">
        <f t="shared" si="12"/>
        <v>100</v>
      </c>
      <c r="X31" s="1809"/>
      <c r="Y31" s="3255"/>
      <c r="Z31" s="1810">
        <f t="shared" si="13"/>
        <v>111</v>
      </c>
      <c r="AA31" s="1807">
        <f t="shared" si="3"/>
        <v>1</v>
      </c>
      <c r="AB31" s="1807">
        <f t="shared" si="4"/>
        <v>1</v>
      </c>
      <c r="AC31" s="1807">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56" t="s">
        <v>2553</v>
      </c>
      <c r="Q32" s="1806">
        <f t="shared" si="8"/>
        <v>111</v>
      </c>
      <c r="R32" s="773" t="s">
        <v>17</v>
      </c>
      <c r="S32" s="774">
        <f t="shared" si="10"/>
        <v>100</v>
      </c>
      <c r="T32" s="773" t="s">
        <v>17</v>
      </c>
      <c r="U32" s="774">
        <f t="shared" si="11"/>
        <v>100</v>
      </c>
      <c r="V32" s="773" t="s">
        <v>17</v>
      </c>
      <c r="W32" s="774">
        <f t="shared" si="12"/>
        <v>100</v>
      </c>
      <c r="X32" s="1809"/>
      <c r="Y32" s="3257" t="s">
        <v>2553</v>
      </c>
      <c r="Z32" s="1810">
        <f t="shared" si="13"/>
        <v>111</v>
      </c>
      <c r="AA32" s="1807">
        <f t="shared" si="3"/>
        <v>1</v>
      </c>
      <c r="AB32" s="1807">
        <f t="shared" si="4"/>
        <v>1</v>
      </c>
      <c r="AC32" s="1807">
        <f t="shared" si="5"/>
        <v>1</v>
      </c>
    </row>
    <row r="33" spans="1:29" s="470" customFormat="1" ht="15.75"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57"/>
      <c r="Q33" s="1806">
        <f t="shared" si="8"/>
        <v>111</v>
      </c>
      <c r="R33" s="776" t="s">
        <v>17</v>
      </c>
      <c r="S33" s="777">
        <f t="shared" si="10"/>
        <v>100</v>
      </c>
      <c r="T33" s="776" t="s">
        <v>17</v>
      </c>
      <c r="U33" s="777">
        <f t="shared" si="11"/>
        <v>100</v>
      </c>
      <c r="V33" s="776" t="s">
        <v>17</v>
      </c>
      <c r="W33" s="777">
        <f t="shared" si="12"/>
        <v>100</v>
      </c>
      <c r="X33" s="778"/>
      <c r="Y33" s="3257"/>
      <c r="Z33" s="779">
        <f t="shared" si="13"/>
        <v>111</v>
      </c>
      <c r="AA33" s="1807">
        <f t="shared" si="3"/>
        <v>1</v>
      </c>
      <c r="AB33" s="1807">
        <f t="shared" si="4"/>
        <v>1</v>
      </c>
      <c r="AC33" s="1807">
        <f t="shared" si="5"/>
        <v>1</v>
      </c>
    </row>
    <row r="34" spans="1:29" ht="15">
      <c r="A34" s="439" t="s">
        <v>2551</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57"/>
      <c r="Q34" s="1806" t="str">
        <f>B34</f>
        <v>宗地面积</v>
      </c>
      <c r="R34" s="773" t="s">
        <v>17</v>
      </c>
      <c r="S34" s="774" t="e">
        <f t="shared" si="10"/>
        <v>#N/A</v>
      </c>
      <c r="T34" s="773" t="s">
        <v>17</v>
      </c>
      <c r="U34" s="774" t="e">
        <f t="shared" si="11"/>
        <v>#N/A</v>
      </c>
      <c r="V34" s="773" t="s">
        <v>17</v>
      </c>
      <c r="W34" s="774" t="e">
        <f t="shared" si="12"/>
        <v>#N/A</v>
      </c>
      <c r="X34" s="1809"/>
      <c r="Y34" s="3257"/>
      <c r="Z34" s="1810" t="str">
        <f t="shared" si="13"/>
        <v>宗地面积</v>
      </c>
      <c r="AA34" s="1807" t="e">
        <f t="shared" si="3"/>
        <v>#N/A</v>
      </c>
      <c r="AB34" s="1807" t="e">
        <f t="shared" si="4"/>
        <v>#N/A</v>
      </c>
      <c r="AC34" s="1807" t="e">
        <f t="shared" si="5"/>
        <v>#N/A</v>
      </c>
    </row>
    <row r="35" spans="1:29" ht="15">
      <c r="A35" s="471"/>
      <c r="B35" s="421" t="s">
        <v>2739</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7"/>
      <c r="M35" s="1128"/>
      <c r="N35" s="1128"/>
      <c r="O35" s="1136"/>
      <c r="P35" s="3257"/>
      <c r="Q35" s="1806" t="str">
        <f t="shared" ref="Q35:Q40" si="14">B35</f>
        <v>宗地形状</v>
      </c>
      <c r="R35" s="773" t="s">
        <v>17</v>
      </c>
      <c r="S35" s="774">
        <f t="shared" si="10"/>
        <v>100</v>
      </c>
      <c r="T35" s="773" t="s">
        <v>17</v>
      </c>
      <c r="U35" s="774">
        <f t="shared" si="11"/>
        <v>100</v>
      </c>
      <c r="V35" s="773" t="s">
        <v>17</v>
      </c>
      <c r="W35" s="774">
        <f t="shared" si="12"/>
        <v>100</v>
      </c>
      <c r="X35" s="1809"/>
      <c r="Y35" s="3257"/>
      <c r="Z35" s="1810" t="str">
        <f t="shared" si="13"/>
        <v>宗地形状</v>
      </c>
      <c r="AA35" s="1807">
        <f t="shared" si="3"/>
        <v>1</v>
      </c>
      <c r="AB35" s="1807">
        <f t="shared" si="4"/>
        <v>1</v>
      </c>
      <c r="AC35" s="1807">
        <f t="shared" si="5"/>
        <v>1</v>
      </c>
    </row>
    <row r="36" spans="1:29" s="117" customFormat="1" ht="15">
      <c r="A36" s="472"/>
      <c r="B36" s="421" t="s">
        <v>2741</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9"/>
      <c r="M36" s="1130"/>
      <c r="N36" s="1130"/>
      <c r="O36" s="1131"/>
      <c r="P36" s="3257"/>
      <c r="Q36" s="1806" t="str">
        <f t="shared" si="14"/>
        <v>宗地开发程度</v>
      </c>
      <c r="R36" s="769" t="s">
        <v>17</v>
      </c>
      <c r="S36" s="770">
        <f t="shared" si="10"/>
        <v>100</v>
      </c>
      <c r="T36" s="769" t="s">
        <v>17</v>
      </c>
      <c r="U36" s="770">
        <f t="shared" si="11"/>
        <v>100</v>
      </c>
      <c r="V36" s="769" t="s">
        <v>17</v>
      </c>
      <c r="W36" s="770">
        <f t="shared" si="12"/>
        <v>100</v>
      </c>
      <c r="X36" s="771"/>
      <c r="Y36" s="3257"/>
      <c r="Z36" s="55" t="str">
        <f t="shared" si="13"/>
        <v>宗地开发程度</v>
      </c>
      <c r="AA36" s="772">
        <f t="shared" si="3"/>
        <v>1</v>
      </c>
      <c r="AB36" s="772">
        <f t="shared" si="4"/>
        <v>1</v>
      </c>
      <c r="AC36" s="772">
        <f t="shared" si="5"/>
        <v>1</v>
      </c>
    </row>
    <row r="37" spans="1:29" ht="15">
      <c r="A37" s="471"/>
      <c r="B37" s="421" t="s">
        <v>2742</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7"/>
      <c r="M37" s="1128"/>
      <c r="N37" s="1128"/>
      <c r="O37" s="1136"/>
      <c r="P37" s="3257" t="s">
        <v>2553</v>
      </c>
      <c r="Q37" s="1806" t="str">
        <f t="shared" si="14"/>
        <v>工程地质条件</v>
      </c>
      <c r="R37" s="773" t="s">
        <v>17</v>
      </c>
      <c r="S37" s="774">
        <f t="shared" si="10"/>
        <v>100</v>
      </c>
      <c r="T37" s="773" t="s">
        <v>17</v>
      </c>
      <c r="U37" s="774">
        <f t="shared" si="11"/>
        <v>100</v>
      </c>
      <c r="V37" s="773" t="s">
        <v>17</v>
      </c>
      <c r="W37" s="774">
        <f t="shared" si="12"/>
        <v>100</v>
      </c>
      <c r="X37" s="1809"/>
      <c r="Y37" s="3257" t="s">
        <v>2553</v>
      </c>
      <c r="Z37" s="1810" t="str">
        <f t="shared" si="13"/>
        <v>工程地质条件</v>
      </c>
      <c r="AA37" s="1807">
        <f t="shared" si="3"/>
        <v>1</v>
      </c>
      <c r="AB37" s="1807">
        <f t="shared" si="4"/>
        <v>1</v>
      </c>
      <c r="AC37" s="1807">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57"/>
      <c r="Q38" s="1806">
        <f t="shared" si="14"/>
        <v>111</v>
      </c>
      <c r="R38" s="773" t="s">
        <v>17</v>
      </c>
      <c r="S38" s="774">
        <f t="shared" si="10"/>
        <v>100</v>
      </c>
      <c r="T38" s="773" t="s">
        <v>17</v>
      </c>
      <c r="U38" s="774">
        <f t="shared" si="11"/>
        <v>100</v>
      </c>
      <c r="V38" s="773" t="s">
        <v>17</v>
      </c>
      <c r="W38" s="774">
        <f t="shared" si="12"/>
        <v>100</v>
      </c>
      <c r="X38" s="1809"/>
      <c r="Y38" s="3257"/>
      <c r="Z38" s="1810">
        <f t="shared" si="13"/>
        <v>111</v>
      </c>
      <c r="AA38" s="1807">
        <f t="shared" si="3"/>
        <v>1</v>
      </c>
      <c r="AB38" s="1807">
        <f t="shared" si="4"/>
        <v>1</v>
      </c>
      <c r="AC38" s="1807">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57"/>
      <c r="Q39" s="1806">
        <f t="shared" si="14"/>
        <v>111</v>
      </c>
      <c r="R39" s="773" t="s">
        <v>17</v>
      </c>
      <c r="S39" s="774">
        <f t="shared" si="10"/>
        <v>100</v>
      </c>
      <c r="T39" s="773" t="s">
        <v>17</v>
      </c>
      <c r="U39" s="774">
        <f t="shared" si="11"/>
        <v>100</v>
      </c>
      <c r="V39" s="773" t="s">
        <v>17</v>
      </c>
      <c r="W39" s="774">
        <f t="shared" si="12"/>
        <v>100</v>
      </c>
      <c r="X39" s="1809"/>
      <c r="Y39" s="3257"/>
      <c r="Z39" s="1810">
        <f t="shared" si="13"/>
        <v>111</v>
      </c>
      <c r="AA39" s="1807">
        <f t="shared" si="3"/>
        <v>1</v>
      </c>
      <c r="AB39" s="1807">
        <f t="shared" si="4"/>
        <v>1</v>
      </c>
      <c r="AC39" s="1807">
        <f t="shared" si="5"/>
        <v>1</v>
      </c>
    </row>
    <row r="40" spans="1:29" s="470" customFormat="1" ht="15.75" thickBot="1">
      <c r="A40" s="467"/>
      <c r="B40" s="1384">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57"/>
      <c r="Q40" s="1806">
        <f t="shared" si="14"/>
        <v>111</v>
      </c>
      <c r="R40" s="776" t="s">
        <v>17</v>
      </c>
      <c r="S40" s="777">
        <f t="shared" si="10"/>
        <v>100</v>
      </c>
      <c r="T40" s="776" t="s">
        <v>17</v>
      </c>
      <c r="U40" s="777">
        <f t="shared" si="11"/>
        <v>100</v>
      </c>
      <c r="V40" s="776" t="s">
        <v>17</v>
      </c>
      <c r="W40" s="777">
        <f t="shared" si="12"/>
        <v>100</v>
      </c>
      <c r="X40" s="778"/>
      <c r="Y40" s="3257"/>
      <c r="Z40" s="779">
        <f t="shared" si="13"/>
        <v>111</v>
      </c>
      <c r="AA40" s="1807">
        <f t="shared" si="3"/>
        <v>1</v>
      </c>
      <c r="AB40" s="1807">
        <f t="shared" si="4"/>
        <v>1</v>
      </c>
      <c r="AC40" s="1807">
        <f t="shared" si="5"/>
        <v>1</v>
      </c>
    </row>
    <row r="41" spans="1:29" ht="15">
      <c r="A41" s="478" t="s">
        <v>2708</v>
      </c>
      <c r="B41" s="2696" t="s">
        <v>2786</v>
      </c>
      <c r="C41" s="681" t="s">
        <v>1</v>
      </c>
      <c r="D41" s="480"/>
      <c r="E41" s="481"/>
      <c r="F41" s="482"/>
      <c r="G41" s="483"/>
      <c r="H41" s="484"/>
      <c r="I41" s="481"/>
      <c r="J41" s="484"/>
      <c r="K41" s="782"/>
      <c r="L41" s="1140"/>
      <c r="M41" s="1128"/>
      <c r="N41" s="1128"/>
      <c r="O41" s="1141"/>
      <c r="P41" s="3252" t="str">
        <f>A41</f>
        <v>成交单价</v>
      </c>
      <c r="Q41" s="3252"/>
      <c r="R41" s="3258">
        <f>E41</f>
        <v>0</v>
      </c>
      <c r="S41" s="3258"/>
      <c r="T41" s="3258">
        <f>G41</f>
        <v>0</v>
      </c>
      <c r="U41" s="3258"/>
      <c r="V41" s="3258">
        <f>I41</f>
        <v>0</v>
      </c>
      <c r="W41" s="3258"/>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0"/>
      <c r="M42" s="1128"/>
      <c r="N42" s="1128"/>
      <c r="O42" s="1141"/>
      <c r="P42" s="3252" t="str">
        <f>A42</f>
        <v>比较价值（元/平方米）</v>
      </c>
      <c r="Q42" s="3252"/>
      <c r="R42" s="3245" t="e">
        <f>ROUND(PRODUCT(R41,AA7:AA40),0)</f>
        <v>#DIV/0!</v>
      </c>
      <c r="S42" s="3245"/>
      <c r="T42" s="3245" t="e">
        <f>ROUND(PRODUCT(T41,AB7:AB40),0)</f>
        <v>#DIV/0!</v>
      </c>
      <c r="U42" s="3245"/>
      <c r="V42" s="3245" t="e">
        <f>ROUND(PRODUCT(V41,AC7:AC40),0)</f>
        <v>#DIV/0!</v>
      </c>
      <c r="W42" s="3245"/>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0"/>
      <c r="M43" s="1128"/>
      <c r="N43" s="1128"/>
      <c r="O43" s="1141"/>
      <c r="P43" s="3246" t="str">
        <f>A43</f>
        <v>估价对象XX用房的比较价值（楼面单价，元/平方米）</v>
      </c>
      <c r="Q43" s="3247"/>
      <c r="R43" s="3248" t="e">
        <f>ROUND(AVERAGE(R42:V42),0)</f>
        <v>#DIV/0!</v>
      </c>
      <c r="S43" s="3248"/>
      <c r="T43" s="3248"/>
      <c r="U43" s="3248"/>
      <c r="V43" s="3248"/>
      <c r="W43" s="324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2745</v>
      </c>
      <c r="B50" s="684" t="s">
        <v>2746</v>
      </c>
      <c r="C50" s="2697" t="s">
        <v>2747</v>
      </c>
      <c r="D50" s="2698" t="s">
        <v>2748</v>
      </c>
      <c r="E50" s="685" t="s">
        <v>2749</v>
      </c>
      <c r="F50" s="686" t="s">
        <v>2750</v>
      </c>
      <c r="G50" s="3249" t="s">
        <v>2751</v>
      </c>
      <c r="H50" s="3250"/>
      <c r="I50" s="1810" t="s">
        <v>2787</v>
      </c>
      <c r="J50" s="1810" t="str">
        <f>项目基本情况!F35</f>
        <v>贵州省贵阳市</v>
      </c>
      <c r="K50" s="2700" t="s">
        <v>2753</v>
      </c>
      <c r="L50" s="1103"/>
      <c r="M50" s="1141"/>
      <c r="N50" s="1141"/>
      <c r="O50" s="1141"/>
    </row>
    <row r="51" spans="1:17" s="691" customFormat="1">
      <c r="A51" s="687" t="s">
        <v>2754</v>
      </c>
      <c r="B51" s="688" t="e">
        <f>C43</f>
        <v>#DIV/0!</v>
      </c>
      <c r="C51" s="689">
        <v>1</v>
      </c>
      <c r="D51" s="1160">
        <v>1</v>
      </c>
      <c r="E51" s="689">
        <f>'数据-汇总表'!E8+'数据-汇总表'!E9</f>
        <v>42389.05</v>
      </c>
      <c r="F51" s="690" t="e">
        <f t="shared" ref="F51:F60" si="15">ROUND(B51*E51/10000,0)</f>
        <v>#DIV/0!</v>
      </c>
      <c r="G51" s="3251"/>
      <c r="H51" s="3252"/>
      <c r="I51" s="939">
        <v>1</v>
      </c>
      <c r="J51" s="939">
        <v>1</v>
      </c>
      <c r="K51" s="1142"/>
      <c r="L51" s="938"/>
      <c r="M51" s="938"/>
      <c r="N51" s="938"/>
      <c r="O51" s="938"/>
    </row>
    <row r="52" spans="1:17" s="691" customFormat="1">
      <c r="A52" s="692" t="s">
        <v>2755</v>
      </c>
      <c r="B52" s="261" t="e">
        <f>ROUND($C$43*C52*D52,0)</f>
        <v>#DIV/0!</v>
      </c>
      <c r="C52" s="199">
        <f t="shared" ref="C52:C60" si="16">IF($C$50="北京市系数",I52,J52)</f>
        <v>0</v>
      </c>
      <c r="D52" s="1161">
        <v>0.25</v>
      </c>
      <c r="E52" s="693"/>
      <c r="F52" s="690" t="e">
        <f t="shared" si="15"/>
        <v>#DIV/0!</v>
      </c>
      <c r="G52" s="3253" t="s">
        <v>2756</v>
      </c>
      <c r="H52" s="1101">
        <f>项目基本情况!B37</f>
        <v>0</v>
      </c>
      <c r="I52" s="939">
        <f>SUMIF(修正!A45:A56,H52,修正!B45:B56)</f>
        <v>0</v>
      </c>
      <c r="J52" s="940"/>
      <c r="K52" s="1141"/>
      <c r="L52" s="938"/>
      <c r="M52" s="938"/>
      <c r="N52" s="938"/>
      <c r="O52" s="938"/>
    </row>
    <row r="53" spans="1:17" s="691" customFormat="1">
      <c r="A53" s="692" t="s">
        <v>2757</v>
      </c>
      <c r="B53" s="261" t="e">
        <f t="shared" ref="B53:B60" si="17">ROUND($C$43*C53*D53,0)</f>
        <v>#DIV/0!</v>
      </c>
      <c r="C53" s="199">
        <f t="shared" si="16"/>
        <v>0</v>
      </c>
      <c r="D53" s="1161">
        <v>0.25</v>
      </c>
      <c r="E53" s="693"/>
      <c r="F53" s="690" t="e">
        <f t="shared" si="15"/>
        <v>#DIV/0!</v>
      </c>
      <c r="G53" s="3253"/>
      <c r="H53" s="1101">
        <f>项目基本情况!B37</f>
        <v>0</v>
      </c>
      <c r="I53" s="939">
        <f>SUMIF(修正!A45:A56,H53,修正!C45:C56)</f>
        <v>0</v>
      </c>
      <c r="J53" s="940"/>
      <c r="K53" s="1142"/>
      <c r="L53" s="938"/>
      <c r="M53" s="938"/>
      <c r="N53" s="938"/>
      <c r="O53" s="938"/>
    </row>
    <row r="54" spans="1:17" s="691" customFormat="1">
      <c r="A54" s="692" t="s">
        <v>2758</v>
      </c>
      <c r="B54" s="261" t="e">
        <f t="shared" si="17"/>
        <v>#DIV/0!</v>
      </c>
      <c r="C54" s="199">
        <f t="shared" si="16"/>
        <v>0</v>
      </c>
      <c r="D54" s="1161">
        <v>0.25</v>
      </c>
      <c r="E54" s="693"/>
      <c r="F54" s="690" t="e">
        <f t="shared" si="15"/>
        <v>#DIV/0!</v>
      </c>
      <c r="G54" s="3253"/>
      <c r="H54" s="1101">
        <f>项目基本情况!B37</f>
        <v>0</v>
      </c>
      <c r="I54" s="939">
        <f>SUMIF(修正!A45:A56,H54,修正!D45:D56)</f>
        <v>0</v>
      </c>
      <c r="J54" s="940"/>
      <c r="K54" s="1141"/>
      <c r="L54" s="938"/>
      <c r="M54" s="938"/>
      <c r="N54" s="938"/>
      <c r="O54" s="938"/>
    </row>
    <row r="55" spans="1:17" s="691" customFormat="1">
      <c r="A55" s="692" t="s">
        <v>2759</v>
      </c>
      <c r="B55" s="261" t="e">
        <f t="shared" si="17"/>
        <v>#DIV/0!</v>
      </c>
      <c r="C55" s="199">
        <f t="shared" si="16"/>
        <v>0</v>
      </c>
      <c r="D55" s="1161">
        <v>0.25</v>
      </c>
      <c r="E55" s="693"/>
      <c r="F55" s="690" t="e">
        <f t="shared" si="15"/>
        <v>#DIV/0!</v>
      </c>
      <c r="G55" s="3253"/>
      <c r="H55" s="1101">
        <f>项目基本情况!B37</f>
        <v>0</v>
      </c>
      <c r="I55" s="939">
        <f>SUMIF(修正!A45:A56,H55,修正!E45:E56)</f>
        <v>0</v>
      </c>
      <c r="J55" s="940"/>
      <c r="K55" s="1142"/>
      <c r="L55" s="938"/>
      <c r="M55" s="938"/>
      <c r="N55" s="938"/>
      <c r="O55" s="938"/>
    </row>
    <row r="56" spans="1:17" s="691" customFormat="1">
      <c r="A56" s="692" t="s">
        <v>2760</v>
      </c>
      <c r="B56" s="261" t="e">
        <f t="shared" si="17"/>
        <v>#DIV/0!</v>
      </c>
      <c r="C56" s="199">
        <f t="shared" si="16"/>
        <v>0</v>
      </c>
      <c r="D56" s="1161">
        <v>0.25</v>
      </c>
      <c r="E56" s="260">
        <f>'数据-汇总表'!E11</f>
        <v>0</v>
      </c>
      <c r="F56" s="690" t="e">
        <f t="shared" si="15"/>
        <v>#DIV/0!</v>
      </c>
      <c r="G56" s="2701" t="s">
        <v>2761</v>
      </c>
      <c r="H56" s="1101">
        <f>项目基本情况!C37</f>
        <v>0</v>
      </c>
      <c r="I56" s="939">
        <f>SUMIF(修正!A45:A56,H56,修正!F45:F56)</f>
        <v>0</v>
      </c>
      <c r="J56" s="940"/>
      <c r="K56" s="1141"/>
      <c r="L56" s="938"/>
      <c r="M56" s="938"/>
      <c r="N56" s="938"/>
      <c r="O56" s="938"/>
    </row>
    <row r="57" spans="1:17" s="691" customFormat="1">
      <c r="A57" s="692" t="s">
        <v>2762</v>
      </c>
      <c r="B57" s="261" t="e">
        <f t="shared" si="17"/>
        <v>#DIV/0!</v>
      </c>
      <c r="C57" s="199">
        <f t="shared" si="16"/>
        <v>0</v>
      </c>
      <c r="D57" s="1161">
        <v>0.25</v>
      </c>
      <c r="E57" s="260">
        <f>'数据-汇总表'!E12</f>
        <v>0</v>
      </c>
      <c r="F57" s="690" t="e">
        <f t="shared" si="15"/>
        <v>#DIV/0!</v>
      </c>
      <c r="G57" s="1106" t="s">
        <v>2763</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2764</v>
      </c>
      <c r="B58" s="261" t="e">
        <f t="shared" si="17"/>
        <v>#DIV/0!</v>
      </c>
      <c r="C58" s="199">
        <f t="shared" si="16"/>
        <v>0</v>
      </c>
      <c r="D58" s="1161">
        <v>0.25</v>
      </c>
      <c r="E58" s="260">
        <f>'数据-汇总表'!E13</f>
        <v>0</v>
      </c>
      <c r="F58" s="690" t="e">
        <f t="shared" si="15"/>
        <v>#DIV/0!</v>
      </c>
      <c r="G58" s="1106" t="s">
        <v>2765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2766</v>
      </c>
      <c r="B59" s="261" t="e">
        <f t="shared" si="17"/>
        <v>#DIV/0!</v>
      </c>
      <c r="C59" s="199">
        <f t="shared" si="16"/>
        <v>0</v>
      </c>
      <c r="D59" s="1161">
        <v>0.25</v>
      </c>
      <c r="E59" s="260">
        <f>'数据-汇总表'!E14</f>
        <v>32753.93</v>
      </c>
      <c r="F59" s="690" t="e">
        <f t="shared" si="15"/>
        <v>#DIV/0!</v>
      </c>
      <c r="G59" s="2701" t="s">
        <v>2756</v>
      </c>
      <c r="H59" s="1101">
        <f>项目基本情况!B37</f>
        <v>0</v>
      </c>
      <c r="I59" s="939">
        <f>SUMIF(修正!A45:A56,H59,修正!H45:H56)</f>
        <v>0</v>
      </c>
      <c r="J59" s="940"/>
      <c r="K59" s="1142"/>
      <c r="L59" s="938"/>
      <c r="M59" s="938"/>
      <c r="N59" s="938"/>
      <c r="O59" s="938"/>
    </row>
    <row r="60" spans="1:17" s="691" customFormat="1" ht="15" thickBot="1">
      <c r="A60" s="692" t="s">
        <v>2767</v>
      </c>
      <c r="B60" s="261" t="e">
        <f t="shared" si="17"/>
        <v>#DIV/0!</v>
      </c>
      <c r="C60" s="199">
        <f t="shared" si="16"/>
        <v>0</v>
      </c>
      <c r="D60" s="1161">
        <v>0.25</v>
      </c>
      <c r="E60" s="260">
        <f>'数据-汇总表'!E15</f>
        <v>0</v>
      </c>
      <c r="F60" s="690" t="e">
        <f t="shared" si="15"/>
        <v>#DIV/0!</v>
      </c>
      <c r="G60" s="2702" t="s">
        <v>2761</v>
      </c>
      <c r="H60" s="1111">
        <f>项目基本情况!C37</f>
        <v>0</v>
      </c>
      <c r="I60" s="939">
        <f>SUMIF(修正!A45:A56,H60,修正!H45:H56)</f>
        <v>0</v>
      </c>
      <c r="J60" s="940"/>
      <c r="K60" s="1141"/>
      <c r="L60" s="938"/>
      <c r="M60" s="938"/>
      <c r="N60" s="938"/>
      <c r="O60" s="938"/>
    </row>
    <row r="61" spans="1:17" s="691" customFormat="1" ht="15" thickBot="1">
      <c r="A61" s="694" t="s">
        <v>2768</v>
      </c>
      <c r="B61" s="695" t="s">
        <v>28</v>
      </c>
      <c r="C61" s="695" t="s">
        <v>29</v>
      </c>
      <c r="D61" s="695" t="s">
        <v>1026</v>
      </c>
      <c r="E61" s="695">
        <f>IF(B41="楼面地价",SUM(E51:E60),'数据-汇总表'!D3)</f>
        <v>40729.97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2662</v>
      </c>
      <c r="B64" s="758"/>
      <c r="C64" s="763"/>
      <c r="D64" s="763"/>
      <c r="E64" s="763"/>
      <c r="F64" s="764"/>
      <c r="G64" s="764"/>
      <c r="H64" s="763"/>
      <c r="I64" s="763"/>
      <c r="J64" s="763"/>
      <c r="K64" s="765"/>
      <c r="L64" s="766"/>
      <c r="M64" s="763"/>
      <c r="N64" s="763"/>
      <c r="O64" s="1156"/>
      <c r="P64" s="502"/>
      <c r="Q64" s="503"/>
    </row>
    <row r="65" spans="1:17" s="507" customFormat="1" ht="15">
      <c r="A65" s="2703" t="s">
        <v>2769</v>
      </c>
      <c r="B65" s="1356"/>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6"/>
    </row>
    <row r="66" spans="1:17" s="117" customFormat="1" ht="30.75" customHeight="1">
      <c r="A66" s="2708" t="s">
        <v>2788</v>
      </c>
      <c r="B66" s="331" t="str">
        <f>"北京市平均增长率"&amp;TEXT(基准地价修正!P24,"0.00%")</f>
        <v>北京市平均增长率1.42%</v>
      </c>
      <c r="C66" s="602">
        <v>100</v>
      </c>
      <c r="D66" s="594"/>
      <c r="E66" s="594"/>
      <c r="F66" s="594"/>
      <c r="G66" s="594"/>
      <c r="H66" s="594"/>
      <c r="I66" s="594"/>
      <c r="J66" s="594"/>
      <c r="K66" s="594"/>
      <c r="L66" s="594"/>
      <c r="M66" s="1564"/>
      <c r="N66" s="1564"/>
      <c r="O66" s="1565"/>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2576</v>
      </c>
      <c r="B70" s="527" t="s">
        <v>2542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2545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2771</v>
      </c>
      <c r="C87" s="572" t="s">
        <v>2585</v>
      </c>
      <c r="D87" s="572" t="s">
        <v>2586</v>
      </c>
      <c r="E87" s="572" t="s">
        <v>2587</v>
      </c>
      <c r="F87" s="572" t="s">
        <v>2588</v>
      </c>
      <c r="G87" s="572" t="s">
        <v>2589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2772</v>
      </c>
      <c r="C89" s="572" t="s">
        <v>2585</v>
      </c>
      <c r="D89" s="572" t="s">
        <v>2586</v>
      </c>
      <c r="E89" s="572" t="s">
        <v>2587</v>
      </c>
      <c r="F89" s="572" t="s">
        <v>2588</v>
      </c>
      <c r="G89" s="572" t="s">
        <v>2589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2789</v>
      </c>
      <c r="C93" s="659" t="s">
        <v>2663</v>
      </c>
      <c r="D93" s="659" t="s">
        <v>2664</v>
      </c>
      <c r="E93" s="659" t="s">
        <v>2665</v>
      </c>
      <c r="F93" s="659" t="s">
        <v>2666</v>
      </c>
      <c r="G93" s="659" t="s">
        <v>2667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2773</v>
      </c>
      <c r="D95" s="538" t="s">
        <v>2774</v>
      </c>
      <c r="E95" s="538" t="s">
        <v>2775</v>
      </c>
      <c r="F95" s="538" t="s">
        <v>2776</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2679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2737</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2551</v>
      </c>
      <c r="B107" s="527" t="s">
        <v>2777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2778</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2780</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2781</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9" customWidth="1"/>
    <col min="33" max="36" width="9.375" style="2788" customWidth="1"/>
    <col min="37" max="38" width="9.375" style="2712" customWidth="1"/>
    <col min="39" max="16384" width="12" style="2712"/>
  </cols>
  <sheetData>
    <row r="1" spans="1:36" ht="28.5">
      <c r="A1" s="239" t="s">
        <v>2790</v>
      </c>
      <c r="B1" s="240"/>
      <c r="C1" s="244" t="s">
        <v>2791</v>
      </c>
      <c r="D1" s="387">
        <f>SUM(D29:D30,D33:D39)</f>
        <v>0</v>
      </c>
      <c r="E1" s="2709"/>
      <c r="F1" s="2709"/>
      <c r="G1" s="2709"/>
      <c r="H1" s="2709"/>
      <c r="I1" s="2709"/>
      <c r="J1" s="2709"/>
      <c r="K1" s="1367"/>
      <c r="L1" s="2710" t="s">
        <v>2792</v>
      </c>
      <c r="M1" s="1077">
        <f>SUMPRODUCT((区片价!B5:B9=I2)*(区片价!C3:F3=E2)*(区片价!C5:F9))</f>
        <v>0</v>
      </c>
      <c r="N1" s="1080">
        <f>SUMPRODUCT((因素修正幅度!B5:B9=I2)*(因素修正幅度!C3:F3=E2)*(因素修正幅度!C5:F9))</f>
        <v>0</v>
      </c>
      <c r="O1" s="2711"/>
      <c r="P1" s="2711"/>
      <c r="Q1" s="1367"/>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4" t="s">
        <v>2798</v>
      </c>
      <c r="B2" s="247" t="e">
        <f>C26</f>
        <v>#DIV/0!</v>
      </c>
      <c r="C2" s="2713" t="s">
        <v>2799</v>
      </c>
      <c r="D2" s="2714" t="s">
        <v>2800</v>
      </c>
      <c r="E2" s="2715"/>
      <c r="F2" s="2714" t="s">
        <v>2801</v>
      </c>
      <c r="G2" s="2716">
        <f>IF(E2="商业",项目基本情况!B37,IF(E2="办公",项目基本情况!C37,IF(E2="住宅",项目基本情况!D37,项目基本情况!E37)))</f>
        <v>0</v>
      </c>
      <c r="H2" s="2714" t="s">
        <v>2802</v>
      </c>
      <c r="I2" s="2716">
        <f>IF(E2="商业",项目基本情况!B38,IF(E2="办公",项目基本情况!C38,IF(E2="住宅",项目基本情况!D38,项目基本情况!E38)))</f>
        <v>0</v>
      </c>
      <c r="J2" s="2717"/>
      <c r="K2" s="1367"/>
      <c r="L2" s="2718" t="s">
        <v>2803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2804</v>
      </c>
      <c r="B3" s="247" t="e">
        <f>ROUND(B2*10000/D1,0)</f>
        <v>#DIV/0!</v>
      </c>
      <c r="C3" s="2713" t="s">
        <v>2805</v>
      </c>
      <c r="D3" s="2714" t="s">
        <v>2806</v>
      </c>
      <c r="E3" s="2719"/>
      <c r="F3" s="2720" t="s">
        <v>2807</v>
      </c>
      <c r="G3" s="910">
        <f>IF(F3="宗地容积率",'数据-汇总表'!I4,IF(F3="估价对象容积率",'数据-汇总表'!I6,'数据-汇总表'!I7))</f>
        <v>1.06</v>
      </c>
      <c r="H3" s="197" t="s">
        <v>2808</v>
      </c>
      <c r="I3" s="941"/>
      <c r="J3" s="2717" t="s">
        <v>2809</v>
      </c>
      <c r="K3" s="1367"/>
      <c r="L3" s="2718" t="s">
        <v>2810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45"/>
      <c r="B4" s="3346"/>
      <c r="C4" s="3346"/>
      <c r="D4" s="3347"/>
      <c r="E4" s="3347"/>
      <c r="F4" s="3347"/>
      <c r="G4" s="3347"/>
      <c r="H4" s="3347"/>
      <c r="I4" s="3347"/>
      <c r="J4" s="3348"/>
      <c r="K4" s="1367"/>
      <c r="L4" s="2718" t="s">
        <v>2811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2812</v>
      </c>
      <c r="C5" s="911" t="e">
        <f>ROUND(IF(E2="商业",IF(F16="增加",C6*C7+C16,C6*C7-C16),IF(E2="住宅",IF(F16="增加",C6*C12+C16,C6*C12-C16),IF(F16="增加",C6+C16,C6-C16))),0)</f>
        <v>#DIV/0!</v>
      </c>
      <c r="D5" s="1783" t="e">
        <f>ROUND(IF(F16="增加",C6+C16,C6-C16),0)</f>
        <v>#DIV/0!</v>
      </c>
      <c r="E5" s="1783"/>
      <c r="F5" s="2723"/>
      <c r="G5" s="2724"/>
      <c r="H5" s="2724"/>
      <c r="I5" s="2724"/>
      <c r="J5" s="2725"/>
      <c r="K5" s="2726"/>
      <c r="L5" s="2718" t="s">
        <v>2813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7"/>
      <c r="AD5" s="2728"/>
      <c r="AE5" s="2728"/>
      <c r="AF5" s="2728"/>
      <c r="AG5" s="2728"/>
      <c r="AH5" s="2728"/>
      <c r="AI5" s="2728"/>
      <c r="AJ5" s="2729"/>
    </row>
    <row r="6" spans="1:36" ht="15.75" thickBot="1">
      <c r="A6" s="2731" t="s">
        <v>2814</v>
      </c>
      <c r="B6" s="2732" t="s">
        <v>2815</v>
      </c>
      <c r="C6" s="912">
        <f>SUMIF(L1:L12,G2,M1:M12)</f>
        <v>0</v>
      </c>
      <c r="D6" s="2733" t="s">
        <v>2816</v>
      </c>
      <c r="E6" s="2734"/>
      <c r="F6" s="2734"/>
      <c r="G6" s="2735"/>
      <c r="H6" s="2735"/>
      <c r="I6" s="2735"/>
      <c r="J6" s="2736"/>
      <c r="K6" s="1838"/>
      <c r="L6" s="2718" t="s">
        <v>2817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7"/>
      <c r="AD6" s="2728"/>
      <c r="AE6" s="2728"/>
      <c r="AF6" s="2728"/>
      <c r="AG6" s="2728"/>
      <c r="AH6" s="2728"/>
      <c r="AI6" s="2728"/>
      <c r="AJ6" s="2729"/>
    </row>
    <row r="7" spans="1:36" ht="24">
      <c r="A7" s="3349" t="str">
        <f>IF(E2="商业",IF(C8="不临58条商业街","",2),"")</f>
        <v/>
      </c>
      <c r="B7" s="2737" t="s">
        <v>2818</v>
      </c>
      <c r="C7" s="913" t="e">
        <f>IF(C8="不临58条商业街",1,ROUND(1+(1.6*E8+1.2*E9+0.8*E10+0.4*E11)*C9,4))</f>
        <v>#DIV/0!</v>
      </c>
      <c r="D7" s="2738" t="s">
        <v>2819</v>
      </c>
      <c r="E7" s="942"/>
      <c r="F7" s="2739"/>
      <c r="G7" s="2740"/>
      <c r="H7" s="2740"/>
      <c r="I7" s="2740"/>
      <c r="J7" s="2741"/>
      <c r="K7" s="1838"/>
      <c r="L7" s="2718" t="s">
        <v>2820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2821</v>
      </c>
      <c r="X7" s="1600">
        <f>G2</f>
        <v>0</v>
      </c>
      <c r="Y7" s="1600" t="s">
        <v>2822</v>
      </c>
      <c r="Z7" s="1601">
        <f>G3</f>
        <v>1.06</v>
      </c>
      <c r="AA7" s="1602"/>
      <c r="AB7" s="1602"/>
      <c r="AC7" s="1603"/>
      <c r="AD7" s="1604"/>
      <c r="AE7" s="1604"/>
      <c r="AF7" s="1604"/>
      <c r="AG7" s="1604"/>
      <c r="AH7" s="1604"/>
      <c r="AI7" s="1604"/>
      <c r="AJ7" s="1605"/>
    </row>
    <row r="8" spans="1:36" ht="15">
      <c r="A8" s="3350"/>
      <c r="B8" s="197" t="s">
        <v>2823</v>
      </c>
      <c r="C8" s="2742"/>
      <c r="D8" s="914" t="s">
        <v>139</v>
      </c>
      <c r="E8" s="915" t="e">
        <f>ROUND(C11/E7,4)</f>
        <v>#DIV/0!</v>
      </c>
      <c r="F8" s="2743" t="s">
        <v>2824</v>
      </c>
      <c r="G8" s="2744"/>
      <c r="H8" s="2744"/>
      <c r="I8" s="2744"/>
      <c r="J8" s="2745"/>
      <c r="K8" s="1367"/>
      <c r="L8" s="2718" t="s">
        <v>2825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342" t="s">
        <v>2826</v>
      </c>
      <c r="X8" s="3343"/>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50"/>
      <c r="B9" s="197" t="s">
        <v>2839</v>
      </c>
      <c r="C9" s="916">
        <f>SUMIF(修正!C59:C119,C8,修正!E59:E119)</f>
        <v>0</v>
      </c>
      <c r="D9" s="199" t="s">
        <v>140</v>
      </c>
      <c r="E9" s="199" t="e">
        <f>ROUND(C11/E7,4)</f>
        <v>#DIV/0!</v>
      </c>
      <c r="F9" s="2743" t="s">
        <v>2840</v>
      </c>
      <c r="G9" s="2744"/>
      <c r="H9" s="2744"/>
      <c r="I9" s="2744"/>
      <c r="J9" s="2745"/>
      <c r="K9" s="1367"/>
      <c r="L9" s="2718" t="s">
        <v>2841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344"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0"/>
      <c r="B10" s="197" t="s">
        <v>2844</v>
      </c>
      <c r="C10" s="199">
        <f>SUMIF(修正!C59:C119,C8,修正!F59:F119)</f>
        <v>0</v>
      </c>
      <c r="D10" s="199" t="s">
        <v>141</v>
      </c>
      <c r="E10" s="199" t="e">
        <f>ROUND(C11/E7,4)</f>
        <v>#DIV/0!</v>
      </c>
      <c r="F10" s="2743" t="s">
        <v>2845</v>
      </c>
      <c r="G10" s="2744"/>
      <c r="H10" s="2744"/>
      <c r="I10" s="2744"/>
      <c r="J10" s="2745"/>
      <c r="K10" s="1367"/>
      <c r="L10" s="2718" t="s">
        <v>2846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34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0"/>
      <c r="B11" s="2746" t="s">
        <v>2847</v>
      </c>
      <c r="C11" s="917">
        <f>C10/4</f>
        <v>0</v>
      </c>
      <c r="D11" s="917" t="s">
        <v>142</v>
      </c>
      <c r="E11" s="917" t="e">
        <f>ROUND(C11/E7,4)</f>
        <v>#DIV/0!</v>
      </c>
      <c r="F11" s="2747" t="s">
        <v>2848</v>
      </c>
      <c r="G11" s="2748"/>
      <c r="H11" s="2748"/>
      <c r="I11" s="2748"/>
      <c r="J11" s="2749"/>
      <c r="K11" s="1367"/>
      <c r="L11" s="2718" t="s">
        <v>2849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344" t="s">
        <v>2850</v>
      </c>
      <c r="X11" s="1610" t="s">
        <v>2851</v>
      </c>
      <c r="Y11" s="1611">
        <f>$G$3</f>
        <v>1.06</v>
      </c>
      <c r="Z11" s="1611">
        <f t="shared" ref="Z11:AJ11" si="3">$G$3</f>
        <v>1.06</v>
      </c>
      <c r="AA11" s="1611">
        <f t="shared" si="3"/>
        <v>1.06</v>
      </c>
      <c r="AB11" s="1611">
        <f t="shared" si="3"/>
        <v>1.06</v>
      </c>
      <c r="AC11" s="1611">
        <f t="shared" si="3"/>
        <v>1.06</v>
      </c>
      <c r="AD11" s="1611">
        <f t="shared" si="3"/>
        <v>1.06</v>
      </c>
      <c r="AE11" s="1611">
        <f t="shared" si="3"/>
        <v>1.06</v>
      </c>
      <c r="AF11" s="1611">
        <f t="shared" si="3"/>
        <v>1.06</v>
      </c>
      <c r="AG11" s="1611">
        <f t="shared" si="3"/>
        <v>1.06</v>
      </c>
      <c r="AH11" s="1611">
        <f t="shared" si="3"/>
        <v>1.06</v>
      </c>
      <c r="AI11" s="1611">
        <f t="shared" si="3"/>
        <v>1.06</v>
      </c>
      <c r="AJ11" s="1611">
        <f t="shared" si="3"/>
        <v>1.06</v>
      </c>
    </row>
    <row r="12" spans="1:36" ht="25.5" thickBot="1">
      <c r="A12" s="3349" t="s">
        <v>2852</v>
      </c>
      <c r="B12" s="2750" t="s">
        <v>2853</v>
      </c>
      <c r="C12" s="913">
        <f>ROUND(C15*D15*E15*F15*G15*H15*I15*J15,4)</f>
        <v>1</v>
      </c>
      <c r="D12" s="2751" t="s">
        <v>2854</v>
      </c>
      <c r="E12" s="2752"/>
      <c r="F12" s="2752"/>
      <c r="G12" s="2753"/>
      <c r="H12" s="2753"/>
      <c r="I12" s="2753"/>
      <c r="J12" s="2754"/>
      <c r="K12" s="1367"/>
      <c r="L12" s="2755" t="s">
        <v>2855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344"/>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1"/>
      <c r="B13" s="2756" t="s">
        <v>2857</v>
      </c>
      <c r="C13" s="2757" t="s">
        <v>2858</v>
      </c>
      <c r="D13" s="1804" t="s">
        <v>2859</v>
      </c>
      <c r="E13" s="1804" t="s">
        <v>2860</v>
      </c>
      <c r="F13" s="30" t="s">
        <v>2861</v>
      </c>
      <c r="G13" s="2758" t="s">
        <v>2862</v>
      </c>
      <c r="H13" s="2758" t="s">
        <v>2862</v>
      </c>
      <c r="I13" s="2758" t="s">
        <v>2862</v>
      </c>
      <c r="J13" s="2759" t="s">
        <v>2862</v>
      </c>
      <c r="K13" s="1367"/>
      <c r="L13" s="1367"/>
      <c r="M13" s="1367"/>
      <c r="N13" s="1367"/>
      <c r="O13" s="1367"/>
      <c r="P13" s="1367"/>
      <c r="Q13" s="1367"/>
      <c r="R13" s="1598">
        <v>12</v>
      </c>
      <c r="S13" s="1599"/>
      <c r="T13" s="1598" t="e">
        <f t="shared" si="0"/>
        <v>#DIV/0!</v>
      </c>
      <c r="U13" s="1599"/>
      <c r="V13" s="1598" t="e">
        <f t="shared" si="1"/>
        <v>#DIV/0!</v>
      </c>
      <c r="W13" s="3344"/>
      <c r="X13" s="1612"/>
      <c r="Y13" s="1609">
        <f>(-0.163*(Y12^2)-0.59*Y12+7617)*(10^(-4))/Y11</f>
        <v>0.71858490566037736</v>
      </c>
      <c r="Z13" s="1609">
        <f t="shared" ref="Z13:AJ13" si="5">(-0.163*(Z12^2)-0.59*Z12+7617)*(10^(-4))/Z11</f>
        <v>0.71858490566037736</v>
      </c>
      <c r="AA13" s="1609">
        <f t="shared" si="5"/>
        <v>0.71858490566037736</v>
      </c>
      <c r="AB13" s="1609">
        <f t="shared" si="5"/>
        <v>0.71858490566037736</v>
      </c>
      <c r="AC13" s="1609">
        <f t="shared" si="5"/>
        <v>0.71858490566037736</v>
      </c>
      <c r="AD13" s="1609">
        <f t="shared" si="5"/>
        <v>0.71858490566037736</v>
      </c>
      <c r="AE13" s="1609">
        <f t="shared" si="5"/>
        <v>0.71858490566037736</v>
      </c>
      <c r="AF13" s="1609">
        <f t="shared" si="5"/>
        <v>0.71858490566037736</v>
      </c>
      <c r="AG13" s="1609">
        <f t="shared" si="5"/>
        <v>0.71858490566037736</v>
      </c>
      <c r="AH13" s="1609">
        <f t="shared" si="5"/>
        <v>0.71858490566037736</v>
      </c>
      <c r="AI13" s="1609">
        <f t="shared" si="5"/>
        <v>0.71858490566037736</v>
      </c>
      <c r="AJ13" s="1609">
        <f t="shared" si="5"/>
        <v>0.71858490566037736</v>
      </c>
    </row>
    <row r="14" spans="1:36" ht="15">
      <c r="A14" s="3351"/>
      <c r="B14" s="2760"/>
      <c r="C14" s="2761"/>
      <c r="D14" s="2762"/>
      <c r="E14" s="2762"/>
      <c r="F14" s="2763"/>
      <c r="G14" s="2764" t="s">
        <v>2863</v>
      </c>
      <c r="H14" s="2765"/>
      <c r="I14" s="2766"/>
      <c r="J14" s="2767"/>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52"/>
      <c r="B15" s="2768" t="s">
        <v>2864</v>
      </c>
      <c r="C15" s="228">
        <f>IF(C14="有",1.1,1)</f>
        <v>1</v>
      </c>
      <c r="D15" s="228">
        <f>IF(D14="有",1.1,1)</f>
        <v>1</v>
      </c>
      <c r="E15" s="228">
        <f>IF(E14="有",1.1,1)</f>
        <v>1</v>
      </c>
      <c r="F15" s="228">
        <f>IF(F14="500米范围内",1.2,IF(F14="500-1000米",1.1,1))</f>
        <v>1</v>
      </c>
      <c r="G15" s="943">
        <v>1</v>
      </c>
      <c r="H15" s="943">
        <v>1</v>
      </c>
      <c r="I15" s="943">
        <v>1</v>
      </c>
      <c r="J15" s="944">
        <v>1</v>
      </c>
      <c r="K15" s="1367"/>
      <c r="L15" s="2769" t="s">
        <v>2800</v>
      </c>
      <c r="M15" s="914" t="s">
        <v>2865</v>
      </c>
      <c r="N15" s="914" t="s">
        <v>2866</v>
      </c>
      <c r="O15" s="914" t="s">
        <v>2867</v>
      </c>
      <c r="P15" s="2770" t="s">
        <v>2868</v>
      </c>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49" t="s">
        <v>2869</v>
      </c>
      <c r="B16" s="2737" t="s">
        <v>2870</v>
      </c>
      <c r="C16" s="1797" t="e">
        <f>ROUND(SUM(G17:J17)/C17,0)</f>
        <v>#DIV/0!</v>
      </c>
      <c r="D16" s="2771" t="s">
        <v>2871</v>
      </c>
      <c r="E16" s="2772"/>
      <c r="F16" s="2773"/>
      <c r="G16" s="2774"/>
      <c r="H16" s="2774"/>
      <c r="I16" s="2774"/>
      <c r="J16" s="2775"/>
      <c r="K16" s="1367"/>
      <c r="L16" s="2776" t="s">
        <v>2872</v>
      </c>
      <c r="M16" s="916">
        <v>0.25</v>
      </c>
      <c r="N16" s="916">
        <v>0.2</v>
      </c>
      <c r="O16" s="916">
        <v>0.15</v>
      </c>
      <c r="P16" s="1366">
        <v>0.1</v>
      </c>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50"/>
      <c r="B17" s="2777" t="s">
        <v>2873</v>
      </c>
      <c r="C17" s="918">
        <f>SUMPRODUCT((修正!A2:A5=E2)*(修正!B1:M1=G2)*(修正!B2:M5))</f>
        <v>0</v>
      </c>
      <c r="D17" s="2778" t="s">
        <v>2874</v>
      </c>
      <c r="E17" s="917" t="str">
        <f>IF(OR(G2="八级",G2="九级",G2="十级",G2="十一级",G2="十二级"),"五通一平","七通一平")</f>
        <v>七通一平</v>
      </c>
      <c r="F17" s="918" t="s">
        <v>2875</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79" t="s">
        <v>2876</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0"/>
      <c r="AF17" s="2780"/>
      <c r="AG17" s="2712"/>
      <c r="AH17" s="2712"/>
      <c r="AI17" s="2712"/>
      <c r="AJ17" s="2712"/>
    </row>
    <row r="18" spans="1:37" s="2730" customFormat="1" ht="15.75" thickBot="1">
      <c r="A18" s="2781" t="s">
        <v>808</v>
      </c>
      <c r="B18" s="2782" t="s">
        <v>2877</v>
      </c>
      <c r="C18" s="920">
        <f>SUMIF(修正!C18:C39,E3,修正!E18:E39)</f>
        <v>0</v>
      </c>
      <c r="D18" s="2783"/>
      <c r="E18" s="2784"/>
      <c r="F18" s="2785"/>
      <c r="G18" s="2786"/>
      <c r="H18" s="2786"/>
      <c r="I18" s="2786"/>
      <c r="J18" s="2787"/>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0" customFormat="1" ht="27.75" thickBot="1">
      <c r="A19" s="2781" t="s">
        <v>809</v>
      </c>
      <c r="B19" s="2782" t="s">
        <v>2878</v>
      </c>
      <c r="C19" s="921" t="e">
        <f>ROUND(IF(H19="按公示增长率计算",SUMPRODUCT((地价!A3:A25=YEAR(G19)&amp;"-"&amp;ROUNDUP(MONTH(G19)/3,0))*(地价!X2:AB2=E2)*(地价!X3:AB25)),IF(H19="地价指数",M20/M19,(1+I19)^O19)),4)</f>
        <v>#DIV/0!</v>
      </c>
      <c r="D19" s="2789" t="s">
        <v>2879</v>
      </c>
      <c r="E19" s="922">
        <v>41640</v>
      </c>
      <c r="F19" s="2789" t="s">
        <v>2880</v>
      </c>
      <c r="G19" s="923">
        <f>'数据-取费表'!B2</f>
        <v>43525</v>
      </c>
      <c r="H19" s="2790" t="s">
        <v>2881</v>
      </c>
      <c r="I19" s="924" t="str">
        <f>IF(H19="季度增幅（自定义）",SUMIF(N21:N24,E2,O21:O24),"")</f>
        <v/>
      </c>
      <c r="J19" s="2787"/>
      <c r="K19" s="1374"/>
      <c r="L19" s="2791" t="s">
        <v>2882</v>
      </c>
      <c r="M19" s="1730">
        <f>ROUND(SUMIF(地价!B2:F2,E2,地价!B25:F25),0)</f>
        <v>0</v>
      </c>
      <c r="N19" s="2792" t="s">
        <v>2883</v>
      </c>
      <c r="O19" s="925">
        <f>ROUNDDOWN(DATEDIF(E19,G19,"M")/3,0)</f>
        <v>20</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0" customFormat="1" ht="27.75" thickBot="1">
      <c r="A20" s="2796" t="s">
        <v>810</v>
      </c>
      <c r="B20" s="2797" t="s">
        <v>2884</v>
      </c>
      <c r="C20" s="926" t="e">
        <f>ROUND(POWER(1+G20,J20-I20)*(POWER(1+G20,I20)-1)/(POWER(1+G20,J20)-1),4)</f>
        <v>#DIV/0!</v>
      </c>
      <c r="D20" s="2798" t="s">
        <v>2885</v>
      </c>
      <c r="E20" s="1764">
        <f ca="1">存贷款利率!D4/100</f>
        <v>4.3499999999999997E-2</v>
      </c>
      <c r="F20" s="2798" t="s">
        <v>2876</v>
      </c>
      <c r="G20" s="931">
        <f>SUMIF(M15:P15,E2,M17:P17)</f>
        <v>0</v>
      </c>
      <c r="H20" s="2798" t="s">
        <v>2886</v>
      </c>
      <c r="I20" s="932" t="e">
        <f>SUMIF('数据-取费表'!C6:C15,E2,'数据-取费表'!F6:F15)/COUNTIF('数据-取费表'!C6:C15,E2)</f>
        <v>#DIV/0!</v>
      </c>
      <c r="J20" s="933">
        <f>IF(E2="住宅",70,IF(E2="商业",40,50))</f>
        <v>50</v>
      </c>
      <c r="K20" s="1374"/>
      <c r="L20" s="2799" t="s">
        <v>2887</v>
      </c>
      <c r="M20" s="1731">
        <f>ROUND(SUMPRODUCT((地价!A4:A25=YEAR(G19)&amp;"-"&amp;ROUNDUP(MONTH(G19)/3,0))*(地价!B2:F2=E2)*(地价!B4:F25)),0)</f>
        <v>0</v>
      </c>
      <c r="N20" s="2800" t="s">
        <v>2888</v>
      </c>
      <c r="O20" s="2801" t="s">
        <v>2889</v>
      </c>
      <c r="P20" s="2802" t="s">
        <v>2890</v>
      </c>
      <c r="R20" s="1373"/>
      <c r="S20" s="1373"/>
      <c r="T20" s="1368"/>
      <c r="U20" s="1368"/>
      <c r="V20" s="1368"/>
      <c r="W20" s="1367"/>
      <c r="X20" s="1367"/>
      <c r="Y20" s="1367"/>
      <c r="Z20" s="1374"/>
      <c r="AA20" s="1375"/>
      <c r="AB20" s="1375"/>
      <c r="AC20" s="1375"/>
      <c r="AD20" s="1375"/>
      <c r="AE20" s="1375"/>
      <c r="AF20" s="1375"/>
    </row>
    <row r="21" spans="1:37" s="2730" customFormat="1" ht="15">
      <c r="A21" s="2803" t="s">
        <v>811</v>
      </c>
      <c r="B21" s="2804" t="s">
        <v>2891</v>
      </c>
      <c r="C21" s="934">
        <f>IF(B21="容积率修正",IF(G3&lt;=10,D22,J22),C23)</f>
        <v>0</v>
      </c>
      <c r="D21" s="2805"/>
      <c r="E21" s="2805"/>
      <c r="F21" s="2805"/>
      <c r="G21" s="2805"/>
      <c r="H21" s="2805"/>
      <c r="I21" s="2805"/>
      <c r="J21" s="2806"/>
      <c r="K21" s="1374"/>
      <c r="N21" s="2807" t="s">
        <v>2892</v>
      </c>
      <c r="O21" s="1558"/>
      <c r="P21" s="1559">
        <f>SUMPRODUCT((地价!A3:A25=YEAR(G19)&amp;"-"&amp;ROUNDUP(MONTH(G19)/3,0))*(地价!AD2:AH2=N21)*(地价!AD3:AH25))</f>
        <v>1.5100000000000001E-2</v>
      </c>
      <c r="R21" s="1373"/>
      <c r="S21" s="1373"/>
      <c r="T21" s="1368"/>
      <c r="U21" s="1368"/>
      <c r="V21" s="1368"/>
      <c r="W21" s="1367"/>
      <c r="X21" s="1367"/>
      <c r="Y21" s="1367"/>
      <c r="Z21" s="1374"/>
      <c r="AA21" s="1375"/>
      <c r="AB21" s="1375"/>
      <c r="AC21" s="1375"/>
      <c r="AD21" s="1375"/>
      <c r="AE21" s="1375"/>
      <c r="AF21" s="1375"/>
    </row>
    <row r="22" spans="1:37" s="2730" customFormat="1" ht="14.25">
      <c r="A22" s="2656" t="s">
        <v>2893</v>
      </c>
      <c r="B22" s="2808" t="s">
        <v>2894</v>
      </c>
      <c r="C22" s="1806" t="s">
        <v>2895</v>
      </c>
      <c r="D22" s="1806">
        <f>IF(E22=G22,F22,IF(G3&lt;=10,ROUND(F22+(H22-F22)*(G3-E22)/(G22-E22),4),"——"))</f>
        <v>0</v>
      </c>
      <c r="E22" s="910">
        <f>ROUNDDOWN(G3,1)</f>
        <v>1</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1.1000000000000001</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7" t="s">
        <v>2896</v>
      </c>
      <c r="O22" s="1558"/>
      <c r="P22" s="1559">
        <f>SUMPRODUCT((地价!A3:A25=YEAR(G19)&amp;"-"&amp;ROUNDUP(MONTH(G19)/3,0))*(地价!AD2:AH2=N22)*(地价!AD3:AH25))</f>
        <v>1.5100000000000001E-2</v>
      </c>
      <c r="R22" s="1373"/>
      <c r="S22" s="1373"/>
      <c r="T22" s="1368"/>
      <c r="U22" s="1368"/>
      <c r="V22" s="1368"/>
      <c r="W22" s="1367"/>
      <c r="X22" s="1367"/>
      <c r="Y22" s="1367"/>
      <c r="Z22" s="1374"/>
      <c r="AA22" s="1375"/>
      <c r="AB22" s="1375"/>
      <c r="AC22" s="1375"/>
      <c r="AD22" s="1375"/>
      <c r="AE22" s="1375"/>
      <c r="AF22" s="1375"/>
    </row>
    <row r="23" spans="1:37" ht="27.75" thickBot="1">
      <c r="A23" s="2656" t="s">
        <v>2897</v>
      </c>
      <c r="B23" s="2809" t="s">
        <v>2898</v>
      </c>
      <c r="C23" s="1010">
        <f>ROUND(IF(G3&gt;1,IF(I3&lt;7,SUMPRODUCT((B93:B98=I3)*(C92:N92=G2)*(C93:N98)),SUMIF(C92:N92,G2,C100:N100)),IF(I3&lt;7,SUMPRODUCT((B102:B107=I3)*(C92:N92=G2)*(C102:N107)),SUMIF(C92:N92,G2,C109:N109))),4)</f>
        <v>0</v>
      </c>
      <c r="D23" s="2765"/>
      <c r="E23" s="2765"/>
      <c r="F23" s="2810"/>
      <c r="G23" s="2811"/>
      <c r="H23" s="2812"/>
      <c r="I23" s="2813"/>
      <c r="J23" s="2814"/>
      <c r="K23" s="1367"/>
      <c r="N23" s="2807" t="s">
        <v>2899</v>
      </c>
      <c r="O23" s="1558"/>
      <c r="P23" s="1559">
        <f>SUMPRODUCT((地价!A3:A25=YEAR(G19)&amp;"-"&amp;ROUNDUP(MONTH(G19)/3,0))*(地价!AD2:AH2=N23)*(地价!AD3:AH25))</f>
        <v>2.3400000000000001E-2</v>
      </c>
      <c r="R23" s="1373"/>
      <c r="S23" s="1373"/>
      <c r="T23" s="1368"/>
      <c r="U23" s="1368"/>
      <c r="V23" s="1368"/>
      <c r="W23" s="1367"/>
      <c r="X23" s="1367"/>
      <c r="Y23" s="1367"/>
      <c r="Z23" s="1374"/>
      <c r="AA23" s="1375"/>
      <c r="AB23" s="1375"/>
      <c r="AC23" s="1375"/>
      <c r="AD23" s="1375"/>
      <c r="AK23" s="2788"/>
    </row>
    <row r="24" spans="1:37" s="2730" customFormat="1" ht="15.75" thickBot="1">
      <c r="A24" s="2796" t="s">
        <v>812</v>
      </c>
      <c r="B24" s="2782" t="s">
        <v>2900</v>
      </c>
      <c r="C24" s="921">
        <f>SUMIF(A45:A88,E2,B45:B88)</f>
        <v>0</v>
      </c>
      <c r="D24" s="2785"/>
      <c r="E24" s="2815"/>
      <c r="F24" s="2815"/>
      <c r="G24" s="2815"/>
      <c r="H24" s="2815"/>
      <c r="I24" s="2815"/>
      <c r="J24" s="2816"/>
      <c r="K24" s="1374"/>
      <c r="N24" s="2817" t="s">
        <v>2901</v>
      </c>
      <c r="O24" s="1560"/>
      <c r="P24" s="1561">
        <f>SUMPRODUCT((地价!A3:A25=YEAR(G19)&amp;"-"&amp;ROUNDUP(MONTH(G19)/3,0))*(地价!AD2:AH2=N24)*(地价!AD3:AH25))</f>
        <v>1.4200000000000001E-2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2902</v>
      </c>
      <c r="C25" s="927"/>
      <c r="D25" s="2740"/>
      <c r="E25" s="2740"/>
      <c r="F25" s="2819"/>
      <c r="G25" s="2740"/>
      <c r="H25" s="2740"/>
      <c r="I25" s="2740"/>
      <c r="J25" s="2741"/>
      <c r="K25" s="1367"/>
      <c r="N25" s="2820" t="s">
        <v>2903</v>
      </c>
      <c r="O25" s="1562"/>
      <c r="P25" s="1561">
        <f>SUMPRODUCT((地价!A3:A25=YEAR(G19)&amp;"-"&amp;ROUNDUP(MONTH(G19)/3,0))*(地价!AD2:AH2=N25)*(地价!AD3:AH25))</f>
        <v>2.1299999999999999E-2</v>
      </c>
      <c r="R25" s="1373"/>
      <c r="S25" s="1373"/>
      <c r="T25" s="1368"/>
      <c r="U25" s="1368"/>
      <c r="V25" s="1368"/>
      <c r="W25" s="1367"/>
      <c r="X25" s="1367"/>
      <c r="Y25" s="1367"/>
      <c r="Z25" s="1374"/>
      <c r="AA25" s="1375"/>
      <c r="AB25" s="1375"/>
      <c r="AC25" s="1375"/>
      <c r="AD25" s="1375"/>
    </row>
    <row r="26" spans="1:37" ht="15">
      <c r="A26" s="2821"/>
      <c r="B26" s="2808" t="s">
        <v>2904</v>
      </c>
      <c r="C26" s="205" t="e">
        <f>E29+SUM(E33:E39)</f>
        <v>#DIV/0!</v>
      </c>
      <c r="D26" s="2822"/>
      <c r="E26" s="2765"/>
      <c r="F26" s="2823"/>
      <c r="G26" s="2765"/>
      <c r="H26" s="2765"/>
      <c r="I26" s="2765"/>
      <c r="J26" s="2824"/>
      <c r="K26" s="1367"/>
      <c r="R26" s="1373"/>
      <c r="S26" s="1373"/>
      <c r="T26" s="1368"/>
      <c r="U26" s="1368"/>
      <c r="V26" s="1368"/>
      <c r="W26" s="1367"/>
      <c r="X26" s="1367"/>
      <c r="Y26" s="1367"/>
      <c r="Z26" s="1374"/>
      <c r="AA26" s="1375"/>
      <c r="AB26" s="1375"/>
      <c r="AC26" s="1375"/>
      <c r="AD26" s="1375"/>
    </row>
    <row r="27" spans="1:37" ht="15.75" thickBot="1">
      <c r="A27" s="2821"/>
      <c r="B27" s="2825" t="s">
        <v>2905</v>
      </c>
      <c r="C27" s="928" t="e">
        <f>E30+SUM(I33:I39)</f>
        <v>#DIV/0!</v>
      </c>
      <c r="D27" s="2826"/>
      <c r="E27" s="2827"/>
      <c r="F27" s="2828"/>
      <c r="G27" s="2827"/>
      <c r="H27" s="2827"/>
      <c r="I27" s="2827"/>
      <c r="J27" s="2829"/>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0"/>
      <c r="B28" s="2831" t="s">
        <v>2906</v>
      </c>
      <c r="C28" s="2832" t="s">
        <v>2907</v>
      </c>
      <c r="D28" s="2832" t="s">
        <v>2908</v>
      </c>
      <c r="E28" s="2833" t="s">
        <v>2909</v>
      </c>
      <c r="F28" s="2834"/>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5"/>
      <c r="B29" s="2836" t="s">
        <v>2910</v>
      </c>
      <c r="C29" s="205" t="e">
        <f>ROUND(C5*C18*C19*C20*C21*C24,0)</f>
        <v>#DIV/0!</v>
      </c>
      <c r="D29" s="2837"/>
      <c r="E29" s="939" t="e">
        <f>ROUND(C29*D29/10000,0)</f>
        <v>#DIV/0!</v>
      </c>
      <c r="F29" s="2838" t="s">
        <v>2911</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2"/>
      <c r="AH29" s="2712"/>
      <c r="AI29" s="2712"/>
      <c r="AJ29" s="2712"/>
    </row>
    <row r="30" spans="1:37" ht="25.5" thickBot="1">
      <c r="A30" s="2841"/>
      <c r="B30" s="2842" t="s">
        <v>2912</v>
      </c>
      <c r="C30" s="228" t="e">
        <f>ROUND(IF(E2="工业",C29*M39,C29*M38),0)</f>
        <v>#DIV/0!</v>
      </c>
      <c r="D30" s="2843"/>
      <c r="E30" s="939" t="e">
        <f>ROUND(C30*D30/10000,0)</f>
        <v>#DIV/0!</v>
      </c>
      <c r="F30" s="2844" t="s">
        <v>2913</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2"/>
      <c r="AH30" s="2712"/>
      <c r="AI30" s="2712"/>
      <c r="AJ30" s="2712"/>
    </row>
    <row r="31" spans="1:37" ht="14.25">
      <c r="A31" s="2847"/>
      <c r="B31" s="2848" t="s">
        <v>2914</v>
      </c>
      <c r="C31" s="2849" t="s">
        <v>2915</v>
      </c>
      <c r="D31" s="2753"/>
      <c r="E31" s="2849"/>
      <c r="F31" s="2849"/>
      <c r="G31" s="2751" t="s">
        <v>2916</v>
      </c>
      <c r="H31" s="2753"/>
      <c r="I31" s="2850"/>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2"/>
      <c r="AH31" s="2712"/>
      <c r="AI31" s="2712"/>
      <c r="AJ31" s="2712"/>
    </row>
    <row r="32" spans="1:37" ht="24">
      <c r="A32" s="2835"/>
      <c r="B32" s="2851"/>
      <c r="C32" s="500" t="s">
        <v>2907</v>
      </c>
      <c r="D32" s="497" t="s">
        <v>2908</v>
      </c>
      <c r="E32" s="497" t="s">
        <v>2909</v>
      </c>
      <c r="F32" s="387" t="s">
        <v>2917</v>
      </c>
      <c r="G32" s="2852" t="s">
        <v>2907</v>
      </c>
      <c r="H32" s="2852" t="s">
        <v>2908</v>
      </c>
      <c r="I32" s="2852" t="s">
        <v>2909</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2"/>
      <c r="AH32" s="2712"/>
      <c r="AI32" s="2712"/>
      <c r="AJ32" s="2712"/>
    </row>
    <row r="33" spans="1:37" ht="36" customHeight="1">
      <c r="A33" s="3359" t="s">
        <v>2918</v>
      </c>
      <c r="B33" s="2853" t="s">
        <v>2919</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60"/>
      <c r="B34" s="2757" t="s">
        <v>2920</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60"/>
      <c r="B35" s="2757" t="s">
        <v>2921</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7"/>
      <c r="L35" s="1367"/>
      <c r="M35" s="1367"/>
      <c r="N35" s="1367"/>
      <c r="O35" s="1367"/>
      <c r="P35" s="1367"/>
      <c r="Q35" s="1367"/>
      <c r="R35" s="1367"/>
      <c r="S35" s="1367"/>
      <c r="T35" s="1367"/>
      <c r="U35" s="1367"/>
      <c r="V35" s="1367"/>
      <c r="W35" s="1367"/>
      <c r="X35" s="1367"/>
      <c r="Y35" s="1367"/>
      <c r="Z35" s="1368"/>
    </row>
    <row r="36" spans="1:37" ht="13.5" thickBot="1">
      <c r="A36" s="3361"/>
      <c r="B36" s="2757" t="s">
        <v>2922</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7"/>
      <c r="L36" s="2711"/>
      <c r="M36" s="2711"/>
      <c r="N36" s="1367"/>
      <c r="O36" s="1367"/>
      <c r="P36" s="1367"/>
      <c r="Q36" s="1367"/>
      <c r="R36" s="1367"/>
      <c r="S36" s="1367"/>
      <c r="T36" s="1367"/>
      <c r="U36" s="1367"/>
      <c r="V36" s="1367"/>
      <c r="W36" s="1367"/>
      <c r="X36" s="1367"/>
      <c r="Y36" s="1367"/>
      <c r="Z36" s="1368"/>
    </row>
    <row r="37" spans="1:37">
      <c r="A37" s="2855"/>
      <c r="B37" s="2757" t="s">
        <v>2923</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7"/>
      <c r="L37" s="2856" t="s">
        <v>2924</v>
      </c>
      <c r="M37" s="2857"/>
      <c r="N37" s="1367"/>
      <c r="O37" s="1367"/>
      <c r="P37" s="1367"/>
      <c r="Q37" s="1367"/>
      <c r="R37" s="1367"/>
      <c r="S37" s="1367"/>
      <c r="T37" s="1367"/>
      <c r="U37" s="1367"/>
      <c r="V37" s="1367"/>
      <c r="W37" s="1367"/>
      <c r="X37" s="1367"/>
      <c r="Y37" s="1367"/>
      <c r="Z37" s="1368"/>
    </row>
    <row r="38" spans="1:37">
      <c r="A38" s="2855"/>
      <c r="B38" s="2757" t="s">
        <v>2925</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7"/>
      <c r="L38" s="1883" t="s">
        <v>2926</v>
      </c>
      <c r="M38" s="2858">
        <v>0.25</v>
      </c>
      <c r="N38" s="1367"/>
      <c r="O38" s="1367"/>
      <c r="P38" s="1367"/>
      <c r="Q38" s="1367"/>
      <c r="R38" s="1367"/>
      <c r="S38" s="1367"/>
      <c r="T38" s="1367"/>
      <c r="U38" s="1367"/>
      <c r="V38" s="1367"/>
      <c r="W38" s="1367"/>
      <c r="X38" s="1367"/>
      <c r="Y38" s="1367"/>
      <c r="Z38" s="1368"/>
    </row>
    <row r="39" spans="1:37" ht="13.5" thickBot="1">
      <c r="A39" s="2841"/>
      <c r="B39" s="2859" t="s">
        <v>2927</v>
      </c>
      <c r="C39" s="228" t="e">
        <f>ROUND(D5*C19*C41*C24*F39,0)</f>
        <v>#DIV/0!</v>
      </c>
      <c r="D39" s="2843"/>
      <c r="E39" s="228" t="e">
        <f t="shared" si="7"/>
        <v>#DIV/0!</v>
      </c>
      <c r="F39" s="929">
        <f>SUMIF(修正!A45:A56,G2,修正!H45:H56)</f>
        <v>0</v>
      </c>
      <c r="G39" s="228" t="e">
        <f>ROUND(IF(E2="工业",C39*$M$39,C39*$M$38),0)</f>
        <v>#DIV/0!</v>
      </c>
      <c r="H39" s="228">
        <f t="shared" si="8"/>
        <v>0</v>
      </c>
      <c r="I39" s="228" t="e">
        <f t="shared" si="9"/>
        <v>#DIV/0!</v>
      </c>
      <c r="J39" s="2860"/>
      <c r="K39" s="1367"/>
      <c r="L39" s="2861" t="s">
        <v>2868</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0" t="s">
        <v>3038</v>
      </c>
      <c r="C41" s="387" t="e">
        <f>ROUND(POWER(1+E41,H41-G41)*(POWER(1+E41,G41)-1)/(POWER(1+E41,H41)-1),4)</f>
        <v>#DIV/0!</v>
      </c>
      <c r="D41" s="199" t="s">
        <v>2876</v>
      </c>
      <c r="E41" s="2929">
        <f>G20</f>
        <v>0</v>
      </c>
      <c r="F41" s="199" t="s">
        <v>2886</v>
      </c>
      <c r="G41" s="217"/>
      <c r="H41" s="199">
        <v>50</v>
      </c>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2928</v>
      </c>
      <c r="B45" s="2865"/>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6" t="s">
        <v>2929</v>
      </c>
      <c r="B46" s="2867">
        <f>1+E48</f>
        <v>1</v>
      </c>
      <c r="C46" s="2868"/>
      <c r="D46" s="808"/>
      <c r="E46" s="809"/>
      <c r="F46" s="2869"/>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70" t="s">
        <v>2930</v>
      </c>
      <c r="B47" s="1805" t="s">
        <v>2931</v>
      </c>
      <c r="C47" s="1805" t="s">
        <v>2932</v>
      </c>
      <c r="D47" s="1805" t="s">
        <v>2933</v>
      </c>
      <c r="E47" s="813" t="s">
        <v>2934</v>
      </c>
      <c r="F47" s="2871" t="s">
        <v>2935</v>
      </c>
      <c r="G47" s="1805" t="s">
        <v>754</v>
      </c>
      <c r="H47" s="2872" t="s">
        <v>2936</v>
      </c>
      <c r="I47" s="1805" t="s">
        <v>2937</v>
      </c>
      <c r="J47" s="602" t="s">
        <v>2585</v>
      </c>
      <c r="K47" s="602" t="s">
        <v>2586</v>
      </c>
      <c r="L47" s="602" t="s">
        <v>2587</v>
      </c>
      <c r="M47" s="602" t="s">
        <v>2588</v>
      </c>
      <c r="N47" s="602" t="s">
        <v>2589</v>
      </c>
      <c r="AA47" s="1368"/>
      <c r="AB47" s="1368"/>
      <c r="AC47" s="1368"/>
      <c r="AD47" s="1368"/>
      <c r="AE47" s="1368"/>
      <c r="AF47" s="1368"/>
      <c r="AG47" s="1368"/>
      <c r="AH47" s="1368"/>
      <c r="AI47" s="1368"/>
      <c r="AJ47" s="1368"/>
      <c r="AK47" s="1368"/>
    </row>
    <row r="48" spans="1:37" s="1367" customFormat="1" ht="38.25">
      <c r="A48" s="2870" t="s">
        <v>2938</v>
      </c>
      <c r="B48" s="2873" t="str">
        <f>估价对象房地状况!C4</f>
        <v>估价对象位于XX商圈，周边商业氛围成熟，人流量大，商业繁华度好</v>
      </c>
      <c r="C48" s="2762"/>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0" t="s">
        <v>2939</v>
      </c>
      <c r="B49" s="2874" t="str">
        <f>估价对象房地状况!C18</f>
        <v>估价对象周边道路状况、公共交通通达情况、停车便捷程度，综合评价交通便捷度较好</v>
      </c>
      <c r="C49" s="2762"/>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2940</v>
      </c>
      <c r="B50" s="2874">
        <f>估价对象房地状况!C19</f>
        <v>0</v>
      </c>
      <c r="C50" s="2762"/>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2941</v>
      </c>
      <c r="B51" s="2875" t="s">
        <v>2942</v>
      </c>
      <c r="C51" s="2762"/>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2943</v>
      </c>
      <c r="B52" s="2874">
        <f>估价对象房地状况!C24</f>
        <v>0</v>
      </c>
      <c r="C52" s="2762"/>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2944</v>
      </c>
      <c r="B53" s="2876" t="s">
        <v>2945</v>
      </c>
      <c r="C53" s="2762"/>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7" t="s">
        <v>2946</v>
      </c>
      <c r="B54" s="1721" t="str">
        <f>估价对象房地状况!C21</f>
        <v>估价对象所在区域公共配套设施齐备情况</v>
      </c>
      <c r="C54" s="2762"/>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2947</v>
      </c>
      <c r="B55" s="2874" t="str">
        <f>估价对象房地状况!C22</f>
        <v>估价对象所在区域基础设施水平</v>
      </c>
      <c r="C55" s="2762"/>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8" t="s">
        <v>2948</v>
      </c>
      <c r="B56" s="2879" t="str">
        <f>估价对象房地状况!C20</f>
        <v>区域自然环境：；人文环境；综合评价环境状况一般</v>
      </c>
      <c r="C56" s="2762"/>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2949</v>
      </c>
      <c r="B57" s="2867">
        <f>1+E59</f>
        <v>1</v>
      </c>
      <c r="C57" s="808"/>
      <c r="D57" s="808"/>
      <c r="E57" s="809"/>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2930</v>
      </c>
      <c r="B58" s="1805"/>
      <c r="C58" s="1805" t="s">
        <v>2932</v>
      </c>
      <c r="D58" s="1805" t="s">
        <v>2933</v>
      </c>
      <c r="E58" s="813" t="s">
        <v>2934</v>
      </c>
      <c r="F58" s="2871" t="s">
        <v>2950</v>
      </c>
      <c r="G58" s="1805" t="s">
        <v>754</v>
      </c>
      <c r="H58" s="2872" t="s">
        <v>2936</v>
      </c>
      <c r="I58" s="1805" t="s">
        <v>2937</v>
      </c>
      <c r="J58" s="602" t="s">
        <v>2585</v>
      </c>
      <c r="K58" s="602" t="s">
        <v>2586</v>
      </c>
      <c r="L58" s="602" t="s">
        <v>2587</v>
      </c>
      <c r="M58" s="602" t="s">
        <v>2588</v>
      </c>
      <c r="N58" s="602" t="s">
        <v>2589</v>
      </c>
      <c r="AA58" s="1368"/>
      <c r="AB58" s="1368"/>
      <c r="AC58" s="1368"/>
      <c r="AD58" s="1368"/>
      <c r="AE58" s="1368"/>
      <c r="AF58" s="1368"/>
      <c r="AG58" s="1368"/>
      <c r="AH58" s="1368"/>
      <c r="AI58" s="1368"/>
      <c r="AJ58" s="1368"/>
      <c r="AK58" s="1368"/>
    </row>
    <row r="59" spans="1:37" s="1367" customFormat="1" ht="38.25">
      <c r="A59" s="2870" t="s">
        <v>2951</v>
      </c>
      <c r="B59" s="2873" t="str">
        <f>估价对象房地状况!C17</f>
        <v>估价对象位于XX商圈，周边办公楼项目较多，入驻率高，办公集聚程度较好</v>
      </c>
      <c r="C59" s="2762"/>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0" t="s">
        <v>2939</v>
      </c>
      <c r="B60" s="2874" t="str">
        <f>估价对象房地状况!C18</f>
        <v>估价对象周边道路状况、公共交通通达情况、停车便捷程度，综合评价交通便捷度较好</v>
      </c>
      <c r="C60" s="2762"/>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2940</v>
      </c>
      <c r="B61" s="2874">
        <f>估价对象房地状况!C19</f>
        <v>0</v>
      </c>
      <c r="C61" s="2762"/>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2941</v>
      </c>
      <c r="B62" s="2875" t="s">
        <v>2942</v>
      </c>
      <c r="C62" s="2762"/>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2943</v>
      </c>
      <c r="B63" s="2874">
        <f>估价对象房地状况!C24</f>
        <v>0</v>
      </c>
      <c r="C63" s="2762"/>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2944</v>
      </c>
      <c r="B64" s="2876" t="s">
        <v>2945</v>
      </c>
      <c r="C64" s="2762"/>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0" t="s">
        <v>2946</v>
      </c>
      <c r="B65" s="1721" t="str">
        <f>估价对象房地状况!C21</f>
        <v>估价对象所在区域公共配套设施齐备情况</v>
      </c>
      <c r="C65" s="2762"/>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2947</v>
      </c>
      <c r="B66" s="1721" t="str">
        <f>估价对象房地状况!C22</f>
        <v>估价对象所在区域基础设施水平</v>
      </c>
      <c r="C66" s="2762"/>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8" t="s">
        <v>2948</v>
      </c>
      <c r="B67" s="2880" t="str">
        <f>估价对象房地状况!C20</f>
        <v>区域自然环境：；人文环境；综合评价环境状况一般</v>
      </c>
      <c r="C67" s="2762"/>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2952</v>
      </c>
      <c r="B68" s="2867">
        <f>1+E70</f>
        <v>1</v>
      </c>
      <c r="C68" s="808"/>
      <c r="D68" s="808"/>
      <c r="E68" s="809"/>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2930</v>
      </c>
      <c r="B69" s="1805"/>
      <c r="C69" s="1805" t="s">
        <v>2932</v>
      </c>
      <c r="D69" s="1805" t="s">
        <v>2933</v>
      </c>
      <c r="E69" s="813" t="s">
        <v>2934</v>
      </c>
      <c r="F69" s="2871" t="s">
        <v>2950</v>
      </c>
      <c r="G69" s="1805" t="s">
        <v>754</v>
      </c>
      <c r="H69" s="2872" t="s">
        <v>2936</v>
      </c>
      <c r="I69" s="1805" t="s">
        <v>2937</v>
      </c>
      <c r="J69" s="602" t="s">
        <v>2585</v>
      </c>
      <c r="K69" s="602" t="s">
        <v>2586</v>
      </c>
      <c r="L69" s="602" t="s">
        <v>2587</v>
      </c>
      <c r="M69" s="602" t="s">
        <v>2588</v>
      </c>
      <c r="N69" s="602" t="s">
        <v>2589</v>
      </c>
      <c r="AA69" s="1368"/>
      <c r="AB69" s="1368"/>
      <c r="AC69" s="1368"/>
      <c r="AD69" s="1368"/>
      <c r="AE69" s="1368"/>
      <c r="AF69" s="1368"/>
      <c r="AG69" s="1368"/>
      <c r="AH69" s="1368"/>
      <c r="AI69" s="1368"/>
      <c r="AJ69" s="1368"/>
      <c r="AK69" s="1368"/>
    </row>
    <row r="70" spans="1:37" s="1367" customFormat="1" ht="51">
      <c r="A70" s="2870" t="s">
        <v>2953</v>
      </c>
      <c r="B70" s="2873" t="str">
        <f>估价对象房地状况!C15</f>
        <v>估价对象周边居住用地比例、居住小区规模和社区发展完善程度，综合评价居住社区成熟度一般</v>
      </c>
      <c r="C70" s="2762"/>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0" t="s">
        <v>2939</v>
      </c>
      <c r="B71" s="2874" t="str">
        <f>估价对象房地状况!C18</f>
        <v>估价对象周边道路状况、公共交通通达情况、停车便捷程度，综合评价交通便捷度较好</v>
      </c>
      <c r="C71" s="2762"/>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0" t="s">
        <v>2940</v>
      </c>
      <c r="B72" s="2874">
        <f>估价对象房地状况!C19</f>
        <v>0</v>
      </c>
      <c r="C72" s="2762"/>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0" t="s">
        <v>2954</v>
      </c>
      <c r="B73" s="2874">
        <f>估价对象房地状况!C24</f>
        <v>0</v>
      </c>
      <c r="C73" s="2762"/>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0" t="s">
        <v>2946</v>
      </c>
      <c r="B74" s="1721" t="str">
        <f>估价对象房地状况!C21</f>
        <v>估价对象所在区域公共配套设施齐备情况</v>
      </c>
      <c r="C74" s="2762"/>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0" t="s">
        <v>2947</v>
      </c>
      <c r="B75" s="1721" t="str">
        <f>估价对象房地状况!C22</f>
        <v>估价对象所在区域基础设施水平</v>
      </c>
      <c r="C75" s="2762"/>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70" t="s">
        <v>2944</v>
      </c>
      <c r="B76" s="2876" t="s">
        <v>2945</v>
      </c>
      <c r="C76" s="2762"/>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1"/>
      <c r="AB76" s="1368"/>
      <c r="AC76" s="1368"/>
      <c r="AD76" s="1368"/>
      <c r="AE76" s="1368"/>
      <c r="AF76" s="1368"/>
      <c r="AG76" s="1368"/>
      <c r="AH76" s="2881"/>
      <c r="AI76" s="2881"/>
      <c r="AJ76" s="2881"/>
      <c r="AK76" s="2881"/>
    </row>
    <row r="77" spans="1:37" ht="38.25">
      <c r="A77" s="2870" t="s">
        <v>2948</v>
      </c>
      <c r="B77" s="2873" t="str">
        <f>估价对象房地状况!C20</f>
        <v>区域自然环境：；人文环境；综合评价环境状况一般</v>
      </c>
      <c r="C77" s="2762"/>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2"/>
      <c r="AA77" s="2788"/>
      <c r="AG77" s="1369"/>
      <c r="AK77" s="2788"/>
    </row>
    <row r="78" spans="1:37" ht="24.75" thickBot="1">
      <c r="A78" s="2878" t="s">
        <v>2955</v>
      </c>
      <c r="B78" s="2882"/>
      <c r="C78" s="2762"/>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2"/>
      <c r="AA78" s="2788"/>
      <c r="AG78" s="1369"/>
      <c r="AK78" s="2788"/>
    </row>
    <row r="79" spans="1:37" ht="15">
      <c r="A79" s="2866" t="s">
        <v>2956</v>
      </c>
      <c r="B79" s="2867">
        <f>1+E81</f>
        <v>1</v>
      </c>
      <c r="C79" s="808"/>
      <c r="D79" s="808"/>
      <c r="E79" s="809"/>
      <c r="F79" s="2869"/>
      <c r="G79" s="6"/>
      <c r="H79" s="6"/>
      <c r="I79" s="6"/>
      <c r="J79" s="7"/>
      <c r="K79" s="7"/>
      <c r="L79" s="7"/>
      <c r="M79" s="7"/>
      <c r="N79" s="7"/>
      <c r="Z79" s="2712"/>
      <c r="AA79" s="2788"/>
      <c r="AG79" s="1369"/>
      <c r="AK79" s="2788"/>
    </row>
    <row r="80" spans="1:37" ht="24.75">
      <c r="A80" s="2870" t="s">
        <v>2930</v>
      </c>
      <c r="B80" s="1805"/>
      <c r="C80" s="1805" t="s">
        <v>2932</v>
      </c>
      <c r="D80" s="1805" t="s">
        <v>2933</v>
      </c>
      <c r="E80" s="813" t="s">
        <v>2934</v>
      </c>
      <c r="F80" s="2871" t="s">
        <v>2950</v>
      </c>
      <c r="G80" s="1805" t="s">
        <v>754</v>
      </c>
      <c r="H80" s="2872" t="s">
        <v>2936</v>
      </c>
      <c r="I80" s="1805" t="s">
        <v>2937</v>
      </c>
      <c r="J80" s="602" t="s">
        <v>2585</v>
      </c>
      <c r="K80" s="602" t="s">
        <v>2586</v>
      </c>
      <c r="L80" s="602" t="s">
        <v>2587</v>
      </c>
      <c r="M80" s="602" t="s">
        <v>2588</v>
      </c>
      <c r="N80" s="602" t="s">
        <v>2589</v>
      </c>
      <c r="Z80" s="2712"/>
      <c r="AA80" s="2788"/>
      <c r="AG80" s="1369"/>
      <c r="AK80" s="2788"/>
    </row>
    <row r="81" spans="1:37" ht="38.25">
      <c r="A81" s="2870" t="s">
        <v>2957</v>
      </c>
      <c r="B81" s="2874" t="str">
        <f>估价对象房地状况!G15</f>
        <v>估价对象位于XX开发区，园区建设成熟度XX，产业集聚程度XX</v>
      </c>
      <c r="C81" s="2762"/>
      <c r="D81" s="1283">
        <f t="shared" ref="D81:D88" si="25">SUMIF($J$80:$N$80,C81,J81:N81)</f>
        <v>0</v>
      </c>
      <c r="E81" s="815">
        <f>ROUND(SUM(D81:D88),4)</f>
        <v>0</v>
      </c>
      <c r="F81" s="2496"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2"/>
      <c r="AA81" s="2788"/>
      <c r="AG81" s="1369"/>
      <c r="AK81" s="2788"/>
    </row>
    <row r="82" spans="1:37" ht="51">
      <c r="A82" s="2870" t="s">
        <v>2939</v>
      </c>
      <c r="B82" s="2874" t="str">
        <f>估价对象房地状况!G16</f>
        <v>估价对象周边道路状况、公共交通通达情况、停车便捷程度，综合评价交通便捷度较好</v>
      </c>
      <c r="C82" s="2762"/>
      <c r="D82" s="1283">
        <f t="shared" si="25"/>
        <v>0</v>
      </c>
      <c r="E82" s="820"/>
      <c r="F82" s="2496"/>
      <c r="G82" s="1281"/>
      <c r="H82" s="1285" t="str">
        <f t="shared" si="26"/>
        <v>——</v>
      </c>
      <c r="I82" s="814">
        <v>0.33</v>
      </c>
      <c r="J82" s="1282">
        <f t="shared" si="27"/>
        <v>0</v>
      </c>
      <c r="K82" s="1282">
        <f t="shared" si="28"/>
        <v>0</v>
      </c>
      <c r="L82" s="1282">
        <v>0</v>
      </c>
      <c r="M82" s="1282">
        <f t="shared" si="29"/>
        <v>0</v>
      </c>
      <c r="N82" s="1282">
        <f t="shared" si="29"/>
        <v>0</v>
      </c>
      <c r="Z82" s="2712"/>
      <c r="AA82" s="2788"/>
      <c r="AG82" s="1369"/>
      <c r="AK82" s="2788"/>
    </row>
    <row r="83" spans="1:37" ht="24">
      <c r="A83" s="2870" t="s">
        <v>2940</v>
      </c>
      <c r="B83" s="2874">
        <f>估价对象房地状况!G17</f>
        <v>0</v>
      </c>
      <c r="C83" s="2762"/>
      <c r="D83" s="1283">
        <f t="shared" si="25"/>
        <v>0</v>
      </c>
      <c r="E83" s="820"/>
      <c r="F83" s="2496"/>
      <c r="G83" s="1281"/>
      <c r="H83" s="1285" t="str">
        <f t="shared" si="26"/>
        <v>——</v>
      </c>
      <c r="I83" s="814">
        <v>0.05</v>
      </c>
      <c r="J83" s="1282">
        <f t="shared" si="27"/>
        <v>0</v>
      </c>
      <c r="K83" s="1282">
        <f t="shared" si="28"/>
        <v>0</v>
      </c>
      <c r="L83" s="1282">
        <v>0</v>
      </c>
      <c r="M83" s="1282">
        <f t="shared" si="29"/>
        <v>0</v>
      </c>
      <c r="N83" s="1282">
        <f t="shared" si="29"/>
        <v>0</v>
      </c>
      <c r="Z83" s="2712"/>
      <c r="AA83" s="2788"/>
      <c r="AG83" s="1369"/>
      <c r="AK83" s="2788"/>
    </row>
    <row r="84" spans="1:37" ht="14.25">
      <c r="A84" s="2870" t="s">
        <v>2954</v>
      </c>
      <c r="B84" s="2874">
        <f>估价对象房地状况!G22</f>
        <v>0</v>
      </c>
      <c r="C84" s="2762"/>
      <c r="D84" s="1283">
        <f t="shared" si="25"/>
        <v>0</v>
      </c>
      <c r="E84" s="820"/>
      <c r="F84" s="2496"/>
      <c r="G84" s="1281"/>
      <c r="H84" s="1285" t="str">
        <f t="shared" si="26"/>
        <v>——</v>
      </c>
      <c r="I84" s="814">
        <v>0.04</v>
      </c>
      <c r="J84" s="1282">
        <f t="shared" si="27"/>
        <v>0</v>
      </c>
      <c r="K84" s="1282">
        <f t="shared" si="28"/>
        <v>0</v>
      </c>
      <c r="L84" s="1282">
        <v>0</v>
      </c>
      <c r="M84" s="1282">
        <f t="shared" si="29"/>
        <v>0</v>
      </c>
      <c r="N84" s="1282">
        <f t="shared" si="29"/>
        <v>0</v>
      </c>
      <c r="Z84" s="2712"/>
      <c r="AA84" s="2788"/>
      <c r="AG84" s="1369"/>
      <c r="AK84" s="2788"/>
    </row>
    <row r="85" spans="1:37" ht="25.5">
      <c r="A85" s="2870" t="s">
        <v>2946</v>
      </c>
      <c r="B85" s="1721" t="str">
        <f>估价对象房地状况!G19</f>
        <v>估价对象所在区域公共配套设施齐备情况</v>
      </c>
      <c r="C85" s="2762"/>
      <c r="D85" s="1283">
        <f t="shared" si="25"/>
        <v>0</v>
      </c>
      <c r="E85" s="820"/>
      <c r="F85" s="2496"/>
      <c r="G85" s="1281"/>
      <c r="H85" s="1285" t="str">
        <f t="shared" si="26"/>
        <v>——</v>
      </c>
      <c r="I85" s="814">
        <v>0.06</v>
      </c>
      <c r="J85" s="1282">
        <f t="shared" si="27"/>
        <v>0</v>
      </c>
      <c r="K85" s="1282">
        <f t="shared" si="28"/>
        <v>0</v>
      </c>
      <c r="L85" s="1282">
        <v>0</v>
      </c>
      <c r="M85" s="1282">
        <f t="shared" si="29"/>
        <v>0</v>
      </c>
      <c r="N85" s="1282">
        <f t="shared" si="29"/>
        <v>0</v>
      </c>
      <c r="Z85" s="2712"/>
      <c r="AA85" s="2788"/>
      <c r="AG85" s="1369"/>
      <c r="AK85" s="2788"/>
    </row>
    <row r="86" spans="1:37" ht="25.5">
      <c r="A86" s="2870" t="s">
        <v>2947</v>
      </c>
      <c r="B86" s="1721" t="str">
        <f>估价对象房地状况!G20</f>
        <v>估价对象所在区域基础设施水平</v>
      </c>
      <c r="C86" s="2762"/>
      <c r="D86" s="1283">
        <f t="shared" si="25"/>
        <v>0</v>
      </c>
      <c r="E86" s="820"/>
      <c r="F86" s="2496"/>
      <c r="G86" s="1281"/>
      <c r="H86" s="1285" t="str">
        <f t="shared" si="26"/>
        <v>——</v>
      </c>
      <c r="I86" s="814">
        <v>0.15</v>
      </c>
      <c r="J86" s="1282">
        <f t="shared" si="27"/>
        <v>0</v>
      </c>
      <c r="K86" s="1282">
        <f t="shared" si="28"/>
        <v>0</v>
      </c>
      <c r="L86" s="1282">
        <v>0</v>
      </c>
      <c r="M86" s="1282">
        <f t="shared" si="29"/>
        <v>0</v>
      </c>
      <c r="N86" s="1282">
        <f t="shared" si="29"/>
        <v>0</v>
      </c>
      <c r="Z86" s="2712"/>
      <c r="AA86" s="2788"/>
      <c r="AG86" s="1369"/>
      <c r="AK86" s="2788"/>
    </row>
    <row r="87" spans="1:37" ht="24">
      <c r="A87" s="2870" t="s">
        <v>2944</v>
      </c>
      <c r="B87" s="2876" t="s">
        <v>2958</v>
      </c>
      <c r="C87" s="2762"/>
      <c r="D87" s="1283">
        <f t="shared" si="25"/>
        <v>0</v>
      </c>
      <c r="E87" s="820"/>
      <c r="F87" s="2496"/>
      <c r="G87" s="1281"/>
      <c r="H87" s="1285" t="str">
        <f t="shared" si="26"/>
        <v>——</v>
      </c>
      <c r="I87" s="814">
        <v>0.05</v>
      </c>
      <c r="J87" s="1282">
        <f t="shared" si="27"/>
        <v>0</v>
      </c>
      <c r="K87" s="1282">
        <f t="shared" si="28"/>
        <v>0</v>
      </c>
      <c r="L87" s="1282">
        <v>0</v>
      </c>
      <c r="M87" s="1282">
        <f t="shared" si="29"/>
        <v>0</v>
      </c>
      <c r="N87" s="1282">
        <f t="shared" si="29"/>
        <v>0</v>
      </c>
      <c r="Z87" s="2712"/>
      <c r="AA87" s="2788"/>
      <c r="AG87" s="1369"/>
      <c r="AK87" s="2788"/>
    </row>
    <row r="88" spans="1:37" ht="39" thickBot="1">
      <c r="A88" s="2878" t="s">
        <v>2959</v>
      </c>
      <c r="B88" s="2883" t="str">
        <f>估价对象房地状况!G18</f>
        <v>该园区内是否有污染型企业，绿化情况，卫生条件，整体环境状况判断</v>
      </c>
      <c r="C88" s="2762"/>
      <c r="D88" s="1283">
        <f t="shared" si="25"/>
        <v>0</v>
      </c>
      <c r="E88" s="821"/>
      <c r="F88" s="2496"/>
      <c r="G88" s="1281"/>
      <c r="H88" s="1285" t="str">
        <f t="shared" si="26"/>
        <v>——</v>
      </c>
      <c r="I88" s="818">
        <v>0.06</v>
      </c>
      <c r="J88" s="1282">
        <f t="shared" si="27"/>
        <v>0</v>
      </c>
      <c r="K88" s="1282">
        <f t="shared" si="28"/>
        <v>0</v>
      </c>
      <c r="L88" s="1282">
        <v>0</v>
      </c>
      <c r="M88" s="1282">
        <f t="shared" si="29"/>
        <v>0</v>
      </c>
      <c r="N88" s="1282">
        <f t="shared" si="29"/>
        <v>0</v>
      </c>
      <c r="Z88" s="2712"/>
      <c r="AA88" s="2788"/>
      <c r="AG88" s="1369"/>
      <c r="AK88" s="2788"/>
    </row>
    <row r="90" spans="1:37">
      <c r="A90" s="3353" t="s">
        <v>2960</v>
      </c>
      <c r="B90" s="3353"/>
      <c r="C90" s="3353"/>
      <c r="D90" s="3353"/>
      <c r="E90" s="3353"/>
      <c r="F90" s="3353"/>
      <c r="G90" s="3353"/>
      <c r="H90" s="3353"/>
      <c r="I90" s="3353"/>
      <c r="J90" s="3353"/>
      <c r="K90" s="2884"/>
      <c r="L90" s="2884"/>
      <c r="M90" s="2884"/>
      <c r="N90" s="2884"/>
    </row>
    <row r="91" spans="1:37">
      <c r="A91" s="3355" t="s">
        <v>2961</v>
      </c>
      <c r="B91" s="3355" t="s">
        <v>2962</v>
      </c>
      <c r="C91" s="2838" t="s">
        <v>2963</v>
      </c>
      <c r="D91" s="2839"/>
      <c r="E91" s="2839"/>
      <c r="F91" s="2839"/>
      <c r="G91" s="2839"/>
      <c r="H91" s="2839"/>
      <c r="I91" s="2839"/>
      <c r="J91" s="2885"/>
      <c r="K91" s="2886"/>
      <c r="L91" s="2886"/>
      <c r="M91" s="2886"/>
      <c r="N91" s="2886"/>
    </row>
    <row r="92" spans="1:37">
      <c r="A92" s="3355"/>
      <c r="B92" s="3355"/>
      <c r="C92" s="939" t="s">
        <v>2827</v>
      </c>
      <c r="D92" s="939" t="s">
        <v>2828</v>
      </c>
      <c r="E92" s="939" t="s">
        <v>2829</v>
      </c>
      <c r="F92" s="939" t="s">
        <v>2830</v>
      </c>
      <c r="G92" s="939" t="s">
        <v>2831</v>
      </c>
      <c r="H92" s="939" t="s">
        <v>2832</v>
      </c>
      <c r="I92" s="939" t="s">
        <v>2833</v>
      </c>
      <c r="J92" s="939" t="s">
        <v>2834</v>
      </c>
      <c r="K92" s="939" t="s">
        <v>2835</v>
      </c>
      <c r="L92" s="939" t="s">
        <v>2836</v>
      </c>
      <c r="M92" s="939" t="s">
        <v>2837</v>
      </c>
      <c r="N92" s="939" t="s">
        <v>2838</v>
      </c>
    </row>
    <row r="93" spans="1:37">
      <c r="A93" s="3356"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5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5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5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5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5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57"/>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5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56" t="s">
        <v>2965</v>
      </c>
      <c r="B101" s="2891" t="s">
        <v>2966</v>
      </c>
      <c r="C101" s="2892">
        <f>$G$3</f>
        <v>1.06</v>
      </c>
      <c r="D101" s="2892">
        <f t="shared" ref="D101:N101" si="31">$G$3</f>
        <v>1.06</v>
      </c>
      <c r="E101" s="2892">
        <f t="shared" si="31"/>
        <v>1.06</v>
      </c>
      <c r="F101" s="2892">
        <f t="shared" si="31"/>
        <v>1.06</v>
      </c>
      <c r="G101" s="2892">
        <f t="shared" si="31"/>
        <v>1.06</v>
      </c>
      <c r="H101" s="2892">
        <f t="shared" si="31"/>
        <v>1.06</v>
      </c>
      <c r="I101" s="2892">
        <f t="shared" si="31"/>
        <v>1.06</v>
      </c>
      <c r="J101" s="2892">
        <f t="shared" si="31"/>
        <v>1.06</v>
      </c>
      <c r="K101" s="2892">
        <f t="shared" si="31"/>
        <v>1.06</v>
      </c>
      <c r="L101" s="2892">
        <f t="shared" si="31"/>
        <v>1.06</v>
      </c>
      <c r="M101" s="2892">
        <f t="shared" si="31"/>
        <v>1.06</v>
      </c>
      <c r="N101" s="2892">
        <f t="shared" si="31"/>
        <v>1.06</v>
      </c>
    </row>
    <row r="102" spans="1:14">
      <c r="A102" s="3357"/>
      <c r="B102" s="2887">
        <v>1</v>
      </c>
      <c r="C102" s="2888">
        <f>1.9362/C101</f>
        <v>1.8266037735849054</v>
      </c>
      <c r="D102" s="2888">
        <f>1.9362/D101</f>
        <v>1.8266037735849054</v>
      </c>
      <c r="E102" s="2888">
        <f>1.8629/E101</f>
        <v>1.7574528301886791</v>
      </c>
      <c r="F102" s="2888">
        <f>1.8629/F101</f>
        <v>1.7574528301886791</v>
      </c>
      <c r="G102" s="2888">
        <f>1.8629/G101</f>
        <v>1.7574528301886791</v>
      </c>
      <c r="H102" s="2888">
        <f>1.8629/H101</f>
        <v>1.7574528301886791</v>
      </c>
      <c r="I102" s="2888">
        <f>1.8629/I101</f>
        <v>1.7574528301886791</v>
      </c>
      <c r="J102" s="2888">
        <f>1.942/J101</f>
        <v>1.8320754716981131</v>
      </c>
      <c r="K102" s="2888">
        <f>1.942/K101</f>
        <v>1.8320754716981131</v>
      </c>
      <c r="L102" s="2888">
        <f>1.942/L101</f>
        <v>1.8320754716981131</v>
      </c>
      <c r="M102" s="2888">
        <f>1.942/M101</f>
        <v>1.8320754716981131</v>
      </c>
      <c r="N102" s="2888">
        <f>1.942/N101</f>
        <v>1.8320754716981131</v>
      </c>
    </row>
    <row r="103" spans="1:14">
      <c r="A103" s="3357"/>
      <c r="B103" s="2887">
        <v>2</v>
      </c>
      <c r="C103" s="2888">
        <f>1.4198/C101</f>
        <v>1.3394339622641509</v>
      </c>
      <c r="D103" s="2888">
        <f>1.4198/D101</f>
        <v>1.3394339622641509</v>
      </c>
      <c r="E103" s="2888">
        <f>1.3372/E101</f>
        <v>1.2615094339622641</v>
      </c>
      <c r="F103" s="2888">
        <f>1.3372/F101</f>
        <v>1.2615094339622641</v>
      </c>
      <c r="G103" s="2888">
        <f>1.3372/G101</f>
        <v>1.2615094339622641</v>
      </c>
      <c r="H103" s="2888">
        <f>1.3372/H101</f>
        <v>1.2615094339622641</v>
      </c>
      <c r="I103" s="2888">
        <f>1.3372/I101</f>
        <v>1.2615094339622641</v>
      </c>
      <c r="J103" s="2888">
        <f>1.2799/J101</f>
        <v>1.2074528301886793</v>
      </c>
      <c r="K103" s="2888">
        <f>1.2799/K101</f>
        <v>1.2074528301886793</v>
      </c>
      <c r="L103" s="2888">
        <f>1.2799/L101</f>
        <v>1.2074528301886793</v>
      </c>
      <c r="M103" s="2888">
        <f>1.2799/M101</f>
        <v>1.2074528301886793</v>
      </c>
      <c r="N103" s="2888">
        <f>1.2799/N101</f>
        <v>1.2074528301886793</v>
      </c>
    </row>
    <row r="104" spans="1:14">
      <c r="A104" s="3357"/>
      <c r="B104" s="2887">
        <v>3</v>
      </c>
      <c r="C104" s="2888">
        <f>1.1594/C101</f>
        <v>1.0937735849056602</v>
      </c>
      <c r="D104" s="2888">
        <f>1.1594/D101</f>
        <v>1.0937735849056602</v>
      </c>
      <c r="E104" s="2888">
        <f>1.0788/E101</f>
        <v>1.0177358490566037</v>
      </c>
      <c r="F104" s="2888">
        <f>1.0788/F101</f>
        <v>1.0177358490566037</v>
      </c>
      <c r="G104" s="2888">
        <f>1.0788/G101</f>
        <v>1.0177358490566037</v>
      </c>
      <c r="H104" s="2888">
        <f>1.0788/H101</f>
        <v>1.0177358490566037</v>
      </c>
      <c r="I104" s="2888">
        <f>1.0788/I101</f>
        <v>1.0177358490566037</v>
      </c>
      <c r="J104" s="2888">
        <f>1.0072/J101</f>
        <v>0.95018867924528305</v>
      </c>
      <c r="K104" s="2888">
        <f>1.0072/K101</f>
        <v>0.95018867924528305</v>
      </c>
      <c r="L104" s="2888">
        <f>1.0072/L101</f>
        <v>0.95018867924528305</v>
      </c>
      <c r="M104" s="2888">
        <f>1.0072/M101</f>
        <v>0.95018867924528305</v>
      </c>
      <c r="N104" s="2888">
        <f>1.0072/N101</f>
        <v>0.95018867924528305</v>
      </c>
    </row>
    <row r="105" spans="1:14">
      <c r="A105" s="3357"/>
      <c r="B105" s="2887">
        <v>4</v>
      </c>
      <c r="C105" s="2888">
        <f>0.9622/C101</f>
        <v>0.90773584905660376</v>
      </c>
      <c r="D105" s="2888">
        <f>0.9622/D101</f>
        <v>0.90773584905660376</v>
      </c>
      <c r="E105" s="2888">
        <f>0.8656/E101</f>
        <v>0.81660377358490566</v>
      </c>
      <c r="F105" s="2888">
        <f>0.8656/F101</f>
        <v>0.81660377358490566</v>
      </c>
      <c r="G105" s="2888">
        <f>0.8656/G101</f>
        <v>0.81660377358490566</v>
      </c>
      <c r="H105" s="2888">
        <f>0.8656/H101</f>
        <v>0.81660377358490566</v>
      </c>
      <c r="I105" s="2888">
        <f>0.8656/I101</f>
        <v>0.81660377358490566</v>
      </c>
      <c r="J105" s="2888">
        <f>0.7525/J101</f>
        <v>0.70990566037735836</v>
      </c>
      <c r="K105" s="2888">
        <f>0.7525/K101</f>
        <v>0.70990566037735836</v>
      </c>
      <c r="L105" s="2888">
        <f>0.7525/L101</f>
        <v>0.70990566037735836</v>
      </c>
      <c r="M105" s="2888">
        <f>0.7525/M101</f>
        <v>0.70990566037735836</v>
      </c>
      <c r="N105" s="2888">
        <f>0.7525/N101</f>
        <v>0.70990566037735836</v>
      </c>
    </row>
    <row r="106" spans="1:14">
      <c r="A106" s="3357"/>
      <c r="B106" s="2887">
        <v>5</v>
      </c>
      <c r="C106" s="2888">
        <f>0.8417/C101</f>
        <v>0.79405660377358489</v>
      </c>
      <c r="D106" s="2888">
        <f>0.8417/D101</f>
        <v>0.79405660377358489</v>
      </c>
      <c r="E106" s="2888">
        <f>0.7371/E101</f>
        <v>0.69537735849056603</v>
      </c>
      <c r="F106" s="2888">
        <f>0.7371/F101</f>
        <v>0.69537735849056603</v>
      </c>
      <c r="G106" s="2888">
        <f>0.7371/G101</f>
        <v>0.69537735849056603</v>
      </c>
      <c r="H106" s="2888">
        <f>0.7371/H101</f>
        <v>0.69537735849056603</v>
      </c>
      <c r="I106" s="2888">
        <f>0.7371/I101</f>
        <v>0.69537735849056603</v>
      </c>
      <c r="J106" s="2888">
        <f>0.5659/J101</f>
        <v>0.53386792452830178</v>
      </c>
      <c r="K106" s="2888">
        <f>0.5659/K101</f>
        <v>0.53386792452830178</v>
      </c>
      <c r="L106" s="2888">
        <f>0.5659/L101</f>
        <v>0.53386792452830178</v>
      </c>
      <c r="M106" s="2888">
        <f>0.5659/M101</f>
        <v>0.53386792452830178</v>
      </c>
      <c r="N106" s="2888">
        <f>0.5659/N101</f>
        <v>0.53386792452830178</v>
      </c>
    </row>
    <row r="107" spans="1:14">
      <c r="A107" s="3357"/>
      <c r="B107" s="2887">
        <v>6</v>
      </c>
      <c r="C107" s="2888">
        <f>0.7608/C101</f>
        <v>0.71773584905660381</v>
      </c>
      <c r="D107" s="2888">
        <f>0.7608/D101</f>
        <v>0.71773584905660381</v>
      </c>
      <c r="E107" s="2888">
        <f>0.6482/E101</f>
        <v>0.61150943396226409</v>
      </c>
      <c r="F107" s="2888">
        <f>0.6482/F101</f>
        <v>0.61150943396226409</v>
      </c>
      <c r="G107" s="2888">
        <f>0.6482/G101</f>
        <v>0.61150943396226409</v>
      </c>
      <c r="H107" s="2888">
        <f>0.6482/H101</f>
        <v>0.61150943396226409</v>
      </c>
      <c r="I107" s="2888">
        <f>0.6482/I101</f>
        <v>0.61150943396226409</v>
      </c>
      <c r="J107" s="2888">
        <f>0.4525/J101</f>
        <v>0.42688679245283018</v>
      </c>
      <c r="K107" s="2888">
        <f>0.4525/K101</f>
        <v>0.42688679245283018</v>
      </c>
      <c r="L107" s="2888">
        <f>0.4525/L101</f>
        <v>0.42688679245283018</v>
      </c>
      <c r="M107" s="2888">
        <f>0.4525/M101</f>
        <v>0.42688679245283018</v>
      </c>
      <c r="N107" s="2888">
        <f>0.4525/N101</f>
        <v>0.42688679245283018</v>
      </c>
    </row>
    <row r="108" spans="1:14">
      <c r="A108" s="3357"/>
      <c r="B108" s="3215"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58"/>
      <c r="B109" s="3216"/>
      <c r="C109" s="2890">
        <f>(-0.163*(C108^2)-0.59*C108+7617)*(10^(-4))/C101</f>
        <v>0.71858490566037736</v>
      </c>
      <c r="D109" s="2890">
        <f>(-0.163*(D108^2)-0.59*D108+7617)*(10^(-4))/D101</f>
        <v>0.71858490566037736</v>
      </c>
      <c r="E109" s="2890">
        <f>(-0.161*(E108^2)-7.509*E108+6533)*(10^(-4))/E101</f>
        <v>0.61632075471698111</v>
      </c>
      <c r="F109" s="2890">
        <f>(-0.161*(F108^2)-7.509*F108+6533)*(10^(-4))/F101</f>
        <v>0.61632075471698111</v>
      </c>
      <c r="G109" s="2890">
        <f>(-0.161*(G108^2)-7.509*G108+6533)*(10^(-4))/G101</f>
        <v>0.61632075471698111</v>
      </c>
      <c r="H109" s="2890">
        <f>(-0.161*(H108^2)-7.509*H108+6533)*(10^(-4))/H101</f>
        <v>0.61632075471698111</v>
      </c>
      <c r="I109" s="2890">
        <f>(-0.161*(I108^2)-7.509*I108+6533)*(10^(-4))/I101</f>
        <v>0.61632075471698111</v>
      </c>
      <c r="J109" s="2890">
        <f>(-0.214*(J108^2)-21.991*J108+4665)*(10^(-4))/J101</f>
        <v>0.44009433962264149</v>
      </c>
      <c r="K109" s="2890">
        <f>(-0.214*(K108^2)-21.991*K108+4665)*(10^(-4))/K101</f>
        <v>0.44009433962264149</v>
      </c>
      <c r="L109" s="2890">
        <f>(-0.214*(L108^2)-21.991*L108+4665)*(10^(-4))/L101</f>
        <v>0.44009433962264149</v>
      </c>
      <c r="M109" s="2890">
        <f>(-0.214*(M108^2)-21.991*M108+4665)*(10^(-4))/M101</f>
        <v>0.44009433962264149</v>
      </c>
      <c r="N109" s="2890">
        <f>(-0.214*(N108^2)-21.991*N108+4665)*(10^(-4))/N101</f>
        <v>0.44009433962264149</v>
      </c>
    </row>
    <row r="110" spans="1:14">
      <c r="A110" s="3354" t="s">
        <v>2968</v>
      </c>
      <c r="B110" s="3354"/>
      <c r="C110" s="3354"/>
      <c r="D110" s="3354"/>
      <c r="E110" s="3354"/>
      <c r="F110" s="3354"/>
      <c r="G110" s="3354"/>
      <c r="H110" s="3354"/>
      <c r="I110" s="3354"/>
      <c r="J110" s="3354"/>
      <c r="K110" s="2893"/>
      <c r="L110" s="2893"/>
      <c r="M110" s="2893"/>
      <c r="N110" s="2893"/>
    </row>
    <row r="112" spans="1:14" ht="13.5" thickBot="1"/>
    <row r="113" spans="1:13" ht="25.5" thickBot="1">
      <c r="A113" s="897" t="s">
        <v>2969</v>
      </c>
      <c r="B113" s="1284">
        <f>G3</f>
        <v>1.06</v>
      </c>
      <c r="C113" s="898" t="s">
        <v>2970</v>
      </c>
      <c r="D113" s="899">
        <f>SUMPRODUCT((A115:A118=F113)*(B114:M114=H113)*B115:M118)</f>
        <v>0</v>
      </c>
      <c r="E113" s="2716" t="s">
        <v>2800</v>
      </c>
      <c r="F113" s="2895">
        <f>E2</f>
        <v>0</v>
      </c>
      <c r="G113" s="2716" t="s">
        <v>2801</v>
      </c>
      <c r="H113" s="2895">
        <f>G2</f>
        <v>0</v>
      </c>
      <c r="I113" s="2716"/>
      <c r="J113" s="2896"/>
      <c r="K113" s="2896"/>
      <c r="L113" s="2896"/>
      <c r="M113" s="2896"/>
    </row>
    <row r="114" spans="1:13">
      <c r="A114" s="902"/>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3" t="s">
        <v>2865</v>
      </c>
      <c r="B115" s="904">
        <f>ROUND(0.9335-0.0094*B113,4)</f>
        <v>0.92349999999999999</v>
      </c>
      <c r="C115" s="904">
        <f>B115</f>
        <v>0.92349999999999999</v>
      </c>
      <c r="D115" s="904">
        <f>ROUND(0.8331-0.0109*B113,4)</f>
        <v>0.82150000000000001</v>
      </c>
      <c r="E115" s="904">
        <f>D115</f>
        <v>0.82150000000000001</v>
      </c>
      <c r="F115" s="904">
        <f>E115</f>
        <v>0.82150000000000001</v>
      </c>
      <c r="G115" s="904">
        <f>F115</f>
        <v>0.82150000000000001</v>
      </c>
      <c r="H115" s="904">
        <f>G115</f>
        <v>0.82150000000000001</v>
      </c>
      <c r="I115" s="904">
        <f>ROUND(0.689-0.0155*B113,4)</f>
        <v>0.67259999999999998</v>
      </c>
      <c r="J115" s="904">
        <f t="shared" ref="J115:M118" si="33">I115</f>
        <v>0.67259999999999998</v>
      </c>
      <c r="K115" s="904">
        <f t="shared" si="33"/>
        <v>0.67259999999999998</v>
      </c>
      <c r="L115" s="904">
        <f t="shared" si="33"/>
        <v>0.67259999999999998</v>
      </c>
      <c r="M115" s="905">
        <f t="shared" si="33"/>
        <v>0.67259999999999998</v>
      </c>
    </row>
    <row r="116" spans="1:13">
      <c r="A116" s="903" t="s">
        <v>2866</v>
      </c>
      <c r="B116" s="904">
        <f>ROUND(0.949-0.012*B113,4)</f>
        <v>0.93630000000000002</v>
      </c>
      <c r="C116" s="904">
        <f>B116</f>
        <v>0.93630000000000002</v>
      </c>
      <c r="D116" s="904">
        <f>ROUND(0.8567-0.013*B113,4)</f>
        <v>0.84289999999999998</v>
      </c>
      <c r="E116" s="904">
        <f t="shared" ref="E116:H117" si="34">D116</f>
        <v>0.84289999999999998</v>
      </c>
      <c r="F116" s="904">
        <f t="shared" si="34"/>
        <v>0.84289999999999998</v>
      </c>
      <c r="G116" s="904">
        <f t="shared" si="34"/>
        <v>0.84289999999999998</v>
      </c>
      <c r="H116" s="904">
        <f t="shared" si="34"/>
        <v>0.84289999999999998</v>
      </c>
      <c r="I116" s="904">
        <f>ROUND(0.7694-0.014*B113,4)</f>
        <v>0.75460000000000005</v>
      </c>
      <c r="J116" s="904">
        <f t="shared" si="33"/>
        <v>0.75460000000000005</v>
      </c>
      <c r="K116" s="904">
        <f t="shared" si="33"/>
        <v>0.75460000000000005</v>
      </c>
      <c r="L116" s="904">
        <f t="shared" si="33"/>
        <v>0.75460000000000005</v>
      </c>
      <c r="M116" s="905">
        <f t="shared" si="33"/>
        <v>0.75460000000000005</v>
      </c>
    </row>
    <row r="117" spans="1:13">
      <c r="A117" s="903" t="s">
        <v>2867</v>
      </c>
      <c r="B117" s="904">
        <f>ROUND(0.8808-0.006*B113,4)</f>
        <v>0.87439999999999996</v>
      </c>
      <c r="C117" s="904">
        <f>B117</f>
        <v>0.87439999999999996</v>
      </c>
      <c r="D117" s="904">
        <f>ROUND(0.8748-0.008*B113,4)</f>
        <v>0.86629999999999996</v>
      </c>
      <c r="E117" s="904">
        <f t="shared" si="34"/>
        <v>0.86629999999999996</v>
      </c>
      <c r="F117" s="904">
        <f t="shared" si="34"/>
        <v>0.86629999999999996</v>
      </c>
      <c r="G117" s="904">
        <f t="shared" si="34"/>
        <v>0.86629999999999996</v>
      </c>
      <c r="H117" s="904">
        <f t="shared" si="34"/>
        <v>0.86629999999999996</v>
      </c>
      <c r="I117" s="904">
        <f>ROUND(0.7412-0.0095*B113,4)</f>
        <v>0.73109999999999997</v>
      </c>
      <c r="J117" s="904">
        <f t="shared" si="33"/>
        <v>0.73109999999999997</v>
      </c>
      <c r="K117" s="904">
        <f t="shared" si="33"/>
        <v>0.73109999999999997</v>
      </c>
      <c r="L117" s="904">
        <f t="shared" si="33"/>
        <v>0.73109999999999997</v>
      </c>
      <c r="M117" s="905">
        <f t="shared" si="33"/>
        <v>0.73109999999999997</v>
      </c>
    </row>
    <row r="118" spans="1:13" ht="13.5" thickBot="1">
      <c r="A118" s="713" t="s">
        <v>2868</v>
      </c>
      <c r="B118" s="906">
        <f>ROUND(0.7275-0.01*B113,4)</f>
        <v>0.71689999999999998</v>
      </c>
      <c r="C118" s="906">
        <f>B118</f>
        <v>0.71689999999999998</v>
      </c>
      <c r="D118" s="906">
        <f>ROUND(0.7043-0.012*B113,4)</f>
        <v>0.69159999999999999</v>
      </c>
      <c r="E118" s="906">
        <f>D118</f>
        <v>0.69159999999999999</v>
      </c>
      <c r="F118" s="906">
        <f>E118</f>
        <v>0.69159999999999999</v>
      </c>
      <c r="G118" s="906">
        <f>ROUND(0.6299-0.0122*B113,4)</f>
        <v>0.61699999999999999</v>
      </c>
      <c r="H118" s="906">
        <f>G118</f>
        <v>0.61699999999999999</v>
      </c>
      <c r="I118" s="906">
        <f>ROUND(0.5667-0.0136*B113,4)</f>
        <v>0.55230000000000001</v>
      </c>
      <c r="J118" s="906">
        <f t="shared" si="33"/>
        <v>0.55230000000000001</v>
      </c>
      <c r="K118" s="906">
        <f t="shared" si="33"/>
        <v>0.55230000000000001</v>
      </c>
      <c r="L118" s="906">
        <f t="shared" si="33"/>
        <v>0.55230000000000001</v>
      </c>
      <c r="M118" s="907">
        <f t="shared" si="33"/>
        <v>0.55230000000000001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估价结果一览表（市场价值不需“结果表-1”）</v>
      </c>
      <c r="B3" s="3037"/>
      <c r="C3" s="3037"/>
      <c r="D3" s="3037"/>
      <c r="E3" s="3037"/>
    </row>
    <row r="4" spans="1:5" ht="19.5" thickBot="1">
      <c r="A4" s="1957"/>
      <c r="B4" s="3035" t="s">
        <v>1626</v>
      </c>
      <c r="C4" s="3035"/>
      <c r="D4" s="3035"/>
      <c r="E4" s="1957"/>
    </row>
    <row r="5" spans="1:5" ht="16.5" thickTop="1">
      <c r="A5" s="1955"/>
      <c r="B5" s="3033" t="s">
        <v>1618</v>
      </c>
      <c r="C5" s="1958" t="s">
        <v>1619</v>
      </c>
      <c r="D5" s="1037">
        <f ca="1">结果表!H101</f>
        <v>41768</v>
      </c>
      <c r="E5" s="1955"/>
    </row>
    <row r="6" spans="1:5" ht="15.75">
      <c r="A6" s="1955"/>
      <c r="B6" s="3033"/>
      <c r="C6" s="1958" t="s">
        <v>1620</v>
      </c>
      <c r="D6" s="1037" t="str">
        <f ca="1">NUMBERSTRING(INT(D5*10000),2)&amp;"元整"</f>
        <v>肆亿壹仟柒佰陆拾捌万元整</v>
      </c>
      <c r="E6" s="1955"/>
    </row>
    <row r="7" spans="1:5" ht="15.75">
      <c r="A7" s="1955"/>
      <c r="B7" s="3038"/>
      <c r="C7" s="1959" t="s">
        <v>1621</v>
      </c>
      <c r="D7" s="1038">
        <f ca="1">结果表!H102</f>
        <v>5514</v>
      </c>
      <c r="E7" s="1955"/>
    </row>
    <row r="8" spans="1:5" ht="15.75">
      <c r="A8" s="1955"/>
      <c r="B8" s="3039" t="str">
        <f>结果表!E103</f>
        <v>2.估价师知悉的法定优先受偿款</v>
      </c>
      <c r="C8" s="1960" t="s">
        <v>1622</v>
      </c>
      <c r="D8" s="1038">
        <f>结果表!H103</f>
        <v>0</v>
      </c>
      <c r="E8" s="1955"/>
    </row>
    <row r="9" spans="1:5" ht="15.75">
      <c r="A9" s="1955"/>
      <c r="B9" s="3041"/>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3032" t="str">
        <f>结果表!E107</f>
        <v>——</v>
      </c>
      <c r="C13" s="1963" t="s">
        <v>1619</v>
      </c>
      <c r="D13" s="1040" t="str">
        <f>结果表!H107</f>
        <v>——</v>
      </c>
      <c r="E13" s="1955"/>
    </row>
    <row r="14" spans="1:5" ht="15.75">
      <c r="A14" s="1955"/>
      <c r="B14" s="3033"/>
      <c r="C14" s="1958" t="s">
        <v>1620</v>
      </c>
      <c r="D14" s="1037" t="e">
        <f>NUMBERSTRING(INT(D13*10000),2)&amp;"元整"</f>
        <v>#VALUE!</v>
      </c>
      <c r="E14" s="1955"/>
    </row>
    <row r="15" spans="1:5" ht="15">
      <c r="A15" s="1955"/>
      <c r="B15" s="3038"/>
      <c r="C15" s="1959" t="s">
        <v>1630</v>
      </c>
      <c r="D15" s="1049" t="e">
        <f>结果表!H108</f>
        <v>#VALUE!</v>
      </c>
      <c r="E15" s="1955"/>
    </row>
    <row r="16" spans="1:5" ht="15">
      <c r="A16" s="1955"/>
      <c r="B16" s="3039" t="str">
        <f>结果表!E109</f>
        <v>3.抵押担保权已注销时的房地产抵押价值</v>
      </c>
      <c r="C16" s="1963" t="s">
        <v>1631</v>
      </c>
      <c r="D16" s="1964">
        <f ca="1">结果表!H109</f>
        <v>41768</v>
      </c>
      <c r="E16" s="1955"/>
    </row>
    <row r="17" spans="1:5" ht="15.75">
      <c r="A17" s="1955"/>
      <c r="B17" s="3040"/>
      <c r="C17" s="1958" t="s">
        <v>1632</v>
      </c>
      <c r="D17" s="1037" t="str">
        <f ca="1">NUMBERSTRING(INT(D16*10000),2)&amp;"元整"</f>
        <v>肆亿壹仟柒佰陆拾捌万元整</v>
      </c>
      <c r="E17" s="1955"/>
    </row>
    <row r="18" spans="1:5" ht="15">
      <c r="A18" s="1955"/>
      <c r="B18" s="3041"/>
      <c r="C18" s="1959" t="s">
        <v>1621</v>
      </c>
      <c r="D18" s="1049">
        <f ca="1">结果表!H110</f>
        <v>5514</v>
      </c>
      <c r="E18" s="1955"/>
    </row>
    <row r="19" spans="1:5" ht="15.75">
      <c r="A19" s="1955"/>
      <c r="B19" s="3032" t="str">
        <f>结果表!E111</f>
        <v>——</v>
      </c>
      <c r="C19" s="1963" t="s">
        <v>1619</v>
      </c>
      <c r="D19" s="1038" t="str">
        <f>结果表!H111</f>
        <v>——</v>
      </c>
      <c r="E19" s="1955"/>
    </row>
    <row r="20" spans="1:5" ht="15.75">
      <c r="A20" s="1955"/>
      <c r="B20" s="3033"/>
      <c r="C20" s="1958" t="s">
        <v>1632</v>
      </c>
      <c r="D20" s="1037" t="e">
        <f>NUMBERSTRING(INT(D19*10000),2)&amp;"元整"</f>
        <v>#VALUE!</v>
      </c>
      <c r="E20" s="1955"/>
    </row>
    <row r="21" spans="1:5" ht="15.75" thickBot="1">
      <c r="A21" s="1955"/>
      <c r="B21" s="3034"/>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62" t="s">
        <v>183</v>
      </c>
      <c r="B18" s="876" t="s">
        <v>560</v>
      </c>
      <c r="C18" s="877" t="s">
        <v>561</v>
      </c>
      <c r="D18" s="878"/>
      <c r="E18" s="876">
        <v>1</v>
      </c>
      <c r="F18" s="879" t="s">
        <v>562</v>
      </c>
      <c r="G18" s="880"/>
      <c r="H18" s="872"/>
      <c r="I18" s="872"/>
    </row>
    <row r="19" spans="1:9" s="881" customFormat="1" ht="19.5" customHeight="1">
      <c r="A19" s="3362"/>
      <c r="B19" s="3362" t="s">
        <v>563</v>
      </c>
      <c r="C19" s="877" t="s">
        <v>564</v>
      </c>
      <c r="D19" s="878"/>
      <c r="E19" s="876">
        <v>0.9</v>
      </c>
      <c r="F19" s="879" t="s">
        <v>565</v>
      </c>
      <c r="G19" s="880"/>
      <c r="H19" s="872"/>
      <c r="I19" s="872"/>
    </row>
    <row r="20" spans="1:9" s="881" customFormat="1" ht="19.5" customHeight="1">
      <c r="A20" s="3362"/>
      <c r="B20" s="3362"/>
      <c r="C20" s="877" t="s">
        <v>566</v>
      </c>
      <c r="D20" s="878"/>
      <c r="E20" s="876">
        <v>1.1000000000000001</v>
      </c>
      <c r="F20" s="879" t="s">
        <v>567</v>
      </c>
      <c r="G20" s="880"/>
      <c r="H20" s="872"/>
      <c r="I20" s="872"/>
    </row>
    <row r="21" spans="1:9" s="881" customFormat="1" ht="19.5" customHeight="1">
      <c r="A21" s="3362"/>
      <c r="B21" s="3362"/>
      <c r="C21" s="877" t="s">
        <v>568</v>
      </c>
      <c r="D21" s="878"/>
      <c r="E21" s="876">
        <v>0.8</v>
      </c>
      <c r="F21" s="879" t="s">
        <v>569</v>
      </c>
      <c r="G21" s="880"/>
      <c r="H21" s="872"/>
      <c r="I21" s="872"/>
    </row>
    <row r="22" spans="1:9" s="881" customFormat="1" ht="19.5" customHeight="1">
      <c r="A22" s="3362"/>
      <c r="B22" s="3362"/>
      <c r="C22" s="877" t="s">
        <v>570</v>
      </c>
      <c r="D22" s="878"/>
      <c r="E22" s="876">
        <v>0.5</v>
      </c>
      <c r="F22" s="879"/>
      <c r="G22" s="880"/>
      <c r="H22" s="872"/>
      <c r="I22" s="872"/>
    </row>
    <row r="23" spans="1:9" s="881" customFormat="1" ht="19.5" customHeight="1">
      <c r="A23" s="3362" t="s">
        <v>184</v>
      </c>
      <c r="B23" s="876" t="s">
        <v>560</v>
      </c>
      <c r="C23" s="877" t="s">
        <v>571</v>
      </c>
      <c r="D23" s="878"/>
      <c r="E23" s="876">
        <v>1</v>
      </c>
      <c r="F23" s="879" t="s">
        <v>572</v>
      </c>
      <c r="G23" s="880"/>
      <c r="H23" s="872"/>
      <c r="I23" s="872"/>
    </row>
    <row r="24" spans="1:9" s="881" customFormat="1" ht="19.5" customHeight="1">
      <c r="A24" s="3362"/>
      <c r="B24" s="3362" t="s">
        <v>563</v>
      </c>
      <c r="C24" s="877" t="s">
        <v>573</v>
      </c>
      <c r="D24" s="878"/>
      <c r="E24" s="876">
        <v>0.5</v>
      </c>
      <c r="F24" s="879"/>
      <c r="G24" s="880"/>
      <c r="H24" s="872"/>
      <c r="I24" s="872"/>
    </row>
    <row r="25" spans="1:9" s="881" customFormat="1" ht="19.5" customHeight="1">
      <c r="A25" s="3362"/>
      <c r="B25" s="3362"/>
      <c r="C25" s="877" t="s">
        <v>574</v>
      </c>
      <c r="D25" s="878"/>
      <c r="E25" s="876">
        <v>1.1000000000000001</v>
      </c>
      <c r="F25" s="879"/>
      <c r="G25" s="880"/>
      <c r="H25" s="872"/>
      <c r="I25" s="872"/>
    </row>
    <row r="26" spans="1:9" s="881" customFormat="1" ht="19.5" customHeight="1">
      <c r="A26" s="3362"/>
      <c r="B26" s="3362"/>
      <c r="C26" s="877" t="s">
        <v>575</v>
      </c>
      <c r="D26" s="878"/>
      <c r="E26" s="876">
        <v>1.1000000000000001</v>
      </c>
      <c r="F26" s="879"/>
      <c r="G26" s="880"/>
      <c r="H26" s="872"/>
      <c r="I26" s="872"/>
    </row>
    <row r="27" spans="1:9" s="881" customFormat="1" ht="19.5" customHeight="1">
      <c r="A27" s="3362"/>
      <c r="B27" s="3362"/>
      <c r="C27" s="877" t="s">
        <v>576</v>
      </c>
      <c r="D27" s="878"/>
      <c r="E27" s="876">
        <v>0.9</v>
      </c>
      <c r="F27" s="879" t="s">
        <v>577</v>
      </c>
      <c r="G27" s="880"/>
      <c r="H27" s="872"/>
      <c r="I27" s="872"/>
    </row>
    <row r="28" spans="1:9" s="881" customFormat="1" ht="19.5" customHeight="1">
      <c r="A28" s="3362"/>
      <c r="B28" s="3362"/>
      <c r="C28" s="877" t="s">
        <v>578</v>
      </c>
      <c r="D28" s="878"/>
      <c r="E28" s="876">
        <v>0.9</v>
      </c>
      <c r="F28" s="879" t="s">
        <v>579</v>
      </c>
      <c r="G28" s="880"/>
      <c r="H28" s="872"/>
      <c r="I28" s="872"/>
    </row>
    <row r="29" spans="1:9" s="881" customFormat="1" ht="19.5" customHeight="1">
      <c r="A29" s="3362"/>
      <c r="B29" s="3362"/>
      <c r="C29" s="877" t="s">
        <v>580</v>
      </c>
      <c r="D29" s="878"/>
      <c r="E29" s="876">
        <v>0.9</v>
      </c>
      <c r="F29" s="879" t="s">
        <v>581</v>
      </c>
      <c r="G29" s="880"/>
      <c r="H29" s="872"/>
      <c r="I29" s="872"/>
    </row>
    <row r="30" spans="1:9" s="881" customFormat="1" ht="19.5" customHeight="1">
      <c r="A30" s="3362"/>
      <c r="B30" s="3362"/>
      <c r="C30" s="877" t="s">
        <v>582</v>
      </c>
      <c r="D30" s="878"/>
      <c r="E30" s="876">
        <v>0.9</v>
      </c>
      <c r="F30" s="879" t="s">
        <v>583</v>
      </c>
      <c r="G30" s="880"/>
      <c r="H30" s="872"/>
      <c r="I30" s="872"/>
    </row>
    <row r="31" spans="1:9" s="881" customFormat="1" ht="19.5" customHeight="1">
      <c r="A31" s="3362"/>
      <c r="B31" s="3362"/>
      <c r="C31" s="877" t="s">
        <v>584</v>
      </c>
      <c r="D31" s="878"/>
      <c r="E31" s="876">
        <v>0.8</v>
      </c>
      <c r="F31" s="879" t="s">
        <v>585</v>
      </c>
      <c r="G31" s="880"/>
      <c r="H31" s="872"/>
      <c r="I31" s="872"/>
    </row>
    <row r="32" spans="1:9" s="881" customFormat="1" ht="19.5" customHeight="1">
      <c r="A32" s="3362"/>
      <c r="B32" s="3362"/>
      <c r="C32" s="877" t="s">
        <v>586</v>
      </c>
      <c r="D32" s="878"/>
      <c r="E32" s="876">
        <v>0.8</v>
      </c>
      <c r="F32" s="879" t="s">
        <v>587</v>
      </c>
      <c r="G32" s="880"/>
      <c r="H32" s="872"/>
      <c r="I32" s="872"/>
    </row>
    <row r="33" spans="1:9" s="881" customFormat="1" ht="19.5" customHeight="1">
      <c r="A33" s="3362" t="s">
        <v>185</v>
      </c>
      <c r="B33" s="876" t="s">
        <v>560</v>
      </c>
      <c r="C33" s="877" t="s">
        <v>588</v>
      </c>
      <c r="D33" s="878"/>
      <c r="E33" s="876">
        <v>1</v>
      </c>
      <c r="F33" s="879" t="s">
        <v>589</v>
      </c>
      <c r="G33" s="880"/>
      <c r="H33" s="872"/>
      <c r="I33" s="872"/>
    </row>
    <row r="34" spans="1:9" s="881" customFormat="1" ht="19.5" customHeight="1">
      <c r="A34" s="3362"/>
      <c r="B34" s="876" t="s">
        <v>563</v>
      </c>
      <c r="C34" s="877" t="s">
        <v>590</v>
      </c>
      <c r="D34" s="878"/>
      <c r="E34" s="876">
        <v>1.5</v>
      </c>
      <c r="F34" s="879" t="s">
        <v>591</v>
      </c>
      <c r="G34" s="880"/>
      <c r="H34" s="872"/>
      <c r="I34" s="872"/>
    </row>
    <row r="35" spans="1:9" s="881" customFormat="1" ht="19.5" customHeight="1">
      <c r="A35" s="3362" t="s">
        <v>186</v>
      </c>
      <c r="B35" s="876" t="s">
        <v>560</v>
      </c>
      <c r="C35" s="877" t="s">
        <v>592</v>
      </c>
      <c r="D35" s="878"/>
      <c r="E35" s="876">
        <v>1</v>
      </c>
      <c r="F35" s="879" t="s">
        <v>593</v>
      </c>
      <c r="G35" s="880"/>
      <c r="H35" s="872"/>
      <c r="I35" s="872"/>
    </row>
    <row r="36" spans="1:9" s="881" customFormat="1" ht="19.5" customHeight="1">
      <c r="A36" s="3362"/>
      <c r="B36" s="3362" t="s">
        <v>563</v>
      </c>
      <c r="C36" s="877" t="s">
        <v>594</v>
      </c>
      <c r="D36" s="878"/>
      <c r="E36" s="876">
        <v>1</v>
      </c>
      <c r="F36" s="879" t="s">
        <v>595</v>
      </c>
      <c r="G36" s="880"/>
      <c r="H36" s="872"/>
      <c r="I36" s="872"/>
    </row>
    <row r="37" spans="1:9" s="881" customFormat="1" ht="19.5" customHeight="1">
      <c r="A37" s="3362"/>
      <c r="B37" s="3362"/>
      <c r="C37" s="877" t="s">
        <v>596</v>
      </c>
      <c r="D37" s="878"/>
      <c r="E37" s="876">
        <v>1.5</v>
      </c>
      <c r="F37" s="879" t="s">
        <v>597</v>
      </c>
      <c r="G37" s="880"/>
      <c r="H37" s="872"/>
      <c r="I37" s="872"/>
    </row>
    <row r="38" spans="1:9" s="881" customFormat="1" ht="19.5" customHeight="1">
      <c r="A38" s="3362"/>
      <c r="B38" s="3362"/>
      <c r="C38" s="877" t="s">
        <v>598</v>
      </c>
      <c r="D38" s="878"/>
      <c r="E38" s="876">
        <v>1</v>
      </c>
      <c r="F38" s="879" t="s">
        <v>599</v>
      </c>
      <c r="G38" s="880"/>
      <c r="H38" s="872"/>
      <c r="I38" s="872"/>
    </row>
    <row r="39" spans="1:9" s="881" customFormat="1" ht="19.5" customHeight="1">
      <c r="A39" s="3362"/>
      <c r="B39" s="3362"/>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62" t="s">
        <v>614</v>
      </c>
      <c r="C61" s="812" t="s">
        <v>615</v>
      </c>
      <c r="D61" s="812" t="s">
        <v>616</v>
      </c>
      <c r="E61" s="889">
        <v>0.5</v>
      </c>
      <c r="F61" s="876">
        <v>80</v>
      </c>
    </row>
    <row r="62" spans="1:8" s="872" customFormat="1" ht="24">
      <c r="A62" s="876">
        <v>2</v>
      </c>
      <c r="B62" s="3362"/>
      <c r="C62" s="812" t="s">
        <v>617</v>
      </c>
      <c r="D62" s="812" t="s">
        <v>618</v>
      </c>
      <c r="E62" s="889">
        <v>0.5</v>
      </c>
      <c r="F62" s="876">
        <v>80</v>
      </c>
    </row>
    <row r="63" spans="1:8" s="872" customFormat="1" ht="36">
      <c r="A63" s="876">
        <v>3</v>
      </c>
      <c r="B63" s="3362"/>
      <c r="C63" s="812" t="s">
        <v>619</v>
      </c>
      <c r="D63" s="812" t="s">
        <v>620</v>
      </c>
      <c r="E63" s="889">
        <v>0.5</v>
      </c>
      <c r="F63" s="876">
        <v>80</v>
      </c>
    </row>
    <row r="64" spans="1:8" s="872" customFormat="1" ht="36">
      <c r="A64" s="876">
        <v>4</v>
      </c>
      <c r="B64" s="3362"/>
      <c r="C64" s="812" t="s">
        <v>621</v>
      </c>
      <c r="D64" s="812" t="s">
        <v>622</v>
      </c>
      <c r="E64" s="889">
        <v>0.4</v>
      </c>
      <c r="F64" s="876">
        <v>60</v>
      </c>
    </row>
    <row r="65" spans="1:6" s="872" customFormat="1" ht="36">
      <c r="A65" s="876">
        <v>5</v>
      </c>
      <c r="B65" s="3362"/>
      <c r="C65" s="812" t="s">
        <v>623</v>
      </c>
      <c r="D65" s="812" t="s">
        <v>624</v>
      </c>
      <c r="E65" s="889">
        <v>0.2</v>
      </c>
      <c r="F65" s="876">
        <v>30</v>
      </c>
    </row>
    <row r="66" spans="1:6" s="872" customFormat="1" ht="36">
      <c r="A66" s="876">
        <v>6</v>
      </c>
      <c r="B66" s="3362"/>
      <c r="C66" s="812" t="s">
        <v>625</v>
      </c>
      <c r="D66" s="812" t="s">
        <v>626</v>
      </c>
      <c r="E66" s="889">
        <v>0.3</v>
      </c>
      <c r="F66" s="876">
        <v>50</v>
      </c>
    </row>
    <row r="67" spans="1:6" s="872" customFormat="1" ht="36">
      <c r="A67" s="876">
        <v>7</v>
      </c>
      <c r="B67" s="3362"/>
      <c r="C67" s="812" t="s">
        <v>627</v>
      </c>
      <c r="D67" s="812" t="s">
        <v>628</v>
      </c>
      <c r="E67" s="889">
        <v>0.2</v>
      </c>
      <c r="F67" s="876">
        <v>30</v>
      </c>
    </row>
    <row r="68" spans="1:6" s="872" customFormat="1" ht="36">
      <c r="A68" s="876">
        <v>8</v>
      </c>
      <c r="B68" s="3362"/>
      <c r="C68" s="812" t="s">
        <v>629</v>
      </c>
      <c r="D68" s="812" t="s">
        <v>630</v>
      </c>
      <c r="E68" s="889">
        <v>0.2</v>
      </c>
      <c r="F68" s="876">
        <v>30</v>
      </c>
    </row>
    <row r="69" spans="1:6" s="872" customFormat="1" ht="36">
      <c r="A69" s="876">
        <v>9</v>
      </c>
      <c r="B69" s="3362"/>
      <c r="C69" s="812" t="s">
        <v>631</v>
      </c>
      <c r="D69" s="812" t="s">
        <v>632</v>
      </c>
      <c r="E69" s="889">
        <v>0.2</v>
      </c>
      <c r="F69" s="876">
        <v>30</v>
      </c>
    </row>
    <row r="70" spans="1:6" s="872" customFormat="1" ht="48">
      <c r="A70" s="876">
        <v>10</v>
      </c>
      <c r="B70" s="3362"/>
      <c r="C70" s="812" t="s">
        <v>633</v>
      </c>
      <c r="D70" s="812" t="s">
        <v>634</v>
      </c>
      <c r="E70" s="889">
        <v>0.2</v>
      </c>
      <c r="F70" s="876">
        <v>30</v>
      </c>
    </row>
    <row r="71" spans="1:6" s="872" customFormat="1" ht="48">
      <c r="A71" s="876">
        <v>11</v>
      </c>
      <c r="B71" s="3362"/>
      <c r="C71" s="812" t="s">
        <v>635</v>
      </c>
      <c r="D71" s="812" t="s">
        <v>636</v>
      </c>
      <c r="E71" s="889">
        <v>0.2</v>
      </c>
      <c r="F71" s="876">
        <v>30</v>
      </c>
    </row>
    <row r="72" spans="1:6" s="872" customFormat="1" ht="36">
      <c r="A72" s="876">
        <v>12</v>
      </c>
      <c r="B72" s="3362"/>
      <c r="C72" s="812" t="s">
        <v>637</v>
      </c>
      <c r="D72" s="812" t="s">
        <v>638</v>
      </c>
      <c r="E72" s="889">
        <v>0.5</v>
      </c>
      <c r="F72" s="876">
        <v>80</v>
      </c>
    </row>
    <row r="73" spans="1:6" s="872" customFormat="1" ht="24">
      <c r="A73" s="876">
        <v>13</v>
      </c>
      <c r="B73" s="3362"/>
      <c r="C73" s="812" t="s">
        <v>639</v>
      </c>
      <c r="D73" s="812" t="s">
        <v>640</v>
      </c>
      <c r="E73" s="889">
        <v>0.4</v>
      </c>
      <c r="F73" s="876">
        <v>60</v>
      </c>
    </row>
    <row r="74" spans="1:6" s="872" customFormat="1" ht="24">
      <c r="A74" s="876">
        <v>14</v>
      </c>
      <c r="B74" s="3362"/>
      <c r="C74" s="812" t="s">
        <v>641</v>
      </c>
      <c r="D74" s="812" t="s">
        <v>642</v>
      </c>
      <c r="E74" s="889">
        <v>0.2</v>
      </c>
      <c r="F74" s="876">
        <v>30</v>
      </c>
    </row>
    <row r="75" spans="1:6" s="872" customFormat="1" ht="24">
      <c r="A75" s="876">
        <v>15</v>
      </c>
      <c r="B75" s="3362"/>
      <c r="C75" s="812" t="s">
        <v>643</v>
      </c>
      <c r="D75" s="812" t="s">
        <v>644</v>
      </c>
      <c r="E75" s="889">
        <v>0.2</v>
      </c>
      <c r="F75" s="876">
        <v>30</v>
      </c>
    </row>
    <row r="76" spans="1:6" s="872" customFormat="1" ht="24">
      <c r="A76" s="876">
        <v>16</v>
      </c>
      <c r="B76" s="3362" t="s">
        <v>645</v>
      </c>
      <c r="C76" s="812" t="s">
        <v>646</v>
      </c>
      <c r="D76" s="812" t="s">
        <v>647</v>
      </c>
      <c r="E76" s="889">
        <v>0.5</v>
      </c>
      <c r="F76" s="876">
        <v>80</v>
      </c>
    </row>
    <row r="77" spans="1:6" s="872" customFormat="1" ht="24">
      <c r="A77" s="876">
        <v>17</v>
      </c>
      <c r="B77" s="3362"/>
      <c r="C77" s="812" t="s">
        <v>648</v>
      </c>
      <c r="D77" s="812" t="s">
        <v>649</v>
      </c>
      <c r="E77" s="889">
        <v>0.5</v>
      </c>
      <c r="F77" s="876">
        <v>80</v>
      </c>
    </row>
    <row r="78" spans="1:6" s="872" customFormat="1" ht="24">
      <c r="A78" s="876">
        <v>18</v>
      </c>
      <c r="B78" s="3362"/>
      <c r="C78" s="812" t="s">
        <v>650</v>
      </c>
      <c r="D78" s="812" t="s">
        <v>651</v>
      </c>
      <c r="E78" s="889">
        <v>0.2</v>
      </c>
      <c r="F78" s="876">
        <v>30</v>
      </c>
    </row>
    <row r="79" spans="1:6" s="872" customFormat="1" ht="24">
      <c r="A79" s="876">
        <v>19</v>
      </c>
      <c r="B79" s="3362"/>
      <c r="C79" s="812" t="s">
        <v>652</v>
      </c>
      <c r="D79" s="812" t="s">
        <v>653</v>
      </c>
      <c r="E79" s="889">
        <v>0.5</v>
      </c>
      <c r="F79" s="876">
        <v>80</v>
      </c>
    </row>
    <row r="80" spans="1:6" s="872" customFormat="1" ht="36">
      <c r="A80" s="876">
        <v>20</v>
      </c>
      <c r="B80" s="3362"/>
      <c r="C80" s="812" t="s">
        <v>654</v>
      </c>
      <c r="D80" s="812" t="s">
        <v>655</v>
      </c>
      <c r="E80" s="889">
        <v>0.2</v>
      </c>
      <c r="F80" s="876">
        <v>30</v>
      </c>
    </row>
    <row r="81" spans="1:6" s="872" customFormat="1" ht="36">
      <c r="A81" s="876">
        <v>21</v>
      </c>
      <c r="B81" s="3362"/>
      <c r="C81" s="812" t="s">
        <v>656</v>
      </c>
      <c r="D81" s="812" t="s">
        <v>657</v>
      </c>
      <c r="E81" s="889">
        <v>0.2</v>
      </c>
      <c r="F81" s="876">
        <v>30</v>
      </c>
    </row>
    <row r="82" spans="1:6" s="872" customFormat="1" ht="48">
      <c r="A82" s="876">
        <v>22</v>
      </c>
      <c r="B82" s="3362"/>
      <c r="C82" s="812" t="s">
        <v>658</v>
      </c>
      <c r="D82" s="812" t="s">
        <v>659</v>
      </c>
      <c r="E82" s="889">
        <v>0.2</v>
      </c>
      <c r="F82" s="876">
        <v>30</v>
      </c>
    </row>
    <row r="83" spans="1:6" s="872" customFormat="1" ht="48">
      <c r="A83" s="876">
        <v>23</v>
      </c>
      <c r="B83" s="3362"/>
      <c r="C83" s="812" t="s">
        <v>660</v>
      </c>
      <c r="D83" s="812" t="s">
        <v>661</v>
      </c>
      <c r="E83" s="889">
        <v>0.2</v>
      </c>
      <c r="F83" s="876">
        <v>30</v>
      </c>
    </row>
    <row r="84" spans="1:6" s="872" customFormat="1" ht="36">
      <c r="A84" s="876">
        <v>24</v>
      </c>
      <c r="B84" s="3362"/>
      <c r="C84" s="812" t="s">
        <v>662</v>
      </c>
      <c r="D84" s="812" t="s">
        <v>663</v>
      </c>
      <c r="E84" s="889">
        <v>0.2</v>
      </c>
      <c r="F84" s="876">
        <v>30</v>
      </c>
    </row>
    <row r="85" spans="1:6" s="872" customFormat="1" ht="36">
      <c r="A85" s="876">
        <v>25</v>
      </c>
      <c r="B85" s="3362"/>
      <c r="C85" s="812" t="s">
        <v>664</v>
      </c>
      <c r="D85" s="812" t="s">
        <v>665</v>
      </c>
      <c r="E85" s="889">
        <v>0.5</v>
      </c>
      <c r="F85" s="876">
        <v>80</v>
      </c>
    </row>
    <row r="86" spans="1:6" s="872" customFormat="1" ht="36">
      <c r="A86" s="876">
        <v>26</v>
      </c>
      <c r="B86" s="3362"/>
      <c r="C86" s="812" t="s">
        <v>666</v>
      </c>
      <c r="D86" s="812" t="s">
        <v>667</v>
      </c>
      <c r="E86" s="889">
        <v>0.2</v>
      </c>
      <c r="F86" s="876">
        <v>30</v>
      </c>
    </row>
    <row r="87" spans="1:6" s="872" customFormat="1" ht="36">
      <c r="A87" s="876">
        <v>27</v>
      </c>
      <c r="B87" s="3362"/>
      <c r="C87" s="812" t="s">
        <v>668</v>
      </c>
      <c r="D87" s="812" t="s">
        <v>669</v>
      </c>
      <c r="E87" s="889">
        <v>0.2</v>
      </c>
      <c r="F87" s="876">
        <v>30</v>
      </c>
    </row>
    <row r="88" spans="1:6" s="872" customFormat="1" ht="36">
      <c r="A88" s="876">
        <v>28</v>
      </c>
      <c r="B88" s="3362"/>
      <c r="C88" s="812" t="s">
        <v>670</v>
      </c>
      <c r="D88" s="812" t="s">
        <v>671</v>
      </c>
      <c r="E88" s="889">
        <v>0.2</v>
      </c>
      <c r="F88" s="876">
        <v>30</v>
      </c>
    </row>
    <row r="89" spans="1:6" s="872" customFormat="1" ht="24">
      <c r="A89" s="876">
        <v>29</v>
      </c>
      <c r="B89" s="3362"/>
      <c r="C89" s="812" t="s">
        <v>672</v>
      </c>
      <c r="D89" s="812" t="s">
        <v>673</v>
      </c>
      <c r="E89" s="889">
        <v>0.2</v>
      </c>
      <c r="F89" s="876">
        <v>30</v>
      </c>
    </row>
    <row r="90" spans="1:6" s="872" customFormat="1" ht="24">
      <c r="A90" s="876">
        <v>30</v>
      </c>
      <c r="B90" s="3362"/>
      <c r="C90" s="812" t="s">
        <v>674</v>
      </c>
      <c r="D90" s="812" t="s">
        <v>675</v>
      </c>
      <c r="E90" s="889">
        <v>0.2</v>
      </c>
      <c r="F90" s="876">
        <v>30</v>
      </c>
    </row>
    <row r="91" spans="1:6" s="872" customFormat="1" ht="36">
      <c r="A91" s="876">
        <v>31</v>
      </c>
      <c r="B91" s="3362"/>
      <c r="C91" s="812" t="s">
        <v>676</v>
      </c>
      <c r="D91" s="812" t="s">
        <v>677</v>
      </c>
      <c r="E91" s="889">
        <v>0.2</v>
      </c>
      <c r="F91" s="876">
        <v>30</v>
      </c>
    </row>
    <row r="92" spans="1:6" s="872" customFormat="1" ht="24">
      <c r="A92" s="876">
        <v>32</v>
      </c>
      <c r="B92" s="3362" t="s">
        <v>678</v>
      </c>
      <c r="C92" s="876" t="s">
        <v>679</v>
      </c>
      <c r="D92" s="812" t="s">
        <v>680</v>
      </c>
      <c r="E92" s="889">
        <v>0.2</v>
      </c>
      <c r="F92" s="876">
        <v>30</v>
      </c>
    </row>
    <row r="93" spans="1:6" s="872" customFormat="1" ht="36">
      <c r="A93" s="876">
        <v>33</v>
      </c>
      <c r="B93" s="3362"/>
      <c r="C93" s="876" t="s">
        <v>681</v>
      </c>
      <c r="D93" s="812" t="s">
        <v>682</v>
      </c>
      <c r="E93" s="889">
        <v>0.2</v>
      </c>
      <c r="F93" s="876">
        <v>30</v>
      </c>
    </row>
    <row r="94" spans="1:6" s="872" customFormat="1" ht="48">
      <c r="A94" s="876">
        <v>34</v>
      </c>
      <c r="B94" s="3362"/>
      <c r="C94" s="876" t="s">
        <v>683</v>
      </c>
      <c r="D94" s="812" t="s">
        <v>684</v>
      </c>
      <c r="E94" s="889">
        <v>0.2</v>
      </c>
      <c r="F94" s="876">
        <v>30</v>
      </c>
    </row>
    <row r="95" spans="1:6" s="872" customFormat="1" ht="36">
      <c r="A95" s="876">
        <v>35</v>
      </c>
      <c r="B95" s="3362"/>
      <c r="C95" s="876" t="s">
        <v>685</v>
      </c>
      <c r="D95" s="812" t="s">
        <v>686</v>
      </c>
      <c r="E95" s="889">
        <v>0.2</v>
      </c>
      <c r="F95" s="876">
        <v>30</v>
      </c>
    </row>
    <row r="96" spans="1:6" s="872" customFormat="1" ht="48">
      <c r="A96" s="876">
        <v>36</v>
      </c>
      <c r="B96" s="3362"/>
      <c r="C96" s="812" t="s">
        <v>687</v>
      </c>
      <c r="D96" s="812" t="s">
        <v>688</v>
      </c>
      <c r="E96" s="889">
        <v>0.2</v>
      </c>
      <c r="F96" s="876">
        <v>30</v>
      </c>
    </row>
    <row r="97" spans="1:6" s="872" customFormat="1" ht="36">
      <c r="A97" s="876">
        <v>37</v>
      </c>
      <c r="B97" s="3362"/>
      <c r="C97" s="876" t="s">
        <v>689</v>
      </c>
      <c r="D97" s="812" t="s">
        <v>690</v>
      </c>
      <c r="E97" s="889">
        <v>0.2</v>
      </c>
      <c r="F97" s="876">
        <v>30</v>
      </c>
    </row>
    <row r="98" spans="1:6" s="872" customFormat="1" ht="36">
      <c r="A98" s="876">
        <v>38</v>
      </c>
      <c r="B98" s="3362"/>
      <c r="C98" s="876" t="s">
        <v>691</v>
      </c>
      <c r="D98" s="812" t="s">
        <v>692</v>
      </c>
      <c r="E98" s="889">
        <v>0.2</v>
      </c>
      <c r="F98" s="876">
        <v>30</v>
      </c>
    </row>
    <row r="99" spans="1:6" s="872" customFormat="1" ht="36">
      <c r="A99" s="876">
        <v>39</v>
      </c>
      <c r="B99" s="3362" t="s">
        <v>693</v>
      </c>
      <c r="C99" s="876" t="s">
        <v>694</v>
      </c>
      <c r="D99" s="812" t="s">
        <v>695</v>
      </c>
      <c r="E99" s="889">
        <v>0.3</v>
      </c>
      <c r="F99" s="876">
        <v>50</v>
      </c>
    </row>
    <row r="100" spans="1:6" s="872" customFormat="1" ht="24">
      <c r="A100" s="876">
        <v>40</v>
      </c>
      <c r="B100" s="3362"/>
      <c r="C100" s="876" t="s">
        <v>696</v>
      </c>
      <c r="D100" s="812" t="s">
        <v>697</v>
      </c>
      <c r="E100" s="889">
        <v>0.2</v>
      </c>
      <c r="F100" s="876">
        <v>30</v>
      </c>
    </row>
    <row r="101" spans="1:6" s="872" customFormat="1" ht="36">
      <c r="A101" s="876">
        <v>41</v>
      </c>
      <c r="B101" s="3362"/>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62" t="s">
        <v>708</v>
      </c>
      <c r="C105" s="876" t="s">
        <v>709</v>
      </c>
      <c r="D105" s="812" t="s">
        <v>710</v>
      </c>
      <c r="E105" s="889">
        <v>0.2</v>
      </c>
      <c r="F105" s="876">
        <v>30</v>
      </c>
    </row>
    <row r="106" spans="1:6" s="872" customFormat="1" ht="36">
      <c r="A106" s="876">
        <v>46</v>
      </c>
      <c r="B106" s="3362"/>
      <c r="C106" s="876" t="s">
        <v>711</v>
      </c>
      <c r="D106" s="812" t="s">
        <v>712</v>
      </c>
      <c r="E106" s="889">
        <v>0.2</v>
      </c>
      <c r="F106" s="876">
        <v>30</v>
      </c>
    </row>
    <row r="107" spans="1:6" s="872" customFormat="1" ht="36">
      <c r="A107" s="876">
        <v>47</v>
      </c>
      <c r="B107" s="3362" t="s">
        <v>713</v>
      </c>
      <c r="C107" s="876" t="s">
        <v>714</v>
      </c>
      <c r="D107" s="812" t="s">
        <v>715</v>
      </c>
      <c r="E107" s="889">
        <v>0.3</v>
      </c>
      <c r="F107" s="876">
        <v>50</v>
      </c>
    </row>
    <row r="108" spans="1:6" s="872" customFormat="1" ht="36">
      <c r="A108" s="876">
        <v>48</v>
      </c>
      <c r="B108" s="3362"/>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62" t="s">
        <v>724</v>
      </c>
      <c r="C111" s="876" t="s">
        <v>725</v>
      </c>
      <c r="D111" s="812" t="s">
        <v>726</v>
      </c>
      <c r="E111" s="889">
        <v>0.2</v>
      </c>
      <c r="F111" s="876">
        <v>30</v>
      </c>
    </row>
    <row r="112" spans="1:6" s="872" customFormat="1" ht="24">
      <c r="A112" s="876">
        <v>52</v>
      </c>
      <c r="B112" s="3362"/>
      <c r="C112" s="876" t="s">
        <v>727</v>
      </c>
      <c r="D112" s="812" t="s">
        <v>728</v>
      </c>
      <c r="E112" s="889">
        <v>0.2</v>
      </c>
      <c r="F112" s="876">
        <v>30</v>
      </c>
    </row>
    <row r="113" spans="1:6" s="872" customFormat="1" ht="24">
      <c r="A113" s="876">
        <v>53</v>
      </c>
      <c r="B113" s="3362"/>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62" t="s">
        <v>737</v>
      </c>
      <c r="C116" s="876" t="s">
        <v>738</v>
      </c>
      <c r="D116" s="812" t="s">
        <v>739</v>
      </c>
      <c r="E116" s="889">
        <v>0.2</v>
      </c>
      <c r="F116" s="876">
        <v>30</v>
      </c>
    </row>
    <row r="117" spans="1:6" ht="36">
      <c r="A117" s="876">
        <v>57</v>
      </c>
      <c r="B117" s="3362"/>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2991</v>
      </c>
    </row>
    <row r="2" spans="1:5" ht="15.75">
      <c r="A2" s="2902" t="s">
        <v>2983</v>
      </c>
      <c r="B2" s="2903" t="e">
        <f ca="1">SUMIF(B6:B13,"&lt;&gt;#ref!",B6:B13)</f>
        <v>#DIV/0!</v>
      </c>
      <c r="C2" s="2902" t="s">
        <v>2984</v>
      </c>
      <c r="D2" s="2902" t="s">
        <v>2985</v>
      </c>
      <c r="E2" s="2903">
        <f ca="1">SUMIF(E6:E13,"&lt;&gt;#ref!",E6:E13)</f>
        <v>0</v>
      </c>
    </row>
    <row r="3" spans="1:5" ht="15.75">
      <c r="A3" s="2902" t="s">
        <v>2986</v>
      </c>
      <c r="B3" s="2903" t="e">
        <f ca="1">ROUND(B2*10000/E2,0)</f>
        <v>#DIV/0!</v>
      </c>
      <c r="C3" s="2902" t="s">
        <v>2992</v>
      </c>
      <c r="D3" s="2904"/>
      <c r="E3" s="2904"/>
    </row>
    <row r="4" spans="1:5" ht="15.75">
      <c r="A4" s="2905"/>
      <c r="B4" s="2904"/>
      <c r="C4" s="2904"/>
      <c r="D4" s="2904"/>
      <c r="E4" s="2904"/>
    </row>
    <row r="5" spans="1:5" ht="28.5">
      <c r="A5" s="2906" t="s">
        <v>2987</v>
      </c>
      <c r="B5" s="2902" t="s">
        <v>2988</v>
      </c>
      <c r="C5" s="2903"/>
      <c r="D5" s="2904"/>
      <c r="E5" s="2902" t="s">
        <v>2989</v>
      </c>
    </row>
    <row r="6" spans="1:5" ht="15.75">
      <c r="A6" s="2907" t="s">
        <v>2990</v>
      </c>
      <c r="B6" s="2903" t="e">
        <f ca="1">SUMIF(INDIRECT("'"&amp;A6&amp;"'"&amp;"!A:A"),"总价",INDIRECT("'"&amp;A6&amp;"'"&amp;"!B:B"))</f>
        <v>#DIV/0!</v>
      </c>
      <c r="C6" s="2902" t="s">
        <v>2984</v>
      </c>
      <c r="D6" s="2904"/>
      <c r="E6" s="2569">
        <f ca="1">SUMIF(INDIRECT("'"&amp;A6&amp;"'"&amp;"!C:C"),"建筑面积",INDIRECT("'"&amp;A6&amp;"'"&amp;"!D:D"))</f>
        <v>0</v>
      </c>
    </row>
    <row r="7" spans="1:5" ht="15.75">
      <c r="A7" s="2907"/>
      <c r="B7" s="2903" t="e">
        <f ca="1">SUMIF(INDIRECT("'"&amp;A7&amp;"'"&amp;"!A:A"),"总价",INDIRECT("'"&amp;A7&amp;"'"&amp;"!B:B"))</f>
        <v>#REF!</v>
      </c>
      <c r="C7" s="2902" t="s">
        <v>2984</v>
      </c>
      <c r="D7" s="2904"/>
      <c r="E7" s="2569" t="e">
        <f t="shared" ref="E7:E13" ca="1" si="0">SUMIF(INDIRECT("'"&amp;A7&amp;"'"&amp;"!C:C"),"建筑面积",INDIRECT("'"&amp;A7&amp;"'"&amp;"!D:D"))</f>
        <v>#REF!</v>
      </c>
    </row>
    <row r="8" spans="1:5" ht="15.75">
      <c r="A8" s="2907"/>
      <c r="B8" s="2903" t="e">
        <f t="shared" ref="B8:B13" ca="1" si="1">SUMIF(INDIRECT("'"&amp;A8&amp;"'"&amp;"!A:A"),"总价",INDIRECT("'"&amp;A8&amp;"'"&amp;"!B:B"))</f>
        <v>#REF!</v>
      </c>
      <c r="C8" s="2902" t="s">
        <v>2984</v>
      </c>
      <c r="D8" s="2904"/>
      <c r="E8" s="2569" t="e">
        <f t="shared" ca="1" si="0"/>
        <v>#REF!</v>
      </c>
    </row>
    <row r="9" spans="1:5" ht="15.75">
      <c r="A9" s="2907"/>
      <c r="B9" s="2903" t="e">
        <f t="shared" ca="1" si="1"/>
        <v>#REF!</v>
      </c>
      <c r="C9" s="2902" t="s">
        <v>2984</v>
      </c>
      <c r="D9" s="2904"/>
      <c r="E9" s="2569" t="e">
        <f t="shared" ca="1" si="0"/>
        <v>#REF!</v>
      </c>
    </row>
    <row r="10" spans="1:5" ht="15.75">
      <c r="A10" s="2907"/>
      <c r="B10" s="2903" t="e">
        <f t="shared" ca="1" si="1"/>
        <v>#REF!</v>
      </c>
      <c r="C10" s="2902" t="s">
        <v>2984</v>
      </c>
      <c r="D10" s="2904"/>
      <c r="E10" s="2569" t="e">
        <f t="shared" ca="1" si="0"/>
        <v>#REF!</v>
      </c>
    </row>
    <row r="11" spans="1:5" ht="15.75">
      <c r="A11" s="2907"/>
      <c r="B11" s="2903" t="e">
        <f t="shared" ca="1" si="1"/>
        <v>#REF!</v>
      </c>
      <c r="C11" s="2902" t="s">
        <v>2984</v>
      </c>
      <c r="D11" s="2904"/>
      <c r="E11" s="2569" t="e">
        <f t="shared" ca="1" si="0"/>
        <v>#REF!</v>
      </c>
    </row>
    <row r="12" spans="1:5" ht="15.75">
      <c r="A12" s="2907"/>
      <c r="B12" s="2903" t="e">
        <f t="shared" ca="1" si="1"/>
        <v>#REF!</v>
      </c>
      <c r="C12" s="2902" t="s">
        <v>2984</v>
      </c>
      <c r="D12" s="2904"/>
      <c r="E12" s="2569" t="e">
        <f t="shared" ca="1" si="0"/>
        <v>#REF!</v>
      </c>
    </row>
    <row r="13" spans="1:5" ht="15.75">
      <c r="A13" s="2907"/>
      <c r="B13" s="2903" t="e">
        <f t="shared" ca="1" si="1"/>
        <v>#REF!</v>
      </c>
      <c r="C13" s="2902" t="s">
        <v>2984</v>
      </c>
      <c r="D13" s="2904"/>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68" t="s">
        <v>1146</v>
      </c>
      <c r="C1" s="3368"/>
      <c r="D1" s="3368"/>
      <c r="E1" s="3368"/>
      <c r="F1" s="3368"/>
      <c r="G1" s="3367" t="s">
        <v>1147</v>
      </c>
      <c r="H1" s="3367"/>
      <c r="I1" s="3367"/>
      <c r="J1" s="3367"/>
      <c r="K1" s="3367"/>
      <c r="L1" s="3367"/>
      <c r="N1" s="3367" t="s">
        <v>1148</v>
      </c>
      <c r="O1" s="3367"/>
      <c r="P1" s="3367"/>
      <c r="Q1" s="3367"/>
      <c r="R1" s="1443"/>
      <c r="S1" s="3367" t="s">
        <v>1149</v>
      </c>
      <c r="T1" s="3367"/>
      <c r="U1" s="3367"/>
      <c r="V1" s="3367"/>
      <c r="X1" s="3366" t="s">
        <v>1150</v>
      </c>
      <c r="Y1" s="3367"/>
      <c r="Z1" s="3367"/>
      <c r="AA1" s="3367"/>
      <c r="AB1" s="3367"/>
      <c r="AD1" s="3366" t="s">
        <v>1151</v>
      </c>
      <c r="AE1" s="3367"/>
      <c r="AF1" s="3367"/>
      <c r="AG1" s="3367"/>
      <c r="AH1" s="3367"/>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8" customFormat="1" ht="14.25">
      <c r="A3" s="2927" t="s">
        <v>3026</v>
      </c>
      <c r="B3" s="2919"/>
      <c r="C3" s="2919"/>
      <c r="D3" s="2920"/>
      <c r="E3" s="2920"/>
      <c r="F3" s="2919"/>
      <c r="G3" s="2921"/>
      <c r="H3" s="2922"/>
      <c r="I3" s="2923">
        <f>ROUND(AVERAGE($I4:$I25),2)</f>
        <v>2.13</v>
      </c>
      <c r="J3" s="2923">
        <f>ROUND(AVERAGE($J4:$J25),2)</f>
        <v>1.51</v>
      </c>
      <c r="K3" s="2923">
        <f>ROUND(AVERAGE($K4:$K25),2)</f>
        <v>2.34</v>
      </c>
      <c r="L3" s="2923">
        <f>ROUND(AVERAGE($L4:$L25),2)</f>
        <v>1.42</v>
      </c>
      <c r="N3" s="2921"/>
      <c r="O3" s="2924"/>
      <c r="P3" s="2924"/>
      <c r="Q3" s="2924"/>
      <c r="R3" s="2924"/>
      <c r="S3" s="2921"/>
      <c r="T3" s="2924"/>
      <c r="U3" s="2924"/>
      <c r="V3" s="2924"/>
      <c r="W3" s="2916"/>
      <c r="X3" s="2925">
        <f>ROUND(SUMPRODUCT(PRODUCT(1+N3:N$24)),4)</f>
        <v>1.5099</v>
      </c>
      <c r="Y3" s="2925">
        <f>ROUND(SUMPRODUCT(PRODUCT(1+O3:O$24)),4)</f>
        <v>1.3372999999999999</v>
      </c>
      <c r="Z3" s="2925">
        <f t="shared" ref="Z3:Z22" si="0">Y3</f>
        <v>1.3372999999999999</v>
      </c>
      <c r="AA3" s="2925">
        <f>ROUND(SUMPRODUCT(PRODUCT(1+P3:P$24)),4)</f>
        <v>1.5683</v>
      </c>
      <c r="AB3" s="2925">
        <f>ROUND(SUMPRODUCT(PRODUCT(1+Q3:Q$24)),4)</f>
        <v>1.3255999999999999</v>
      </c>
      <c r="AD3" s="2926">
        <f>ROUND(AVERAGE(I3:I$25)/100,4)</f>
        <v>2.1299999999999999E-2</v>
      </c>
      <c r="AE3" s="2926">
        <f>ROUND(AVERAGE(J3:J$25)/100,4)</f>
        <v>1.5100000000000001E-2</v>
      </c>
      <c r="AF3" s="2926">
        <f t="shared" ref="AF3:AF23" si="1">AE3</f>
        <v>1.5100000000000001E-2</v>
      </c>
      <c r="AG3" s="2926">
        <f>ROUND(AVERAGE(K3:K$25)/100,4)</f>
        <v>2.3400000000000001E-2</v>
      </c>
      <c r="AH3" s="2926">
        <f>ROUND(AVERAGE(L3:L$25)/100,4)</f>
        <v>1.4200000000000001E-2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1">
        <v>2019</v>
      </c>
      <c r="H5" s="1726">
        <v>1</v>
      </c>
      <c r="I5" s="2914">
        <v>0</v>
      </c>
      <c r="J5" s="2914">
        <v>0</v>
      </c>
      <c r="K5" s="2914">
        <v>0</v>
      </c>
      <c r="L5" s="2914">
        <v>0</v>
      </c>
      <c r="N5" s="1464">
        <f>I5/100</f>
        <v>0</v>
      </c>
      <c r="O5" s="1464">
        <f t="shared" ref="O5" si="7">J5/100</f>
        <v>0</v>
      </c>
      <c r="P5" s="1464">
        <f t="shared" ref="P5" si="8">K5/100</f>
        <v>0</v>
      </c>
      <c r="Q5" s="1464">
        <f t="shared" ref="Q5" si="9">L5/100</f>
        <v>0</v>
      </c>
      <c r="R5" s="1728"/>
      <c r="S5" s="1729"/>
      <c r="T5" s="1728"/>
      <c r="U5" s="1728"/>
      <c r="V5" s="1728"/>
      <c r="W5" s="2917" t="s">
        <v>3027</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3040</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64">
        <v>2018</v>
      </c>
      <c r="H6" s="1461">
        <v>4</v>
      </c>
      <c r="I6" s="2932">
        <v>0.96</v>
      </c>
      <c r="J6" s="2932">
        <v>1.03</v>
      </c>
      <c r="K6" s="2932">
        <v>0.92</v>
      </c>
      <c r="L6" s="2933">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3" customFormat="1" ht="14.45" customHeight="1">
      <c r="A7" s="1458" t="s">
        <v>3033</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64"/>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3" customFormat="1" ht="14.45" customHeight="1">
      <c r="A8" s="1458" t="s">
        <v>3032</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64"/>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3" customFormat="1" ht="15" customHeight="1" thickBot="1">
      <c r="A9" s="1458" t="s">
        <v>3025</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73"/>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8" t="s">
        <v>3022</v>
      </c>
      <c r="B10" s="1466">
        <v>439</v>
      </c>
      <c r="C10" s="1466">
        <v>327</v>
      </c>
      <c r="D10" s="1466">
        <f>C10</f>
        <v>327</v>
      </c>
      <c r="E10" s="1466">
        <v>627</v>
      </c>
      <c r="F10" s="1467">
        <v>283</v>
      </c>
      <c r="G10" s="3369">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3023</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64"/>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5"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364"/>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50"/>
      <c r="AD12" s="1785">
        <f>ROUND(AVERAGE(I12:I$25)/100,4)</f>
        <v>2.46E-2</v>
      </c>
      <c r="AE12" s="1785">
        <f>ROUND(AVERAGE(J12:J$25)/100,4)</f>
        <v>1.6E-2</v>
      </c>
      <c r="AF12" s="1785">
        <f t="shared" si="1"/>
        <v>1.6E-2</v>
      </c>
      <c r="AG12" s="1785">
        <f>ROUND(AVERAGE(K12:K$25)/100,4)</f>
        <v>2.75E-2</v>
      </c>
      <c r="AH12" s="1785">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373"/>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8" t="s">
        <v>154</v>
      </c>
      <c r="B14" s="1466">
        <v>392</v>
      </c>
      <c r="C14" s="1466">
        <v>302</v>
      </c>
      <c r="D14" s="1466">
        <f>C14</f>
        <v>302</v>
      </c>
      <c r="E14" s="1466">
        <v>553</v>
      </c>
      <c r="F14" s="1467">
        <v>266</v>
      </c>
      <c r="G14" s="3369">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64"/>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64"/>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65"/>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363">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64"/>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64"/>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65"/>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363">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64"/>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64"/>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65"/>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3">
        <f>I25/100</f>
        <v>2.9700000000000001E-2</v>
      </c>
      <c r="AE25" s="1723">
        <f>J25/100</f>
        <v>2.3399999999999997E-2</v>
      </c>
      <c r="AF25" s="1723">
        <f>AE25</f>
        <v>2.3399999999999997E-2</v>
      </c>
      <c r="AG25" s="1723">
        <f>K25/100</f>
        <v>3.2799999999999996E-2</v>
      </c>
      <c r="AH25" s="1723">
        <f>L25/100</f>
        <v>1.3600000000000001E-2</v>
      </c>
    </row>
    <row r="26" spans="1:34" ht="13.5" thickBot="1">
      <c r="A26" s="1458" t="s">
        <v>1159</v>
      </c>
      <c r="B26" s="1466">
        <v>299</v>
      </c>
      <c r="C26" s="1466">
        <v>252</v>
      </c>
      <c r="D26" s="1466">
        <f t="shared" si="74"/>
        <v>252</v>
      </c>
      <c r="E26" s="1466">
        <v>409</v>
      </c>
      <c r="F26" s="1467">
        <v>227</v>
      </c>
      <c r="G26" s="3370">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71"/>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371"/>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372"/>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1163</v>
      </c>
      <c r="B30" s="1508">
        <v>278</v>
      </c>
      <c r="C30" s="1508">
        <v>234</v>
      </c>
      <c r="D30" s="1508">
        <f t="shared" si="74"/>
        <v>234</v>
      </c>
      <c r="E30" s="1508">
        <v>379</v>
      </c>
      <c r="F30" s="1509">
        <v>220</v>
      </c>
      <c r="G30" s="3363">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364"/>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364"/>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1166</v>
      </c>
      <c r="B33" s="1474">
        <f>B32/(1+N32)</f>
        <v>275.19025476197027</v>
      </c>
      <c r="C33" s="1510">
        <v>232</v>
      </c>
      <c r="D33" s="1510">
        <f t="shared" si="74"/>
        <v>232</v>
      </c>
      <c r="E33" s="1474">
        <f t="shared" si="85"/>
        <v>375.65990977608692</v>
      </c>
      <c r="F33" s="1474">
        <f t="shared" si="85"/>
        <v>214.12518283971252</v>
      </c>
      <c r="G33" s="3365"/>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1167</v>
      </c>
      <c r="B34" s="1466">
        <v>275</v>
      </c>
      <c r="C34" s="1466">
        <v>232</v>
      </c>
      <c r="D34" s="1466">
        <f t="shared" si="74"/>
        <v>232</v>
      </c>
      <c r="E34" s="1466">
        <v>376</v>
      </c>
      <c r="F34" s="1467">
        <v>213</v>
      </c>
      <c r="G34" s="3363">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64">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364">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365">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1171</v>
      </c>
      <c r="B38" s="1466">
        <v>269</v>
      </c>
      <c r="C38" s="1466">
        <v>221</v>
      </c>
      <c r="D38" s="1466">
        <f t="shared" si="74"/>
        <v>221</v>
      </c>
      <c r="E38" s="1466">
        <v>373</v>
      </c>
      <c r="F38" s="1467">
        <v>196</v>
      </c>
      <c r="G38" s="3363">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64">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364">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365">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1175</v>
      </c>
      <c r="B42" s="1466">
        <v>220</v>
      </c>
      <c r="C42" s="1466">
        <v>187</v>
      </c>
      <c r="D42" s="1466">
        <f t="shared" si="74"/>
        <v>187</v>
      </c>
      <c r="E42" s="1466">
        <v>301</v>
      </c>
      <c r="F42" s="1467">
        <v>168</v>
      </c>
      <c r="G42" s="3363">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64">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364">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365">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1179</v>
      </c>
      <c r="B46" s="1508">
        <v>214</v>
      </c>
      <c r="C46" s="1508">
        <v>188</v>
      </c>
      <c r="D46" s="1508">
        <f t="shared" si="74"/>
        <v>188</v>
      </c>
      <c r="E46" s="1508">
        <v>289</v>
      </c>
      <c r="F46" s="1509">
        <v>166</v>
      </c>
      <c r="G46" s="3363">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64">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364">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365">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1183</v>
      </c>
      <c r="B50" s="1466">
        <v>188</v>
      </c>
      <c r="C50" s="1466">
        <v>165</v>
      </c>
      <c r="D50" s="1466">
        <f t="shared" si="74"/>
        <v>165</v>
      </c>
      <c r="E50" s="1466">
        <v>254</v>
      </c>
      <c r="F50" s="1467">
        <v>148</v>
      </c>
      <c r="G50" s="3363">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64">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364">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365">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1187</v>
      </c>
      <c r="B54" s="1487">
        <v>159</v>
      </c>
      <c r="C54" s="1487">
        <v>141</v>
      </c>
      <c r="D54" s="1487">
        <f t="shared" si="74"/>
        <v>141</v>
      </c>
      <c r="E54" s="1487">
        <v>195</v>
      </c>
      <c r="F54" s="1488">
        <v>122</v>
      </c>
      <c r="G54" s="3363">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64">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364">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365">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1191</v>
      </c>
      <c r="B58" s="1487">
        <v>138</v>
      </c>
      <c r="C58" s="1487">
        <v>131</v>
      </c>
      <c r="D58" s="1487">
        <f t="shared" si="74"/>
        <v>131</v>
      </c>
      <c r="E58" s="1487">
        <v>155</v>
      </c>
      <c r="F58" s="1488">
        <v>114</v>
      </c>
      <c r="G58" s="3363">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64">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364">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365">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1195</v>
      </c>
      <c r="B62" s="1508">
        <v>121</v>
      </c>
      <c r="C62" s="1508">
        <v>122</v>
      </c>
      <c r="D62" s="1508">
        <f t="shared" si="74"/>
        <v>122</v>
      </c>
      <c r="E62" s="1508">
        <v>124</v>
      </c>
      <c r="F62" s="1509">
        <v>107</v>
      </c>
      <c r="G62" s="3363">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64">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364">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365">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1199</v>
      </c>
      <c r="B66" s="1529">
        <v>111</v>
      </c>
      <c r="C66" s="1529">
        <v>114</v>
      </c>
      <c r="D66" s="1529">
        <f t="shared" si="74"/>
        <v>114</v>
      </c>
      <c r="E66" s="1529">
        <v>108</v>
      </c>
      <c r="F66" s="1530">
        <v>104</v>
      </c>
      <c r="G66" s="3363">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364">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364">
        <v>2003</v>
      </c>
      <c r="H68" s="1462">
        <v>2</v>
      </c>
      <c r="I68" s="1531"/>
      <c r="J68" s="1531"/>
      <c r="K68" s="1531"/>
      <c r="L68" s="1531"/>
      <c r="X68" s="1523"/>
      <c r="Y68" s="1523"/>
      <c r="Z68" s="1523"/>
    </row>
    <row r="69" spans="1:26" ht="13.5" thickBot="1">
      <c r="A69" s="1458" t="s">
        <v>1202</v>
      </c>
      <c r="B69" s="1533">
        <f t="shared" si="110"/>
        <v>107.25</v>
      </c>
      <c r="C69" s="1533">
        <f t="shared" si="110"/>
        <v>108.75</v>
      </c>
      <c r="D69" s="1533">
        <f t="shared" si="74"/>
        <v>108.75</v>
      </c>
      <c r="E69" s="1533">
        <f t="shared" si="111"/>
        <v>105.75</v>
      </c>
      <c r="F69" s="1533">
        <f t="shared" si="111"/>
        <v>102.5</v>
      </c>
      <c r="G69" s="3365">
        <v>2003</v>
      </c>
      <c r="H69" s="1534">
        <v>1</v>
      </c>
      <c r="I69" s="1531"/>
      <c r="J69" s="1531"/>
      <c r="K69" s="1531"/>
      <c r="L69" s="1531"/>
      <c r="S69" s="1469"/>
      <c r="T69" s="1470"/>
      <c r="U69" s="1470"/>
      <c r="X69" s="1523"/>
      <c r="Y69" s="1523"/>
      <c r="Z69" s="1523"/>
    </row>
    <row r="70" spans="1:26" ht="13.5" thickBot="1">
      <c r="A70" s="1458" t="s">
        <v>1203</v>
      </c>
      <c r="B70" s="1535">
        <v>106</v>
      </c>
      <c r="C70" s="1535">
        <v>107</v>
      </c>
      <c r="D70" s="1535">
        <f t="shared" si="74"/>
        <v>107</v>
      </c>
      <c r="E70" s="1535">
        <v>105</v>
      </c>
      <c r="F70" s="1536">
        <v>102</v>
      </c>
      <c r="G70" s="3363">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364">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364">
        <v>2002</v>
      </c>
      <c r="H72" s="1462">
        <v>2</v>
      </c>
      <c r="I72" s="1531"/>
      <c r="J72" s="1531"/>
      <c r="K72" s="1531"/>
      <c r="L72" s="1531"/>
      <c r="X72" s="1523"/>
      <c r="Y72" s="1523"/>
      <c r="Z72" s="1523"/>
    </row>
    <row r="73" spans="1:26" s="1495" customFormat="1" ht="13.5" thickBot="1">
      <c r="A73" s="1491" t="s">
        <v>1206</v>
      </c>
      <c r="B73" s="1537">
        <f t="shared" si="112"/>
        <v>103</v>
      </c>
      <c r="C73" s="1537">
        <f t="shared" si="112"/>
        <v>104</v>
      </c>
      <c r="D73" s="1537">
        <f t="shared" si="74"/>
        <v>104</v>
      </c>
      <c r="E73" s="1537">
        <f t="shared" si="113"/>
        <v>103.5</v>
      </c>
      <c r="F73" s="1537">
        <f t="shared" si="113"/>
        <v>100.5</v>
      </c>
      <c r="G73" s="3365">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5"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2993</v>
      </c>
      <c r="C1" s="3375" t="s">
        <v>2994</v>
      </c>
      <c r="D1" s="3376"/>
      <c r="E1" s="3376"/>
      <c r="F1" s="3376"/>
      <c r="G1" s="3376"/>
      <c r="H1" s="3376"/>
      <c r="I1" s="3376"/>
      <c r="J1" s="3376"/>
      <c r="K1" s="3376"/>
      <c r="L1" s="3376"/>
      <c r="M1" s="3376"/>
      <c r="N1" s="3376"/>
      <c r="O1" s="3376"/>
      <c r="P1" s="3376"/>
      <c r="Q1" s="3376"/>
      <c r="R1" s="3376"/>
      <c r="S1" s="3377"/>
      <c r="T1" s="1201" t="s">
        <v>2995</v>
      </c>
    </row>
    <row r="2" spans="1:45" s="706" customFormat="1">
      <c r="A2" s="1202"/>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5" t="s">
        <v>2997</v>
      </c>
      <c r="C5" s="1213"/>
      <c r="D5" s="1214"/>
      <c r="E5" s="1214"/>
      <c r="F5" s="1707"/>
      <c r="G5" s="1707"/>
      <c r="H5" s="1707"/>
      <c r="I5" s="1707"/>
      <c r="J5" s="1707"/>
      <c r="K5" s="1707"/>
      <c r="L5" s="1708"/>
      <c r="M5" s="1709"/>
      <c r="N5" s="1709"/>
      <c r="O5" s="1707"/>
      <c r="P5" s="1707"/>
      <c r="Q5" s="1707"/>
      <c r="R5" s="1707"/>
      <c r="S5" s="1710"/>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6" t="s">
        <v>2998</v>
      </c>
      <c r="C7" s="1118"/>
      <c r="D7" s="1112"/>
      <c r="E7" s="1112"/>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6" t="s">
        <v>2999</v>
      </c>
      <c r="C9" s="1118"/>
      <c r="D9" s="1112"/>
      <c r="E9" s="1112"/>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5" t="s">
        <v>3000</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5" t="s">
        <v>3001</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5" t="s">
        <v>3002</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3003</v>
      </c>
      <c r="B17" s="2909" t="s">
        <v>3004</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0" t="s">
        <v>3005</v>
      </c>
      <c r="E19" s="1788"/>
      <c r="F19" s="1788"/>
      <c r="G19" s="1788"/>
      <c r="H19" s="1277"/>
      <c r="I19" s="167"/>
      <c r="J19" s="167"/>
      <c r="K19" s="167"/>
      <c r="L19" s="167"/>
      <c r="M19" s="167"/>
      <c r="N19" s="167"/>
      <c r="O19" s="167"/>
      <c r="P19" s="167"/>
      <c r="Q19" s="167"/>
      <c r="R19" s="787"/>
      <c r="S19" s="137"/>
    </row>
    <row r="20" spans="1:45" ht="16.5" thickBot="1">
      <c r="A20" s="714" t="s">
        <v>3006</v>
      </c>
      <c r="B20" s="337" t="e">
        <f ca="1">IF(D20="——",S22,S22-F20)</f>
        <v>#REF!</v>
      </c>
      <c r="C20" s="167"/>
      <c r="D20" s="2911" t="s">
        <v>3007</v>
      </c>
      <c r="E20" s="1789"/>
      <c r="F20" s="1201" t="e">
        <f ca="1">SUMIF(INDIRECT("'"&amp;H20&amp;"'"&amp;"!A:A"),"承租人权益价值",INDIRECT("'"&amp;H20&amp;"'"&amp;"!c:c"))</f>
        <v>#REF!</v>
      </c>
      <c r="G20" s="1201" t="s">
        <v>3008</v>
      </c>
      <c r="H20" s="2912"/>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4">
        <f>SUM(B24:B10000)</f>
        <v>100</v>
      </c>
      <c r="C22" s="3237" t="s">
        <v>33</v>
      </c>
      <c r="D22" s="3238"/>
      <c r="E22" s="3238"/>
      <c r="F22" s="3238"/>
      <c r="G22" s="3238"/>
      <c r="H22" s="3238"/>
      <c r="I22" s="3238"/>
      <c r="J22" s="3238"/>
      <c r="K22" s="3238"/>
      <c r="L22" s="3238"/>
      <c r="M22" s="3238"/>
      <c r="N22" s="3238"/>
      <c r="O22" s="3238"/>
      <c r="P22" s="3238"/>
      <c r="Q22" s="3374"/>
      <c r="R22" s="715">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62225</v>
      </c>
      <c r="C2" s="2" t="s">
        <v>133</v>
      </c>
      <c r="D2" s="242"/>
      <c r="E2" s="242"/>
      <c r="F2" s="242"/>
      <c r="G2" s="242"/>
    </row>
    <row r="3" spans="1:7" s="243" customFormat="1" ht="18" customHeight="1" thickBot="1">
      <c r="A3" s="246" t="s">
        <v>85</v>
      </c>
      <c r="B3" s="247">
        <f ca="1">ROUND(B2*10000/'数据-汇总表'!E3,0)</f>
        <v>8215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810</v>
      </c>
      <c r="D7" s="263"/>
      <c r="E7" s="261"/>
      <c r="F7" s="264">
        <f>'数据-取费表'!B48+'数据-取费表'!B49</f>
        <v>4.0500000000000001E-2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90</v>
      </c>
      <c r="F9" s="264"/>
      <c r="G9" s="269"/>
    </row>
    <row r="10" spans="1:7" s="257" customFormat="1" ht="13.5" customHeight="1">
      <c r="A10" s="947" t="s">
        <v>801</v>
      </c>
      <c r="B10" s="267" t="s">
        <v>94</v>
      </c>
      <c r="C10" s="268">
        <f>ROUND(D10*E10/10000,0)</f>
        <v>682</v>
      </c>
      <c r="D10" s="1029">
        <f>'数据-汇总表'!E6</f>
        <v>75745.560000000012</v>
      </c>
      <c r="E10" s="268">
        <f>'数据-取费表'!B28</f>
        <v>90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1515</v>
      </c>
      <c r="D19" s="1033">
        <f>'数据-汇总表'!E3</f>
        <v>75745.560000000012</v>
      </c>
      <c r="E19" s="254">
        <f>'数据-取费表'!B31</f>
        <v>200</v>
      </c>
      <c r="F19" s="274"/>
      <c r="G19" s="1" t="s">
        <v>1071</v>
      </c>
    </row>
    <row r="20" spans="1:7" s="257" customFormat="1" ht="13.5" customHeight="1">
      <c r="A20" s="945" t="s">
        <v>1054</v>
      </c>
      <c r="B20" s="253" t="s">
        <v>104</v>
      </c>
      <c r="C20" s="275">
        <f>ROUND((C5+C19)*F20,0)</f>
        <v>447</v>
      </c>
      <c r="D20" s="275"/>
      <c r="E20" s="275"/>
      <c r="F20" s="276">
        <f>'数据-取费表'!B37</f>
        <v>0.02</v>
      </c>
      <c r="G20" s="1286" t="s">
        <v>1065</v>
      </c>
    </row>
    <row r="21" spans="1:7" s="257" customFormat="1" ht="13.5" customHeight="1">
      <c r="A21" s="945" t="s">
        <v>1056</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2078</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1918</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140</v>
      </c>
      <c r="D24" s="281"/>
      <c r="E24" s="281"/>
      <c r="F24" s="282"/>
      <c r="G24" s="283" t="s">
        <v>109</v>
      </c>
    </row>
    <row r="25" spans="1:7" s="257" customFormat="1" ht="24">
      <c r="A25" s="948" t="s">
        <v>793</v>
      </c>
      <c r="B25" s="258" t="s">
        <v>1055</v>
      </c>
      <c r="C25" s="1352">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1.4E-3</v>
      </c>
      <c r="D26" s="281"/>
      <c r="E26" s="284"/>
      <c r="F26" s="282"/>
      <c r="G26" s="286"/>
    </row>
    <row r="27" spans="1:7" s="257" customFormat="1" ht="24.75">
      <c r="A27" s="945" t="s">
        <v>787</v>
      </c>
      <c r="B27" s="287" t="s">
        <v>112</v>
      </c>
      <c r="C27" s="288">
        <f>C28</f>
        <v>2163</v>
      </c>
      <c r="D27" s="278">
        <f>C29</f>
        <v>2.8999999999999998E-3</v>
      </c>
      <c r="E27" s="279" t="s">
        <v>126</v>
      </c>
      <c r="F27" s="289">
        <f>'数据-取费表'!Q16</f>
        <v>0.1</v>
      </c>
      <c r="G27" s="290" t="s">
        <v>1066</v>
      </c>
    </row>
    <row r="28" spans="1:7" s="257" customFormat="1" ht="13.5" customHeight="1">
      <c r="A28" s="948" t="s">
        <v>794</v>
      </c>
      <c r="B28" s="291" t="s">
        <v>1059</v>
      </c>
      <c r="C28" s="292">
        <f>ROUND((C5+C19+C20)*F27*'数据-取费表'!B21/'数据-取费表'!B20,0)</f>
        <v>2163</v>
      </c>
      <c r="D28" s="278"/>
      <c r="E28" s="279"/>
      <c r="F28" s="289"/>
      <c r="G28" s="290"/>
    </row>
    <row r="29" spans="1:7" s="257" customFormat="1" ht="13.5" customHeight="1">
      <c r="A29" s="948" t="s">
        <v>792</v>
      </c>
      <c r="B29" s="291" t="s">
        <v>1060</v>
      </c>
      <c r="C29" s="281">
        <f>ROUND(C21*F27*'数据-取费表'!B21/'数据-取费表'!B20,4)</f>
        <v>2.8999999999999998E-3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29608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25475</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22943</v>
      </c>
      <c r="D34" s="260"/>
      <c r="E34" s="263"/>
      <c r="F34" s="300">
        <f>IF('数据-取费表'!B24=0,1,'数据-取费表'!N16)</f>
        <v>0.99</v>
      </c>
      <c r="G34" s="262" t="s">
        <v>116</v>
      </c>
    </row>
    <row r="35" spans="1:7" ht="13.5" customHeight="1">
      <c r="A35" s="948" t="s">
        <v>796</v>
      </c>
      <c r="B35" s="258" t="s">
        <v>60</v>
      </c>
      <c r="C35" s="263">
        <f>ROUND(C34*F35,0)</f>
        <v>688</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1500</v>
      </c>
      <c r="D37" s="260">
        <f>'数据-汇总表'!E3</f>
        <v>75745.560000000012</v>
      </c>
      <c r="E37" s="292">
        <f>'数据-取费表'!B35</f>
        <v>200</v>
      </c>
      <c r="F37" s="302"/>
      <c r="G37" s="304" t="s">
        <v>119</v>
      </c>
    </row>
    <row r="38" spans="1:7" ht="13.5" customHeight="1">
      <c r="A38" s="948" t="s">
        <v>799</v>
      </c>
      <c r="B38" s="258" t="s">
        <v>63</v>
      </c>
      <c r="C38" s="263">
        <f>ROUND(C34*F38,0)</f>
        <v>344</v>
      </c>
      <c r="D38" s="263"/>
      <c r="E38" s="263"/>
      <c r="F38" s="302">
        <f>'数据-取费表'!B36</f>
        <v>1.4999999999999999E-2</v>
      </c>
      <c r="G38" s="262" t="s">
        <v>117</v>
      </c>
    </row>
    <row r="39" spans="1:7" s="257" customFormat="1" ht="13.5" customHeight="1">
      <c r="A39" s="945" t="s">
        <v>783</v>
      </c>
      <c r="B39" s="253" t="s">
        <v>104</v>
      </c>
      <c r="C39" s="275">
        <f>ROUND(C33*F20,0)</f>
        <v>510</v>
      </c>
      <c r="D39" s="275"/>
      <c r="E39" s="275"/>
      <c r="F39" s="276"/>
      <c r="G39" s="1286" t="s">
        <v>1068</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1171</v>
      </c>
      <c r="D41" s="278">
        <f ca="1">C44</f>
        <v>1.4E-3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1148</v>
      </c>
      <c r="D42" s="281"/>
      <c r="E42" s="281"/>
      <c r="F42" s="282"/>
      <c r="G42" s="3242" t="s">
        <v>121</v>
      </c>
    </row>
    <row r="43" spans="1:7" ht="13.5" customHeight="1">
      <c r="A43" s="948" t="s">
        <v>792</v>
      </c>
      <c r="B43" s="258" t="s">
        <v>1061</v>
      </c>
      <c r="C43" s="281">
        <f ca="1">ROUND(IF('数据-取费表'!B22&lt;=1,C39*F22*'数据-取费表'!B21/2,C39*(POWER((1+F22),'数据-取费表'!B21/2)-1)),0)</f>
        <v>23</v>
      </c>
      <c r="D43" s="281"/>
      <c r="E43" s="281"/>
      <c r="F43" s="282"/>
      <c r="G43" s="3243"/>
    </row>
    <row r="44" spans="1:7" ht="13.5" customHeight="1">
      <c r="A44" s="948" t="s">
        <v>793</v>
      </c>
      <c r="B44" s="258" t="s">
        <v>1063</v>
      </c>
      <c r="C44" s="281">
        <f ca="1">ROUND(IF('数据-取费表'!B22&lt;=1,C40*F22*'数据-取费表'!B21/2,C40*(POWER((1+F22),'数据-取费表'!B21/2)-1)),4)</f>
        <v>1.4E-3</v>
      </c>
      <c r="D44" s="281"/>
      <c r="E44" s="281"/>
      <c r="F44" s="282"/>
      <c r="G44" s="3244"/>
    </row>
    <row r="45" spans="1:7" s="257" customFormat="1" ht="13.5" customHeight="1">
      <c r="A45" s="945" t="s">
        <v>786</v>
      </c>
      <c r="B45" s="287" t="s">
        <v>112</v>
      </c>
      <c r="C45" s="288">
        <f>C46</f>
        <v>2599</v>
      </c>
      <c r="D45" s="278">
        <f>C47</f>
        <v>3.0000000000000001E-3</v>
      </c>
      <c r="E45" s="279" t="s">
        <v>129</v>
      </c>
      <c r="F45" s="289"/>
      <c r="G45" s="290" t="s">
        <v>1069</v>
      </c>
    </row>
    <row r="46" spans="1:7" s="257" customFormat="1" ht="13.5" customHeight="1">
      <c r="A46" s="948" t="s">
        <v>794</v>
      </c>
      <c r="B46" s="291" t="s">
        <v>1062</v>
      </c>
      <c r="C46" s="292">
        <f>ROUND((C33+C39)*F27,0)</f>
        <v>2599</v>
      </c>
      <c r="D46" s="306"/>
      <c r="E46" s="279"/>
      <c r="F46" s="289"/>
      <c r="G46" s="290"/>
    </row>
    <row r="47" spans="1:7" s="257" customFormat="1" ht="13.5" customHeight="1">
      <c r="A47" s="948" t="s">
        <v>792</v>
      </c>
      <c r="B47" s="291" t="s">
        <v>1064</v>
      </c>
      <c r="C47" s="281">
        <f>ROUND(C40*F27,4)</f>
        <v>3.0000000000000001E-3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32617</v>
      </c>
      <c r="D49" s="275"/>
      <c r="E49" s="275"/>
      <c r="F49" s="307"/>
      <c r="G49" s="277" t="s">
        <v>1070</v>
      </c>
    </row>
    <row r="50" spans="1:7" s="301" customFormat="1" ht="24">
      <c r="A50" s="945" t="s">
        <v>789</v>
      </c>
      <c r="B50" s="253" t="s">
        <v>124</v>
      </c>
      <c r="C50" s="275"/>
      <c r="D50" s="275"/>
      <c r="E50" s="275"/>
      <c r="F50" s="307">
        <f>IF('数据-取费表'!B24=0,'数据-取费表'!N16,1)</f>
        <v>1</v>
      </c>
      <c r="G50" s="290" t="s">
        <v>125</v>
      </c>
    </row>
    <row r="51" spans="1:7" ht="16.5" customHeight="1">
      <c r="A51" s="945" t="s">
        <v>790</v>
      </c>
      <c r="B51" s="253" t="s">
        <v>132</v>
      </c>
      <c r="C51" s="275">
        <f ca="1">ROUND(C49*F50,0)</f>
        <v>32617</v>
      </c>
      <c r="D51" s="275"/>
      <c r="E51" s="275"/>
      <c r="F51" s="307"/>
      <c r="G51" s="277" t="s">
        <v>64</v>
      </c>
    </row>
    <row r="52" spans="1:7" s="251" customFormat="1" ht="16.5" thickBot="1">
      <c r="A52" s="308" t="s">
        <v>65</v>
      </c>
      <c r="B52" s="309"/>
      <c r="C52" s="310">
        <f ca="1">C31+C51</f>
        <v>62225</v>
      </c>
      <c r="D52" s="309"/>
      <c r="E52" s="309"/>
      <c r="F52" s="309"/>
      <c r="G52" s="311"/>
    </row>
    <row r="55" spans="1:7" ht="15">
      <c r="B55" s="313" t="s">
        <v>66</v>
      </c>
      <c r="C55" s="314"/>
    </row>
    <row r="56" spans="1:7">
      <c r="B56" s="316" t="s">
        <v>67</v>
      </c>
      <c r="C56" s="317">
        <f ca="1">ROUND(C51/C52,3)</f>
        <v>0.52400000000000002</v>
      </c>
    </row>
    <row r="57" spans="1:7">
      <c r="B57" s="316" t="s">
        <v>68</v>
      </c>
      <c r="C57" s="318">
        <f ca="1">1-C56</f>
        <v>0.47599999999999998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78" t="s">
        <v>156</v>
      </c>
      <c r="B1" s="3378"/>
      <c r="C1" s="3378"/>
      <c r="D1" s="3378"/>
      <c r="E1" s="3378"/>
      <c r="F1" s="337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79" t="s">
        <v>169</v>
      </c>
      <c r="B2" s="3379"/>
      <c r="C2" s="3379"/>
      <c r="D2" s="3379"/>
      <c r="E2" s="3379"/>
      <c r="F2" s="337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8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8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78" t="s">
        <v>868</v>
      </c>
      <c r="B1" s="337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43525</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51" t="str">
        <f>IF(项目基本情况!B9="房地产市场价值","估价结果一览表","结果表-2")</f>
        <v>估价结果一览表</v>
      </c>
      <c r="B1" s="3051"/>
      <c r="C1" s="3051"/>
      <c r="D1" s="3051"/>
      <c r="E1" s="3051"/>
      <c r="F1" s="3051"/>
      <c r="G1" s="3051"/>
      <c r="H1" s="3051"/>
      <c r="I1" s="3051"/>
    </row>
    <row r="2" spans="1:9" ht="30" customHeight="1" thickTop="1">
      <c r="A2" s="3052" t="s">
        <v>1637</v>
      </c>
      <c r="B2" s="3052" t="s">
        <v>1638</v>
      </c>
      <c r="C2" s="3052" t="s">
        <v>1639</v>
      </c>
      <c r="D2" s="3052" t="str">
        <f>结果表!D116</f>
        <v>出让国有建设用地使用权价值</v>
      </c>
      <c r="E2" s="3052"/>
      <c r="F2" s="3052" t="str">
        <f>结果表!F116</f>
        <v>建筑物价值</v>
      </c>
      <c r="G2" s="3052"/>
      <c r="H2" s="3052" t="str">
        <f>IF(项目基本情况!B9="房地产市场价值","房地产市场价值","房地产价值")</f>
        <v>房地产市场价值</v>
      </c>
      <c r="I2" s="3052"/>
    </row>
    <row r="3" spans="1:9" ht="15">
      <c r="A3" s="3046"/>
      <c r="B3" s="3046"/>
      <c r="C3" s="3046"/>
      <c r="D3" s="1041" t="s">
        <v>1634</v>
      </c>
      <c r="E3" s="1041" t="s">
        <v>1640</v>
      </c>
      <c r="F3" s="1041" t="s">
        <v>1634</v>
      </c>
      <c r="G3" s="1041" t="s">
        <v>1635</v>
      </c>
      <c r="H3" s="1041" t="s">
        <v>1634</v>
      </c>
      <c r="I3" s="1041" t="s">
        <v>1635</v>
      </c>
    </row>
    <row r="4" spans="1:9" ht="75">
      <c r="A4" s="1969" t="str">
        <f>项目基本情况!S2</f>
        <v>贵州省贵阳市白云区（高新）沙文生态科技产业园“贵州科学城•智谷”项目01-02-13地块出让国有建设用地使用权及在建建筑物房地产</v>
      </c>
      <c r="B4" s="1041">
        <f>项目基本情况!C17</f>
        <v>75745.560000000012</v>
      </c>
      <c r="C4" s="1041">
        <f>项目基本情况!C18</f>
        <v>40729.97</v>
      </c>
      <c r="D4" s="1041">
        <f ca="1">结果表!D118</f>
        <v>13575</v>
      </c>
      <c r="E4" s="1041">
        <f ca="1">结果表!E118</f>
        <v>1792</v>
      </c>
      <c r="F4" s="1041">
        <f ca="1">结果表!F118</f>
        <v>28193</v>
      </c>
      <c r="G4" s="1041">
        <f ca="1">结果表!G118</f>
        <v>3722</v>
      </c>
      <c r="H4" s="1041">
        <f ca="1">结果表!H118</f>
        <v>41768</v>
      </c>
      <c r="I4" s="1041">
        <f ca="1">结果表!I118</f>
        <v>5514</v>
      </c>
    </row>
    <row r="5" spans="1:9" ht="30" customHeight="1">
      <c r="A5" s="3046" t="s">
        <v>1636</v>
      </c>
      <c r="B5" s="3046"/>
      <c r="C5" s="3046"/>
      <c r="D5" s="3047" t="str">
        <f ca="1">结果表!D119</f>
        <v>壹亿叁仟伍佰柒拾伍万元整</v>
      </c>
      <c r="E5" s="3047"/>
      <c r="F5" s="3047" t="str">
        <f ca="1">结果表!F119</f>
        <v>贰亿捌仟壹佰玖拾叁万元整</v>
      </c>
      <c r="G5" s="3047"/>
      <c r="H5" s="3047" t="str">
        <f ca="1">结果表!H119</f>
        <v>肆亿壹仟柒佰陆拾捌万元整</v>
      </c>
      <c r="I5" s="3047"/>
    </row>
    <row r="6" spans="1:9" ht="15.75">
      <c r="A6" s="3045" t="str">
        <f>结果表!A120</f>
        <v/>
      </c>
      <c r="B6" s="3045"/>
      <c r="C6" s="3045"/>
      <c r="D6" s="3045">
        <f>结果表!D120</f>
        <v>0</v>
      </c>
      <c r="E6" s="3045"/>
      <c r="F6" s="3045"/>
      <c r="G6" s="3045"/>
      <c r="H6" s="3045"/>
      <c r="I6" s="3045"/>
    </row>
    <row r="7" spans="1:9" ht="15">
      <c r="A7" s="3046" t="s">
        <v>1636</v>
      </c>
      <c r="B7" s="3046"/>
      <c r="C7" s="3046"/>
      <c r="D7" s="3048" t="str">
        <f>结果表!D121</f>
        <v>零元整</v>
      </c>
      <c r="E7" s="3049"/>
      <c r="F7" s="3049"/>
      <c r="G7" s="3049"/>
      <c r="H7" s="3049"/>
      <c r="I7" s="3050"/>
    </row>
    <row r="8" spans="1:9" ht="15.75">
      <c r="A8" s="3045" t="str">
        <f>结果表!A122</f>
        <v/>
      </c>
      <c r="B8" s="3045"/>
      <c r="C8" s="3045"/>
      <c r="D8" s="3045" t="str">
        <f>结果表!D122</f>
        <v>——</v>
      </c>
      <c r="E8" s="3045"/>
      <c r="F8" s="3045"/>
      <c r="G8" s="3045"/>
      <c r="H8" s="3045"/>
      <c r="I8" s="3045"/>
    </row>
    <row r="9" spans="1:9" ht="15">
      <c r="A9" s="3046" t="s">
        <v>1636</v>
      </c>
      <c r="B9" s="3046"/>
      <c r="C9" s="3046"/>
      <c r="D9" s="3047" t="e">
        <f>结果表!D123</f>
        <v>#VALUE!</v>
      </c>
      <c r="E9" s="3047"/>
      <c r="F9" s="3047"/>
      <c r="G9" s="3047"/>
      <c r="H9" s="3047"/>
      <c r="I9" s="3047"/>
    </row>
    <row r="10" spans="1:9" ht="15.75">
      <c r="A10" s="3045" t="str">
        <f>结果表!A124</f>
        <v/>
      </c>
      <c r="B10" s="3045"/>
      <c r="C10" s="3045"/>
      <c r="D10" s="3045">
        <f ca="1">结果表!D124</f>
        <v>41768</v>
      </c>
      <c r="E10" s="3045"/>
      <c r="F10" s="3045"/>
      <c r="G10" s="3045"/>
      <c r="H10" s="3045"/>
      <c r="I10" s="3045"/>
    </row>
    <row r="11" spans="1:9" ht="15">
      <c r="A11" s="3046" t="s">
        <v>1636</v>
      </c>
      <c r="B11" s="3046"/>
      <c r="C11" s="3046"/>
      <c r="D11" s="3047" t="str">
        <f ca="1">结果表!D125</f>
        <v>肆亿壹仟柒佰陆拾捌万元整</v>
      </c>
      <c r="E11" s="3047"/>
      <c r="F11" s="3047"/>
      <c r="G11" s="3047"/>
      <c r="H11" s="3047"/>
      <c r="I11" s="3047"/>
    </row>
    <row r="12" spans="1:9" ht="15.75">
      <c r="A12" s="3045" t="str">
        <f>结果表!A126</f>
        <v/>
      </c>
      <c r="B12" s="3045"/>
      <c r="C12" s="3045"/>
      <c r="D12" s="3045" t="str">
        <f>结果表!D126</f>
        <v>——</v>
      </c>
      <c r="E12" s="3045"/>
      <c r="F12" s="3045"/>
      <c r="G12" s="3045"/>
      <c r="H12" s="3045"/>
      <c r="I12" s="3045"/>
    </row>
    <row r="13" spans="1:9" ht="15.75" thickBot="1">
      <c r="A13" s="3042" t="s">
        <v>1636</v>
      </c>
      <c r="B13" s="3042"/>
      <c r="C13" s="3042"/>
      <c r="D13" s="3043" t="e">
        <f>结果表!D127</f>
        <v>#VALUE!</v>
      </c>
      <c r="E13" s="3043"/>
      <c r="F13" s="3043"/>
      <c r="G13" s="3043"/>
      <c r="H13" s="3043"/>
      <c r="I13" s="3043"/>
    </row>
    <row r="14" spans="1:9" ht="15" thickTop="1">
      <c r="A14" s="3044" t="s">
        <v>1641</v>
      </c>
      <c r="B14" s="3044"/>
      <c r="C14" s="3044"/>
      <c r="D14" s="3044"/>
      <c r="E14" s="3044"/>
      <c r="F14" s="3044"/>
      <c r="G14" s="3044"/>
      <c r="H14" s="3044"/>
      <c r="I14" s="3044"/>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1" sqref="E1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3328</v>
      </c>
      <c r="D1" s="1816" t="s">
        <v>3338</v>
      </c>
      <c r="E1" s="1817" t="s">
        <v>1383</v>
      </c>
      <c r="F1" s="1280">
        <f ca="1">J53</f>
        <v>37.869999999999997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t="e">
        <f ca="1">C40+J29+L46</f>
        <v>#DIV/0!</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0</v>
      </c>
      <c r="D5" s="1818" t="s">
        <v>1398</v>
      </c>
      <c r="E5" s="1290"/>
      <c r="F5" s="1291"/>
      <c r="G5" s="1847"/>
      <c r="H5" s="343">
        <v>1</v>
      </c>
      <c r="I5" s="344" t="s">
        <v>1397</v>
      </c>
      <c r="J5" s="1289">
        <f ca="1">J6+J10+J12</f>
        <v>0</v>
      </c>
      <c r="K5" s="1818" t="s">
        <v>1398</v>
      </c>
      <c r="L5" s="1290"/>
      <c r="M5" s="1291"/>
    </row>
    <row r="6" spans="1:37" ht="18" customHeight="1">
      <c r="A6" s="1288" t="s">
        <v>1032</v>
      </c>
      <c r="B6" s="3291" t="s">
        <v>1399</v>
      </c>
      <c r="C6" s="1293">
        <f ca="1">ROUND(F6*F8*F7*(1-F9)/10000,0)</f>
        <v>0</v>
      </c>
      <c r="D6" s="163" t="s">
        <v>3020</v>
      </c>
      <c r="E6" s="346" t="s">
        <v>1401</v>
      </c>
      <c r="F6" s="347">
        <f ca="1">INDIRECT("'数据-取费表'!u"&amp;$G$1)</f>
        <v>0</v>
      </c>
      <c r="G6" s="1847"/>
      <c r="H6" s="1288" t="s">
        <v>1032</v>
      </c>
      <c r="I6" s="3291" t="s">
        <v>1399</v>
      </c>
      <c r="J6" s="345">
        <f ca="1">ROUND(M6*M8*M7*(1-M9)/10000,0)</f>
        <v>0</v>
      </c>
      <c r="K6" s="163" t="s">
        <v>3019</v>
      </c>
      <c r="L6" s="346" t="s">
        <v>1401</v>
      </c>
      <c r="M6" s="347">
        <f ca="1">INDIRECT("'数据-取费表'!z"&amp;$G$1)</f>
        <v>0</v>
      </c>
    </row>
    <row r="7" spans="1:37" ht="18" customHeight="1">
      <c r="A7" s="1292"/>
      <c r="B7" s="3292"/>
      <c r="C7" s="1294"/>
      <c r="D7" s="351"/>
      <c r="E7" s="3006" t="s">
        <v>1402</v>
      </c>
      <c r="F7" s="347">
        <f ca="1">IF(INDIRECT("'数据-取费表'!ah"&amp;$G$1)="",INDIRECT("'数据-取费表'!k"&amp;$G$1),INDIRECT("'数据-取费表'!ah"&amp;$G$1))</f>
        <v>0</v>
      </c>
      <c r="G7" s="1847"/>
      <c r="H7" s="348"/>
      <c r="I7" s="3292"/>
      <c r="J7" s="350"/>
      <c r="K7" s="351"/>
      <c r="L7" s="346" t="s">
        <v>1402</v>
      </c>
      <c r="M7" s="347">
        <f ca="1">F7</f>
        <v>0</v>
      </c>
    </row>
    <row r="8" spans="1:37" ht="18" customHeight="1">
      <c r="A8" s="348"/>
      <c r="B8" s="3292"/>
      <c r="C8" s="350"/>
      <c r="D8" s="351"/>
      <c r="E8" s="346" t="s">
        <v>1403</v>
      </c>
      <c r="F8" s="347">
        <f ca="1">INDIRECT("'数据-取费表'!ai"&amp;$G$1)</f>
        <v>0</v>
      </c>
      <c r="G8" s="1847"/>
      <c r="H8" s="348"/>
      <c r="I8" s="3292"/>
      <c r="J8" s="350"/>
      <c r="K8" s="351"/>
      <c r="L8" s="346" t="s">
        <v>1403</v>
      </c>
      <c r="M8" s="347">
        <f ca="1">INDIRECT("'数据-取费表'!ai"&amp;$G$1)</f>
        <v>0</v>
      </c>
    </row>
    <row r="9" spans="1:37" ht="18" customHeight="1">
      <c r="A9" s="348"/>
      <c r="B9" s="3293"/>
      <c r="C9" s="350"/>
      <c r="D9" s="351"/>
      <c r="E9" s="346" t="s">
        <v>1404</v>
      </c>
      <c r="F9" s="356">
        <f ca="1">INDIRECT("'数据-取费表'!w"&amp;$G$1)</f>
        <v>0</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0</v>
      </c>
      <c r="D14" s="3009" t="s">
        <v>1414</v>
      </c>
      <c r="E14" s="3008"/>
      <c r="F14" s="363"/>
      <c r="G14" s="1847"/>
      <c r="H14" s="1198" t="s">
        <v>1032</v>
      </c>
      <c r="I14" s="346" t="s">
        <v>1415</v>
      </c>
      <c r="J14" s="24">
        <f ca="1">C29</f>
        <v>0</v>
      </c>
      <c r="K14" s="3005"/>
      <c r="L14" s="976"/>
      <c r="M14" s="977"/>
    </row>
    <row r="15" spans="1:37" s="1854" customFormat="1" ht="18" customHeight="1" thickBot="1">
      <c r="A15" s="1198" t="s">
        <v>1033</v>
      </c>
      <c r="B15" s="346" t="s">
        <v>1416</v>
      </c>
      <c r="C15" s="24">
        <f ca="1">ROUND(C14*F15,0)</f>
        <v>0</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0</v>
      </c>
      <c r="K16" s="1334" t="s">
        <v>1421</v>
      </c>
      <c r="L16" s="3011"/>
      <c r="M16" s="1291"/>
    </row>
    <row r="17" spans="1:37" s="1854" customFormat="1" ht="18" customHeight="1">
      <c r="A17" s="1198" t="s">
        <v>1386</v>
      </c>
      <c r="B17" s="346" t="s">
        <v>1422</v>
      </c>
      <c r="C17" s="24">
        <f ca="1">ROUND(F17*(F43+INDIRECT("'数据-取费表'!S"&amp;$G$1))/10000,0)</f>
        <v>0</v>
      </c>
      <c r="D17" s="346" t="s">
        <v>1423</v>
      </c>
      <c r="E17" s="346" t="s">
        <v>1424</v>
      </c>
      <c r="F17" s="26">
        <f>'数据-取费表'!B35</f>
        <v>200</v>
      </c>
      <c r="G17" s="1850"/>
      <c r="H17" s="1198" t="s">
        <v>1032</v>
      </c>
      <c r="I17" s="346" t="s">
        <v>1425</v>
      </c>
      <c r="J17" s="24">
        <f ca="1">ROUND(IF(项目基本情况!B11="自然人",J5*M17,J18+J19+J20),1)</f>
        <v>0</v>
      </c>
      <c r="K17" s="3009" t="s">
        <v>1426</v>
      </c>
      <c r="L17" s="3010"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0</v>
      </c>
      <c r="D18" s="346" t="s">
        <v>1417</v>
      </c>
      <c r="E18" s="346" t="s">
        <v>1418</v>
      </c>
      <c r="F18" s="366">
        <f>'数据-取费表'!B36</f>
        <v>1.4999999999999999E-2</v>
      </c>
      <c r="G18" s="1850"/>
      <c r="H18" s="1198" t="s">
        <v>1031</v>
      </c>
      <c r="I18" s="346" t="s">
        <v>1429</v>
      </c>
      <c r="J18" s="24">
        <f ca="1">ROUND(J5*M18/(1+'数据-取费表'!C42),2)</f>
        <v>0</v>
      </c>
      <c r="K18" s="3010"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0</v>
      </c>
      <c r="D19" s="139" t="s">
        <v>1432</v>
      </c>
      <c r="E19" s="3004"/>
      <c r="F19" s="26"/>
      <c r="G19" s="1847"/>
      <c r="H19" s="1198" t="s">
        <v>1033</v>
      </c>
      <c r="I19" s="346" t="s">
        <v>1433</v>
      </c>
      <c r="J19" s="24">
        <f ca="1">IF(K19="按租金收入计税",ROUND(J5*M19,2),ROUND(C29*M19*0.7,2))</f>
        <v>0</v>
      </c>
      <c r="K19" s="1824" t="s">
        <v>1434</v>
      </c>
      <c r="L19" s="346" t="s">
        <v>1418</v>
      </c>
      <c r="M19" s="366">
        <f>IF(K19="按租金收入计税",'数据-取费表'!B51,'数据-取费表'!B50)</f>
        <v>1.2E-2</v>
      </c>
    </row>
    <row r="20" spans="1:37" s="1854" customFormat="1" ht="18" customHeight="1">
      <c r="A20" s="1198" t="s">
        <v>1036</v>
      </c>
      <c r="B20" s="346" t="s">
        <v>1435</v>
      </c>
      <c r="C20" s="24">
        <f ca="1">ROUND(C19*F20,0)</f>
        <v>0</v>
      </c>
      <c r="D20" s="368" t="s">
        <v>1436</v>
      </c>
      <c r="E20" s="346" t="s">
        <v>1418</v>
      </c>
      <c r="F20" s="366">
        <f>'数据-取费表'!B37</f>
        <v>0.02</v>
      </c>
      <c r="G20" s="1850"/>
      <c r="H20" s="1198" t="s">
        <v>1385</v>
      </c>
      <c r="I20" s="163" t="s">
        <v>1437</v>
      </c>
      <c r="J20" s="25">
        <f ca="1">ROUND(M20*M21/10000,2)</f>
        <v>0</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04"/>
      <c r="F22" s="26"/>
      <c r="G22" s="1847"/>
      <c r="H22" s="1198" t="s">
        <v>1036</v>
      </c>
      <c r="I22" s="346" t="s">
        <v>1445</v>
      </c>
      <c r="J22" s="24">
        <f ca="1">ROUND(J14*M22,1)</f>
        <v>0</v>
      </c>
      <c r="K22" s="3010" t="s">
        <v>1446</v>
      </c>
      <c r="L22" s="346" t="s">
        <v>1418</v>
      </c>
      <c r="M22" s="373">
        <f ca="1">INDIRECT("'数据-取费表'!Ak"&amp;$G$1)</f>
        <v>0</v>
      </c>
    </row>
    <row r="23" spans="1:37" s="1854"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3010" t="s">
        <v>1450</v>
      </c>
      <c r="L23" s="346" t="s">
        <v>1418</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3004"/>
      <c r="F25" s="26"/>
      <c r="G25" s="1847"/>
      <c r="H25" s="1326" t="s">
        <v>1028</v>
      </c>
      <c r="I25" s="1341" t="s">
        <v>1459</v>
      </c>
      <c r="J25" s="354">
        <f ca="1">J5-J16</f>
        <v>0</v>
      </c>
      <c r="K25" s="1342" t="s">
        <v>1460</v>
      </c>
      <c r="L25" s="1343"/>
      <c r="M25" s="1344"/>
    </row>
    <row r="26" spans="1:37">
      <c r="A26" s="1198" t="s">
        <v>1031</v>
      </c>
      <c r="B26" s="346" t="s">
        <v>1461</v>
      </c>
      <c r="C26" s="24">
        <f ca="1">ROUND((C19+C20)*F26,0)</f>
        <v>0</v>
      </c>
      <c r="D26" s="368" t="s">
        <v>1462</v>
      </c>
      <c r="E26" s="357" t="s">
        <v>1463</v>
      </c>
      <c r="F26" s="356">
        <f ca="1">INDIRECT("'数据-取费表'!q"&amp;$G$1)</f>
        <v>0</v>
      </c>
      <c r="G26" s="1847"/>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79" t="s">
        <v>1030</v>
      </c>
      <c r="I29" s="380" t="s">
        <v>1475</v>
      </c>
      <c r="J29" s="381">
        <f ca="1">ROUND(J26/(1+F40)^F41,0)</f>
        <v>0</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0</v>
      </c>
      <c r="D30" s="1334" t="s">
        <v>1421</v>
      </c>
      <c r="E30" s="3011"/>
      <c r="F30" s="1291"/>
      <c r="G30" s="1847"/>
      <c r="H30" s="744"/>
      <c r="I30" s="745"/>
      <c r="J30" s="746"/>
      <c r="K30" s="747"/>
      <c r="L30" s="748"/>
      <c r="M30" s="749"/>
    </row>
    <row r="31" spans="1:37" ht="18" customHeight="1">
      <c r="A31" s="1198" t="s">
        <v>1032</v>
      </c>
      <c r="B31" s="346" t="s">
        <v>1425</v>
      </c>
      <c r="C31" s="24">
        <f ca="1">ROUND(IF(项目基本情况!B11="自然人",C5*F31,C32+C33+C34),1)</f>
        <v>0</v>
      </c>
      <c r="D31" s="3009" t="s">
        <v>1426</v>
      </c>
      <c r="E31" s="3010"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0</v>
      </c>
      <c r="D32" s="3010"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0</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0</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0</v>
      </c>
      <c r="G35" s="1847"/>
      <c r="H35" s="744"/>
      <c r="I35" s="1856"/>
      <c r="J35" s="1857"/>
      <c r="K35" s="1858"/>
      <c r="L35" s="1855"/>
      <c r="M35" s="1855"/>
    </row>
    <row r="36" spans="1:18" ht="18" customHeight="1">
      <c r="A36" s="1349" t="s">
        <v>1036</v>
      </c>
      <c r="B36" s="346" t="s">
        <v>1445</v>
      </c>
      <c r="C36" s="24">
        <f ca="1">ROUND(C29*F36,1)</f>
        <v>0</v>
      </c>
      <c r="D36" s="3010" t="s">
        <v>1478</v>
      </c>
      <c r="E36" s="346" t="s">
        <v>1418</v>
      </c>
      <c r="F36" s="373">
        <f ca="1">INDIRECT("'数据-取费表'!Ak"&amp;$G$1)</f>
        <v>0</v>
      </c>
      <c r="G36" s="1847"/>
      <c r="H36" s="1855"/>
      <c r="I36" s="1856"/>
      <c r="J36" s="1857"/>
      <c r="K36" s="750"/>
      <c r="L36" s="1855"/>
      <c r="M36" s="1855"/>
    </row>
    <row r="37" spans="1:18" ht="18" customHeight="1">
      <c r="A37" s="1198" t="s">
        <v>1072</v>
      </c>
      <c r="B37" s="346" t="s">
        <v>1449</v>
      </c>
      <c r="C37" s="24">
        <f ca="1">ROUND(C13*F37,1)</f>
        <v>0</v>
      </c>
      <c r="D37" s="3010" t="s">
        <v>1450</v>
      </c>
      <c r="E37" s="346" t="s">
        <v>1418</v>
      </c>
      <c r="F37" s="375">
        <f ca="1">INDIRECT("'数据-取费表'!Al"&amp;$G$1)</f>
        <v>0</v>
      </c>
      <c r="G37" s="1847"/>
      <c r="H37" s="1855"/>
      <c r="I37" s="1856"/>
      <c r="J37" s="1857"/>
      <c r="K37" s="750"/>
      <c r="L37" s="1855"/>
      <c r="M37" s="1855"/>
    </row>
    <row r="38" spans="1:18" ht="18" customHeight="1" thickBot="1">
      <c r="A38" s="1336" t="s">
        <v>1388</v>
      </c>
      <c r="B38" s="1337" t="s">
        <v>1435</v>
      </c>
      <c r="C38" s="1338">
        <f ca="1">ROUND(C5*F38,1)</f>
        <v>0</v>
      </c>
      <c r="D38" s="1339" t="s">
        <v>1455</v>
      </c>
      <c r="E38" s="1337" t="s">
        <v>1418</v>
      </c>
      <c r="F38" s="1333">
        <f ca="1">INDIRECT("'数据-取费表'!Am"&amp;$G$1)</f>
        <v>0</v>
      </c>
      <c r="G38" s="1847"/>
      <c r="H38" s="1855"/>
      <c r="I38" s="1856"/>
      <c r="J38" s="1857"/>
      <c r="K38" s="1861"/>
      <c r="L38" s="1855"/>
      <c r="M38" s="1855"/>
    </row>
    <row r="39" spans="1:18" ht="24.6" customHeight="1" thickTop="1">
      <c r="A39" s="1326" t="s">
        <v>1028</v>
      </c>
      <c r="B39" s="1341" t="s">
        <v>1459</v>
      </c>
      <c r="C39" s="354">
        <f ca="1">C5-C30</f>
        <v>0</v>
      </c>
      <c r="D39" s="1342" t="s">
        <v>1460</v>
      </c>
      <c r="E39" s="1343"/>
      <c r="F39" s="1344"/>
      <c r="G39" s="1847"/>
      <c r="H39" s="1855"/>
      <c r="I39" s="1856"/>
      <c r="J39" s="1857"/>
      <c r="K39" s="1861"/>
      <c r="L39" s="1855"/>
      <c r="M39" s="1855"/>
    </row>
    <row r="40" spans="1:18" ht="18" customHeight="1">
      <c r="A40" s="343" t="s">
        <v>1029</v>
      </c>
      <c r="B40" s="344" t="s">
        <v>1481</v>
      </c>
      <c r="C40" s="345" t="e">
        <f ca="1">ROUND(C39*(1-((1+F42)/(1+F40))^F41)/(F40-F42),0)</f>
        <v>#DIV/0!</v>
      </c>
      <c r="D40" s="369" t="s">
        <v>1465</v>
      </c>
      <c r="E40" s="346" t="s">
        <v>1466</v>
      </c>
      <c r="F40" s="356">
        <f ca="1">INDIRECT("'数据-取费表'!I"&amp;$G$1)</f>
        <v>0</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1473</v>
      </c>
      <c r="F42" s="356">
        <f ca="1">INDIRECT("'数据-取费表'!v"&amp;$G$1)</f>
        <v>0</v>
      </c>
      <c r="G42" s="1847"/>
      <c r="H42" s="731"/>
      <c r="I42" s="1856"/>
      <c r="J42" s="1857"/>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t="e">
        <f ca="1">C68-C40</f>
        <v>#DIV/0!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t="e">
        <f ca="1">C40+J29</f>
        <v>#DIV/0!</v>
      </c>
      <c r="R47" s="1882" t="s">
        <v>1525</v>
      </c>
    </row>
    <row r="48" spans="1:18" s="1838" customFormat="1" ht="28.5" thickBot="1">
      <c r="A48" s="1357" t="s">
        <v>1132</v>
      </c>
      <c r="B48" s="344" t="s">
        <v>1397</v>
      </c>
      <c r="C48" s="300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3019</v>
      </c>
      <c r="E49" s="1826" t="s">
        <v>1487</v>
      </c>
      <c r="F49" s="1278"/>
      <c r="G49" s="1887"/>
      <c r="H49" s="792"/>
      <c r="I49" s="1883" t="s">
        <v>1530</v>
      </c>
      <c r="J49" s="1888">
        <v>2018</v>
      </c>
      <c r="K49" s="1885" t="s">
        <v>1531</v>
      </c>
      <c r="L49" s="1889"/>
      <c r="O49" s="1890" t="s">
        <v>1039</v>
      </c>
      <c r="P49" s="1881" t="s">
        <v>1532</v>
      </c>
      <c r="Q49" s="1882">
        <f ca="1">C29</f>
        <v>0</v>
      </c>
      <c r="R49" s="1882" t="s">
        <v>1525</v>
      </c>
    </row>
    <row r="50" spans="1:18" s="1838" customFormat="1" ht="13.5" thickBot="1">
      <c r="A50" s="1192"/>
      <c r="B50" s="1195"/>
      <c r="C50" s="1365"/>
      <c r="D50" s="1169"/>
      <c r="E50" s="1274" t="s">
        <v>1402</v>
      </c>
      <c r="F50" s="1275">
        <f ca="1">F7</f>
        <v>0</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0</v>
      </c>
      <c r="I51" s="1894" t="s">
        <v>1536</v>
      </c>
      <c r="J51" s="1895">
        <f>IF(J49="",J50,J49+J50-YEAR('数据-取费表'!B2))</f>
        <v>59</v>
      </c>
      <c r="K51" s="1896" t="s">
        <v>1537</v>
      </c>
      <c r="L51" s="1897">
        <f ca="1">ROUND(-PV(INDIRECT("'数据-取费表'!h"&amp;$G$1),L48,(C39-C13*C76),0),0)</f>
        <v>0</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89" t="s">
        <v>1544</v>
      </c>
      <c r="L53" s="3290"/>
      <c r="O53" s="1880" t="s">
        <v>1043</v>
      </c>
      <c r="P53" s="1881" t="s">
        <v>1545</v>
      </c>
      <c r="Q53" s="1882" t="e">
        <f ca="1">Q47+Q48</f>
        <v>#DIV/0!</v>
      </c>
      <c r="R53" s="1882" t="s">
        <v>1044</v>
      </c>
    </row>
    <row r="54" spans="1:18" s="1838" customFormat="1" ht="13.5" thickBot="1">
      <c r="A54" s="1403"/>
      <c r="B54" s="1821" t="s">
        <v>1384</v>
      </c>
      <c r="C54" s="1175"/>
      <c r="D54" s="1820"/>
      <c r="E54" s="300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3007"/>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0</v>
      </c>
      <c r="D56" s="1910"/>
      <c r="E56" s="1911"/>
      <c r="F56" s="1903"/>
      <c r="I56" s="1912" t="s">
        <v>1550</v>
      </c>
      <c r="J56" s="1913" t="s">
        <v>3144</v>
      </c>
      <c r="K56" s="1883" t="s">
        <v>1551</v>
      </c>
      <c r="L56" s="1886" t="str">
        <f ca="1">IF(L48&lt;J51,"——",L48-J53)</f>
        <v>——</v>
      </c>
      <c r="O56" s="1880" t="s">
        <v>1037</v>
      </c>
      <c r="P56" s="1881" t="s">
        <v>1524</v>
      </c>
      <c r="Q56" s="1882" t="e">
        <f ca="1">C40+J29</f>
        <v>#DIV/0!</v>
      </c>
      <c r="R56" s="1882" t="s">
        <v>1525</v>
      </c>
    </row>
    <row r="57" spans="1:18" s="1838" customFormat="1" ht="24.75" thickBot="1">
      <c r="A57" s="1914"/>
      <c r="B57" s="1166" t="s">
        <v>1474</v>
      </c>
      <c r="C57" s="281">
        <f ca="1">C29</f>
        <v>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0</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0</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0</v>
      </c>
      <c r="D61" s="1824" t="s">
        <v>1434</v>
      </c>
      <c r="E61" s="1166" t="s">
        <v>1418</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0</v>
      </c>
      <c r="D62" s="1181" t="s">
        <v>1438</v>
      </c>
      <c r="E62" s="1166" t="s">
        <v>1439</v>
      </c>
      <c r="F62" s="370">
        <f t="shared" si="0"/>
        <v>10</v>
      </c>
      <c r="I62" s="1925" t="s">
        <v>1566</v>
      </c>
      <c r="J62" s="1926" t="s">
        <v>1567</v>
      </c>
      <c r="K62" s="1926" t="s">
        <v>1568</v>
      </c>
      <c r="L62" s="1926" t="s">
        <v>1569</v>
      </c>
      <c r="M62" s="1927" t="s">
        <v>1570</v>
      </c>
      <c r="O62" s="1880" t="s">
        <v>1043</v>
      </c>
      <c r="P62" s="1881" t="s">
        <v>1545</v>
      </c>
      <c r="Q62" s="1882" t="e">
        <f ca="1">Q56+Q57</f>
        <v>#DIV/0!</v>
      </c>
      <c r="R62" s="1882" t="s">
        <v>1044</v>
      </c>
    </row>
    <row r="63" spans="1:18" s="1838" customFormat="1" ht="13.5" thickBot="1">
      <c r="A63" s="371"/>
      <c r="B63" s="1172"/>
      <c r="C63" s="29"/>
      <c r="D63" s="1182"/>
      <c r="E63" s="1166" t="s">
        <v>1443</v>
      </c>
      <c r="F63" s="347">
        <f t="shared" ca="1" si="0"/>
        <v>0</v>
      </c>
      <c r="I63" s="1925" t="s">
        <v>1572</v>
      </c>
      <c r="J63" s="1926">
        <v>70</v>
      </c>
      <c r="K63" s="1926">
        <v>50</v>
      </c>
      <c r="L63" s="1926">
        <v>80</v>
      </c>
      <c r="M63" s="1928">
        <v>0.02</v>
      </c>
      <c r="O63" s="1865" t="s">
        <v>1573</v>
      </c>
      <c r="P63" s="1835"/>
      <c r="Q63" s="1835"/>
      <c r="R63" s="1835"/>
    </row>
    <row r="64" spans="1:18" s="1838" customFormat="1" ht="13.5" thickBot="1">
      <c r="A64" s="1198" t="s">
        <v>1036</v>
      </c>
      <c r="B64" s="1166" t="s">
        <v>1445</v>
      </c>
      <c r="C64" s="24">
        <f ca="1">ROUND(C57*F64,1)</f>
        <v>0</v>
      </c>
      <c r="D64" s="1180" t="s">
        <v>1478</v>
      </c>
      <c r="E64" s="1166" t="s">
        <v>1418</v>
      </c>
      <c r="F64" s="373">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0</v>
      </c>
      <c r="D65" s="1180" t="s">
        <v>1450</v>
      </c>
      <c r="E65" s="1166" t="s">
        <v>1418</v>
      </c>
      <c r="F65" s="375">
        <f t="shared" ca="1" si="0"/>
        <v>0</v>
      </c>
      <c r="I65" s="1925" t="s">
        <v>1575</v>
      </c>
      <c r="J65" s="1926">
        <v>40</v>
      </c>
      <c r="K65" s="1926">
        <v>30</v>
      </c>
      <c r="L65" s="1926">
        <v>50</v>
      </c>
      <c r="M65" s="1928">
        <v>0.02</v>
      </c>
      <c r="O65" s="1880" t="s">
        <v>1037</v>
      </c>
      <c r="P65" s="1881" t="s">
        <v>1524</v>
      </c>
      <c r="Q65" s="1882" t="e">
        <f ca="1">C40+J29</f>
        <v>#DIV/0!</v>
      </c>
      <c r="R65" s="1882" t="s">
        <v>1525</v>
      </c>
    </row>
    <row r="66" spans="1:18" s="1838" customFormat="1" ht="16.5" thickBot="1">
      <c r="A66" s="1198" t="s">
        <v>1500</v>
      </c>
      <c r="B66" s="1166" t="s">
        <v>1435</v>
      </c>
      <c r="C66" s="24">
        <f ca="1">ROUND(C48*F66,1)</f>
        <v>0</v>
      </c>
      <c r="D66" s="1180" t="s">
        <v>1455</v>
      </c>
      <c r="E66" s="1166" t="s">
        <v>1418</v>
      </c>
      <c r="F66" s="356">
        <f t="shared" ca="1" si="0"/>
        <v>0</v>
      </c>
      <c r="O66" s="1880" t="s">
        <v>1038</v>
      </c>
      <c r="P66" s="1881" t="s">
        <v>1554</v>
      </c>
      <c r="Q66" s="1882">
        <f ca="1">L60</f>
        <v>0</v>
      </c>
      <c r="R66" s="1882" t="s">
        <v>1577</v>
      </c>
    </row>
    <row r="67" spans="1:18" s="1838" customFormat="1" ht="16.5" thickBot="1">
      <c r="A67" s="1173" t="s">
        <v>1028</v>
      </c>
      <c r="B67" s="1183" t="s">
        <v>1459</v>
      </c>
      <c r="C67" s="360">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5" t="e">
        <f ca="1">ROUND(C67*(1-((1+F70)/(1+F68))^F69)/(F68-F70),0)</f>
        <v>#DIV/0!</v>
      </c>
      <c r="D68" s="1181" t="s">
        <v>1465</v>
      </c>
      <c r="E68" s="1166" t="s">
        <v>1466</v>
      </c>
      <c r="F68" s="356">
        <f ca="1">F40</f>
        <v>0</v>
      </c>
      <c r="O68" s="1890" t="s">
        <v>1040</v>
      </c>
      <c r="P68" s="1930" t="s">
        <v>1579</v>
      </c>
      <c r="Q68" s="1882">
        <f ca="1">ROUND(Q69-Q70*Q71,0)</f>
        <v>0</v>
      </c>
      <c r="R68" s="1882" t="s">
        <v>1048</v>
      </c>
    </row>
    <row r="69" spans="1:18" s="1838" customFormat="1" ht="13.5" thickBot="1">
      <c r="A69" s="1167"/>
      <c r="B69" s="1168"/>
      <c r="C69" s="350"/>
      <c r="D69" s="1186" t="s">
        <v>1469</v>
      </c>
      <c r="E69" s="1166" t="s">
        <v>1470</v>
      </c>
      <c r="F69" s="378">
        <f ca="1">F41</f>
        <v>0</v>
      </c>
      <c r="O69" s="1890" t="s">
        <v>1045</v>
      </c>
      <c r="P69" s="1930" t="s">
        <v>1580</v>
      </c>
      <c r="Q69" s="1882">
        <f ca="1">C39</f>
        <v>0</v>
      </c>
      <c r="R69" s="1882" t="s">
        <v>1525</v>
      </c>
    </row>
    <row r="70" spans="1:18" s="1838" customFormat="1" ht="13.5" thickBot="1">
      <c r="A70" s="1170"/>
      <c r="B70" s="1171"/>
      <c r="C70" s="354"/>
      <c r="D70" s="1182"/>
      <c r="E70" s="1166" t="s">
        <v>1473</v>
      </c>
      <c r="F70" s="1272"/>
      <c r="O70" s="1890" t="s">
        <v>1046</v>
      </c>
      <c r="P70" s="1930" t="s">
        <v>1581</v>
      </c>
      <c r="Q70" s="1882">
        <f ca="1">C13</f>
        <v>0</v>
      </c>
      <c r="R70" s="1882" t="s">
        <v>1525</v>
      </c>
    </row>
    <row r="71" spans="1:18" s="1838" customFormat="1" ht="13.5" thickBot="1">
      <c r="A71" s="1187" t="s">
        <v>1030</v>
      </c>
      <c r="B71" s="1188" t="s">
        <v>1483</v>
      </c>
      <c r="C71" s="381" t="e">
        <f ca="1">ROUND(C68*10000/F71,0)</f>
        <v>#DIV/0!</v>
      </c>
      <c r="D71" s="1189" t="s">
        <v>1484</v>
      </c>
      <c r="E71" s="1190" t="s">
        <v>1485</v>
      </c>
      <c r="F71" s="384">
        <f ca="1">F43</f>
        <v>0</v>
      </c>
      <c r="O71" s="1890" t="s">
        <v>1047</v>
      </c>
      <c r="P71" s="1930" t="s">
        <v>1582</v>
      </c>
      <c r="Q71" s="1893">
        <f ca="1">C76</f>
        <v>0</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0</v>
      </c>
      <c r="D75" s="1838"/>
      <c r="E75" s="1838"/>
      <c r="F75" s="1838"/>
      <c r="K75" s="1864"/>
      <c r="L75" s="1838"/>
      <c r="O75" s="1880" t="s">
        <v>1043</v>
      </c>
      <c r="P75" s="1881" t="s">
        <v>1545</v>
      </c>
      <c r="Q75" s="1882" t="e">
        <f ca="1">Q65+Q66</f>
        <v>#DIV/0!</v>
      </c>
      <c r="R75" s="1882" t="s">
        <v>1044</v>
      </c>
    </row>
    <row r="76" spans="1:18">
      <c r="B76" s="387" t="s">
        <v>1503</v>
      </c>
      <c r="C76" s="388">
        <f ca="1">INDIRECT("'数据-取费表'!j"&amp;$G$1)</f>
        <v>0</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P3"/>
  <sheetViews>
    <sheetView workbookViewId="0">
      <selection activeCell="A36" sqref="A36"/>
    </sheetView>
  </sheetViews>
  <sheetFormatPr defaultRowHeight="13.5"/>
  <sheetData>
    <row r="2" spans="16:16">
      <c r="P2" s="3022" t="s">
        <v>3342</v>
      </c>
    </row>
    <row r="3" spans="16:16">
      <c r="P3" s="3022" t="s">
        <v>3343</v>
      </c>
    </row>
  </sheetData>
  <phoneticPr fontId="14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3" sqref="D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81"/>
      <c r="C1" s="1833" t="s">
        <v>3332</v>
      </c>
      <c r="D1" s="1816" t="s">
        <v>3338</v>
      </c>
      <c r="E1" s="1817" t="s">
        <v>1383</v>
      </c>
      <c r="F1" s="1280">
        <f ca="1">J53</f>
        <v>37.869999999999997</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7782</v>
      </c>
      <c r="C2" s="1841" t="s">
        <v>1512</v>
      </c>
      <c r="D2" s="1841"/>
      <c r="E2" s="1842"/>
      <c r="F2" s="1843"/>
      <c r="G2" s="1844"/>
      <c r="H2" s="1836"/>
      <c r="I2" s="1836"/>
      <c r="J2" s="1836"/>
      <c r="K2" s="1837"/>
      <c r="L2" s="1836"/>
      <c r="M2" s="1836"/>
    </row>
    <row r="3" spans="1:37" ht="18" customHeight="1" thickBot="1">
      <c r="A3" s="1845" t="s">
        <v>1513</v>
      </c>
      <c r="B3" s="1846">
        <f ca="1">IF(ISERROR(B2*10000/F43),0,ROUND(B2*10000/F43,0))</f>
        <v>2376</v>
      </c>
      <c r="C3" s="1841" t="s">
        <v>1514</v>
      </c>
      <c r="D3" s="1841"/>
      <c r="E3" s="1842"/>
      <c r="F3" s="1843"/>
      <c r="G3" s="1844"/>
      <c r="H3" s="743"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646</v>
      </c>
      <c r="D5" s="1818" t="s">
        <v>1398</v>
      </c>
      <c r="E5" s="1290"/>
      <c r="F5" s="1291"/>
      <c r="G5" s="1847"/>
      <c r="H5" s="343">
        <v>1</v>
      </c>
      <c r="I5" s="344" t="s">
        <v>1397</v>
      </c>
      <c r="J5" s="1289">
        <f ca="1">J6+J10+J12</f>
        <v>0</v>
      </c>
      <c r="K5" s="1818" t="s">
        <v>1398</v>
      </c>
      <c r="L5" s="1290"/>
      <c r="M5" s="1291"/>
    </row>
    <row r="6" spans="1:37" ht="18" customHeight="1">
      <c r="A6" s="1288" t="s">
        <v>1032</v>
      </c>
      <c r="B6" s="3291" t="s">
        <v>1399</v>
      </c>
      <c r="C6" s="1293">
        <f ca="1">ROUND(F6*F8*F7*(1-F9)/10000,0)</f>
        <v>646</v>
      </c>
      <c r="D6" s="163" t="s">
        <v>3020</v>
      </c>
      <c r="E6" s="346" t="s">
        <v>1401</v>
      </c>
      <c r="F6" s="347">
        <f ca="1">INDIRECT("'数据-取费表'!u"&amp;$G$1)</f>
        <v>0.6</v>
      </c>
      <c r="G6" s="1847"/>
      <c r="H6" s="1288" t="s">
        <v>1032</v>
      </c>
      <c r="I6" s="3291" t="s">
        <v>1399</v>
      </c>
      <c r="J6" s="345">
        <f ca="1">ROUND(M6*M8*M7*(1-M9)/10000,0)</f>
        <v>0</v>
      </c>
      <c r="K6" s="163" t="s">
        <v>3019</v>
      </c>
      <c r="L6" s="346" t="s">
        <v>1401</v>
      </c>
      <c r="M6" s="347">
        <f ca="1">INDIRECT("'数据-取费表'!z"&amp;$G$1)</f>
        <v>0</v>
      </c>
    </row>
    <row r="7" spans="1:37" ht="18" customHeight="1">
      <c r="A7" s="1292"/>
      <c r="B7" s="3292"/>
      <c r="C7" s="1294"/>
      <c r="D7" s="351"/>
      <c r="E7" s="3006" t="s">
        <v>1402</v>
      </c>
      <c r="F7" s="347">
        <f ca="1">IF(INDIRECT("'数据-取费表'!ah"&amp;$G$1)="",INDIRECT("'数据-取费表'!k"&amp;$G$1),INDIRECT("'数据-取费表'!ah"&amp;$G$1))</f>
        <v>32753.93</v>
      </c>
      <c r="G7" s="1847"/>
      <c r="H7" s="348"/>
      <c r="I7" s="3292"/>
      <c r="J7" s="350"/>
      <c r="K7" s="351"/>
      <c r="L7" s="346" t="s">
        <v>1402</v>
      </c>
      <c r="M7" s="347">
        <f ca="1">F7</f>
        <v>32753.93</v>
      </c>
    </row>
    <row r="8" spans="1:37" ht="18" customHeight="1">
      <c r="A8" s="348"/>
      <c r="B8" s="3292"/>
      <c r="C8" s="350"/>
      <c r="D8" s="351"/>
      <c r="E8" s="346" t="s">
        <v>1403</v>
      </c>
      <c r="F8" s="347">
        <f ca="1">INDIRECT("'数据-取费表'!ai"&amp;$G$1)</f>
        <v>365</v>
      </c>
      <c r="G8" s="1847"/>
      <c r="H8" s="348"/>
      <c r="I8" s="3292"/>
      <c r="J8" s="350"/>
      <c r="K8" s="351"/>
      <c r="L8" s="346" t="s">
        <v>1403</v>
      </c>
      <c r="M8" s="347">
        <f ca="1">INDIRECT("'数据-取费表'!ai"&amp;$G$1)</f>
        <v>365</v>
      </c>
    </row>
    <row r="9" spans="1:37" ht="18" customHeight="1">
      <c r="A9" s="348"/>
      <c r="B9" s="3293"/>
      <c r="C9" s="350"/>
      <c r="D9" s="351"/>
      <c r="E9" s="346" t="s">
        <v>1404</v>
      </c>
      <c r="F9" s="356">
        <f ca="1">INDIRECT("'数据-取费表'!w"&amp;$G$1)</f>
        <v>0.1</v>
      </c>
      <c r="G9" s="1847"/>
      <c r="H9" s="348"/>
      <c r="I9" s="3293"/>
      <c r="J9" s="350"/>
      <c r="K9" s="351"/>
      <c r="L9" s="357" t="s">
        <v>1404</v>
      </c>
      <c r="M9" s="358">
        <f ca="1">INDIRECT("'数据-取费表'!ab"&amp;$G$1)</f>
        <v>0</v>
      </c>
    </row>
    <row r="10" spans="1:37" ht="18" customHeight="1">
      <c r="A10" s="1288" t="s">
        <v>1036</v>
      </c>
      <c r="B10" s="1819" t="s">
        <v>1405</v>
      </c>
      <c r="C10" s="360">
        <f ca="1">ROUND(IF(F10="押一",C6/12*F11,IF(F10="押二",C6/12*2*F11,IF(F10="押三",C6/12*3*F11,C11*F11))),0)</f>
        <v>0</v>
      </c>
      <c r="D10" s="1820" t="s">
        <v>3028</v>
      </c>
      <c r="E10" s="357" t="s">
        <v>1406</v>
      </c>
      <c r="F10" s="1363"/>
      <c r="G10" s="1847"/>
      <c r="H10" s="1288" t="s">
        <v>1036</v>
      </c>
      <c r="I10" s="1819" t="s">
        <v>1405</v>
      </c>
      <c r="J10" s="345">
        <f ca="1">ROUND(IF(M10="押一",J6/12*M11,IF(M10="押二",J6/12*2*M11,IF(M10="押三",J6/12*3*M11,J11*M11))),0)</f>
        <v>0</v>
      </c>
      <c r="K10" s="1820" t="s">
        <v>3028</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7"/>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11161</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8254</v>
      </c>
      <c r="D14" s="3009" t="s">
        <v>1414</v>
      </c>
      <c r="E14" s="3008"/>
      <c r="F14" s="363"/>
      <c r="G14" s="1847"/>
      <c r="H14" s="1198" t="s">
        <v>1032</v>
      </c>
      <c r="I14" s="346" t="s">
        <v>1415</v>
      </c>
      <c r="J14" s="24">
        <f ca="1">C29</f>
        <v>11161</v>
      </c>
      <c r="K14" s="3005"/>
      <c r="L14" s="976"/>
      <c r="M14" s="977"/>
    </row>
    <row r="15" spans="1:37" s="1854" customFormat="1" ht="18" customHeight="1" thickBot="1">
      <c r="A15" s="1198" t="s">
        <v>1033</v>
      </c>
      <c r="B15" s="346" t="s">
        <v>1416</v>
      </c>
      <c r="C15" s="24">
        <f ca="1">ROUND(C14*F15,0)</f>
        <v>248</v>
      </c>
      <c r="D15" s="364" t="s">
        <v>1417</v>
      </c>
      <c r="E15" s="364" t="s">
        <v>1418</v>
      </c>
      <c r="F15" s="365">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279</v>
      </c>
      <c r="K16" s="1334" t="s">
        <v>1421</v>
      </c>
      <c r="L16" s="3011"/>
      <c r="M16" s="1291"/>
    </row>
    <row r="17" spans="1:37" s="1854" customFormat="1" ht="18" customHeight="1">
      <c r="A17" s="1198" t="s">
        <v>1386</v>
      </c>
      <c r="B17" s="346" t="s">
        <v>1422</v>
      </c>
      <c r="C17" s="24">
        <f ca="1">ROUND(F17*(F43+INDIRECT("'数据-取费表'!S"&amp;$G$1))/10000,0)</f>
        <v>660</v>
      </c>
      <c r="D17" s="346" t="s">
        <v>1423</v>
      </c>
      <c r="E17" s="346" t="s">
        <v>1424</v>
      </c>
      <c r="F17" s="26">
        <f>'数据-取费表'!B35</f>
        <v>200</v>
      </c>
      <c r="G17" s="1850"/>
      <c r="H17" s="1198" t="s">
        <v>1032</v>
      </c>
      <c r="I17" s="346" t="s">
        <v>1425</v>
      </c>
      <c r="J17" s="24">
        <f ca="1">ROUND(IF(项目基本情况!B11="自然人",J5*M17,J18+J19+J20),1)</f>
        <v>111.5</v>
      </c>
      <c r="K17" s="3009" t="s">
        <v>1426</v>
      </c>
      <c r="L17" s="3010"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4">
        <f ca="1">ROUND(C14*F18,0)</f>
        <v>124</v>
      </c>
      <c r="D18" s="346" t="s">
        <v>1417</v>
      </c>
      <c r="E18" s="346" t="s">
        <v>1418</v>
      </c>
      <c r="F18" s="366">
        <f>'数据-取费表'!B36</f>
        <v>1.4999999999999999E-2</v>
      </c>
      <c r="G18" s="1850"/>
      <c r="H18" s="1198" t="s">
        <v>1031</v>
      </c>
      <c r="I18" s="346" t="s">
        <v>1429</v>
      </c>
      <c r="J18" s="24">
        <f ca="1">ROUND(J5*M18/(1+'数据-取费表'!C42),2)</f>
        <v>0</v>
      </c>
      <c r="K18" s="3010"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4">
        <f ca="1">SUM(C14:C18)</f>
        <v>9286</v>
      </c>
      <c r="D19" s="139" t="s">
        <v>1432</v>
      </c>
      <c r="E19" s="3004"/>
      <c r="F19" s="26"/>
      <c r="G19" s="1847"/>
      <c r="H19" s="1198" t="s">
        <v>1033</v>
      </c>
      <c r="I19" s="346" t="s">
        <v>1433</v>
      </c>
      <c r="J19" s="24">
        <f ca="1">IF(K19="按租金收入计税",ROUND(J5*M19,2),ROUND(C29*M19*0.7,2))</f>
        <v>93.75</v>
      </c>
      <c r="K19" s="1824" t="s">
        <v>1434</v>
      </c>
      <c r="L19" s="346" t="s">
        <v>1418</v>
      </c>
      <c r="M19" s="366">
        <f>IF(K19="按租金收入计税",'数据-取费表'!B51,'数据-取费表'!B50)</f>
        <v>1.2E-2</v>
      </c>
    </row>
    <row r="20" spans="1:37" s="1854" customFormat="1" ht="18" customHeight="1">
      <c r="A20" s="1198" t="s">
        <v>1036</v>
      </c>
      <c r="B20" s="346" t="s">
        <v>1435</v>
      </c>
      <c r="C20" s="24">
        <f ca="1">ROUND(C19*F20,0)</f>
        <v>186</v>
      </c>
      <c r="D20" s="368" t="s">
        <v>1436</v>
      </c>
      <c r="E20" s="346" t="s">
        <v>1418</v>
      </c>
      <c r="F20" s="366">
        <f>'数据-取费表'!B37</f>
        <v>0.02</v>
      </c>
      <c r="G20" s="1850"/>
      <c r="H20" s="1198" t="s">
        <v>1385</v>
      </c>
      <c r="I20" s="163" t="s">
        <v>1437</v>
      </c>
      <c r="J20" s="25">
        <f ca="1">ROUND(M20*M21/10000,2)</f>
        <v>17.75</v>
      </c>
      <c r="K20" s="369" t="s">
        <v>1438</v>
      </c>
      <c r="L20" s="346" t="s">
        <v>1439</v>
      </c>
      <c r="M20" s="370">
        <f>'数据-取费表'!B52</f>
        <v>10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4" t="s">
        <v>1</v>
      </c>
      <c r="D21" s="368" t="s">
        <v>1441</v>
      </c>
      <c r="E21" s="346" t="s">
        <v>1442</v>
      </c>
      <c r="F21" s="366">
        <f>'数据-取费表'!B38</f>
        <v>0.03</v>
      </c>
      <c r="G21" s="1850"/>
      <c r="H21" s="371"/>
      <c r="I21" s="355"/>
      <c r="J21" s="29"/>
      <c r="K21" s="372"/>
      <c r="L21" s="346" t="s">
        <v>1443</v>
      </c>
      <c r="M21" s="347">
        <f ca="1">INDIRECT("'数据-取费表'!r"&amp;$G$1)</f>
        <v>17753.710000000003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04"/>
      <c r="F22" s="26"/>
      <c r="G22" s="1847"/>
      <c r="H22" s="1198" t="s">
        <v>1036</v>
      </c>
      <c r="I22" s="346" t="s">
        <v>1445</v>
      </c>
      <c r="J22" s="24">
        <f ca="1">ROUND(J14*M22,1)</f>
        <v>167.4</v>
      </c>
      <c r="K22" s="3010" t="s">
        <v>1446</v>
      </c>
      <c r="L22" s="346" t="s">
        <v>1418</v>
      </c>
      <c r="M22" s="373">
        <f ca="1">INDIRECT("'数据-取费表'!Ak"&amp;$G$1)</f>
        <v>1.4999999999999999E-2</v>
      </c>
    </row>
    <row r="23" spans="1:37" s="1854" customFormat="1" ht="18" customHeight="1">
      <c r="A23" s="1198" t="s">
        <v>1031</v>
      </c>
      <c r="B23" s="346" t="s">
        <v>1447</v>
      </c>
      <c r="C23" s="24">
        <f ca="1">IF('数据-取费表'!B22&lt;=1,ROUND(C19*F24*F23/2,0)+ROUND(C20*F24*F23/2,0),ROUND(C19*(POWER((1+F24),F23/2)-1),0)+ROUND(C20*(POWER((1+F24),F23/2)-1),0))</f>
        <v>450</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4">
        <f ca="1">ROUND(J13*M23,1)</f>
        <v>0</v>
      </c>
      <c r="K23" s="3010" t="s">
        <v>1450</v>
      </c>
      <c r="L23" s="346" t="s">
        <v>1418</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4"/>
      <c r="D25" s="139" t="s">
        <v>1458</v>
      </c>
      <c r="E25" s="3004"/>
      <c r="F25" s="26"/>
      <c r="G25" s="1847"/>
      <c r="H25" s="1326" t="s">
        <v>1028</v>
      </c>
      <c r="I25" s="1341" t="s">
        <v>1459</v>
      </c>
      <c r="J25" s="354">
        <f ca="1">J5-J16</f>
        <v>-279</v>
      </c>
      <c r="K25" s="1342" t="s">
        <v>1460</v>
      </c>
      <c r="L25" s="1343"/>
      <c r="M25" s="1344"/>
    </row>
    <row r="26" spans="1:37">
      <c r="A26" s="1198" t="s">
        <v>1031</v>
      </c>
      <c r="B26" s="346" t="s">
        <v>1461</v>
      </c>
      <c r="C26" s="24">
        <f ca="1">ROUND((C19+C20)*F26,0)</f>
        <v>284</v>
      </c>
      <c r="D26" s="368" t="s">
        <v>1462</v>
      </c>
      <c r="E26" s="357" t="s">
        <v>1463</v>
      </c>
      <c r="F26" s="356">
        <f ca="1">INDIRECT("'数据-取费表'!q"&amp;$G$1)</f>
        <v>0.03</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8.9999999999999998E-4</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11161</v>
      </c>
      <c r="D29" s="1339"/>
      <c r="E29" s="1337"/>
      <c r="F29" s="1340"/>
      <c r="G29" s="1850"/>
      <c r="H29" s="379" t="s">
        <v>1030</v>
      </c>
      <c r="I29" s="380" t="s">
        <v>1475</v>
      </c>
      <c r="J29" s="381">
        <f ca="1">ROUND(J26/(1+F40)^F41,0)</f>
        <v>0</v>
      </c>
      <c r="K29" s="382" t="s">
        <v>1476</v>
      </c>
      <c r="L29" s="383"/>
      <c r="M29" s="384">
        <f ca="1">INDIRECT("'数据-取费表'!k"&amp;$G$1)</f>
        <v>32753.93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320</v>
      </c>
      <c r="D30" s="1334" t="s">
        <v>1421</v>
      </c>
      <c r="E30" s="3011"/>
      <c r="F30" s="1291"/>
      <c r="G30" s="1847"/>
      <c r="H30" s="744"/>
      <c r="I30" s="745"/>
      <c r="J30" s="746"/>
      <c r="K30" s="747"/>
      <c r="L30" s="748"/>
      <c r="M30" s="749"/>
    </row>
    <row r="31" spans="1:37" ht="18" customHeight="1">
      <c r="A31" s="1198" t="s">
        <v>1032</v>
      </c>
      <c r="B31" s="346" t="s">
        <v>1425</v>
      </c>
      <c r="C31" s="24">
        <f ca="1">ROUND(IF(项目基本情况!B11="自然人",C5*F31,C32+C33+C34),1)</f>
        <v>129.69999999999999</v>
      </c>
      <c r="D31" s="3009" t="s">
        <v>1426</v>
      </c>
      <c r="E31" s="3010" t="s">
        <v>1477</v>
      </c>
      <c r="F31" s="367"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6" t="s">
        <v>1429</v>
      </c>
      <c r="C32" s="24">
        <f ca="1">IF(项目基本情况!B11="自然人","——",ROUND(C5*F32/(1+'数据-取费表'!C42),2))</f>
        <v>34.450000000000003</v>
      </c>
      <c r="D32" s="3010" t="s">
        <v>1430</v>
      </c>
      <c r="E32" s="346" t="s">
        <v>1418</v>
      </c>
      <c r="F32" s="376">
        <f>'数据-取费表'!B41</f>
        <v>5.6000000000000001E-2</v>
      </c>
      <c r="G32" s="1847"/>
      <c r="H32" s="744"/>
      <c r="I32" s="745"/>
      <c r="J32" s="746"/>
      <c r="K32" s="747"/>
      <c r="L32" s="748"/>
      <c r="M32" s="749"/>
    </row>
    <row r="33" spans="1:18" ht="18" customHeight="1">
      <c r="A33" s="1198" t="s">
        <v>1033</v>
      </c>
      <c r="B33" s="346" t="s">
        <v>1433</v>
      </c>
      <c r="C33" s="24">
        <f ca="1">IF(项目基本情况!B11="自然人","——",IF(D33="按租金收入计税",ROUND(C5*F33,2),IF(D33="按房产原值计税",ROUND(C29*F33*0.7,2),INDIRECT("'数据-取费表'!Aj"&amp;$G$1))))</f>
        <v>77.52</v>
      </c>
      <c r="D33" s="1824" t="s">
        <v>3050</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5">
        <f ca="1">IF(项目基本情况!B11="自然人","——",ROUND(F34*F35/10000,2))</f>
        <v>17.75</v>
      </c>
      <c r="D34" s="369" t="s">
        <v>1438</v>
      </c>
      <c r="E34" s="346" t="s">
        <v>1439</v>
      </c>
      <c r="F34" s="370">
        <f>'数据-取费表'!B52</f>
        <v>10</v>
      </c>
      <c r="G34" s="1847"/>
      <c r="H34" s="744"/>
      <c r="I34" s="1856"/>
      <c r="J34" s="1857"/>
      <c r="K34" s="1859"/>
      <c r="L34" s="1860"/>
      <c r="M34" s="1860"/>
    </row>
    <row r="35" spans="1:18" ht="18" customHeight="1">
      <c r="A35" s="1350"/>
      <c r="B35" s="1348"/>
      <c r="C35" s="29"/>
      <c r="D35" s="372"/>
      <c r="E35" s="346" t="s">
        <v>1443</v>
      </c>
      <c r="F35" s="347">
        <f ca="1">INDIRECT("'数据-取费表'!r"&amp;$G$1)</f>
        <v>17753.710000000003</v>
      </c>
      <c r="G35" s="1847"/>
      <c r="H35" s="744"/>
      <c r="I35" s="1856"/>
      <c r="J35" s="1857"/>
      <c r="K35" s="1858"/>
      <c r="L35" s="1855"/>
      <c r="M35" s="1855"/>
    </row>
    <row r="36" spans="1:18" ht="18" customHeight="1">
      <c r="A36" s="1349" t="s">
        <v>1036</v>
      </c>
      <c r="B36" s="346" t="s">
        <v>1445</v>
      </c>
      <c r="C36" s="24">
        <f ca="1">ROUND(C29*F36,1)</f>
        <v>167.4</v>
      </c>
      <c r="D36" s="3010" t="s">
        <v>1478</v>
      </c>
      <c r="E36" s="346" t="s">
        <v>1418</v>
      </c>
      <c r="F36" s="373">
        <f ca="1">INDIRECT("'数据-取费表'!Ak"&amp;$G$1)</f>
        <v>1.4999999999999999E-2</v>
      </c>
      <c r="G36" s="1847"/>
      <c r="H36" s="1855"/>
      <c r="I36" s="1856"/>
      <c r="J36" s="1857"/>
      <c r="K36" s="750"/>
      <c r="L36" s="1855"/>
      <c r="M36" s="1855"/>
    </row>
    <row r="37" spans="1:18" ht="18" customHeight="1">
      <c r="A37" s="1198" t="s">
        <v>1072</v>
      </c>
      <c r="B37" s="346" t="s">
        <v>1449</v>
      </c>
      <c r="C37" s="24">
        <f ca="1">ROUND(C13*F37,1)</f>
        <v>16.7</v>
      </c>
      <c r="D37" s="3010" t="s">
        <v>1450</v>
      </c>
      <c r="E37" s="346" t="s">
        <v>1418</v>
      </c>
      <c r="F37" s="375">
        <f ca="1">INDIRECT("'数据-取费表'!Al"&amp;$G$1)</f>
        <v>1.5E-3</v>
      </c>
      <c r="G37" s="1847"/>
      <c r="H37" s="1855"/>
      <c r="I37" s="1856"/>
      <c r="J37" s="1857"/>
      <c r="K37" s="750"/>
      <c r="L37" s="1855"/>
      <c r="M37" s="1855"/>
    </row>
    <row r="38" spans="1:18" ht="18" customHeight="1" thickBot="1">
      <c r="A38" s="1336" t="s">
        <v>1388</v>
      </c>
      <c r="B38" s="1337" t="s">
        <v>1435</v>
      </c>
      <c r="C38" s="1338">
        <f ca="1">ROUND(C5*F38,1)</f>
        <v>6.5</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4">
        <f ca="1">C5-C30</f>
        <v>326</v>
      </c>
      <c r="D39" s="1342" t="s">
        <v>1460</v>
      </c>
      <c r="E39" s="1343"/>
      <c r="F39" s="1344"/>
      <c r="G39" s="1847"/>
      <c r="H39" s="1855"/>
      <c r="I39" s="1856"/>
      <c r="J39" s="1857"/>
      <c r="K39" s="1861"/>
      <c r="L39" s="1855"/>
      <c r="M39" s="1855"/>
    </row>
    <row r="40" spans="1:18" ht="18" customHeight="1">
      <c r="A40" s="343" t="s">
        <v>1029</v>
      </c>
      <c r="B40" s="344" t="s">
        <v>1481</v>
      </c>
      <c r="C40" s="345">
        <f ca="1">ROUND(C39*(1-((1+F42)/(1+F40))^F41)/(F40-F42),0)</f>
        <v>7782</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37.869999999999997</v>
      </c>
      <c r="G41" s="1847"/>
      <c r="H41" s="731"/>
      <c r="I41" s="1856"/>
      <c r="J41" s="1857"/>
      <c r="K41" s="750"/>
      <c r="L41" s="731"/>
      <c r="M41" s="731"/>
    </row>
    <row r="42" spans="1:18" ht="18" customHeight="1">
      <c r="A42" s="352"/>
      <c r="B42" s="353"/>
      <c r="C42" s="354"/>
      <c r="D42" s="372"/>
      <c r="E42" s="346" t="s">
        <v>1473</v>
      </c>
      <c r="F42" s="356">
        <f ca="1">INDIRECT("'数据-取费表'!v"&amp;$G$1)</f>
        <v>0.03</v>
      </c>
      <c r="G42" s="1847"/>
      <c r="H42" s="731"/>
      <c r="I42" s="1856"/>
      <c r="J42" s="1857"/>
      <c r="K42" s="750"/>
      <c r="L42" s="731"/>
      <c r="M42" s="731"/>
    </row>
    <row r="43" spans="1:18" ht="18" customHeight="1" thickBot="1">
      <c r="A43" s="379" t="s">
        <v>1030</v>
      </c>
      <c r="B43" s="380" t="s">
        <v>1483</v>
      </c>
      <c r="C43" s="381">
        <f ca="1">ROUND(C40*10000/F43,0)</f>
        <v>2376</v>
      </c>
      <c r="D43" s="382" t="s">
        <v>1484</v>
      </c>
      <c r="E43" s="383" t="s">
        <v>1485</v>
      </c>
      <c r="F43" s="384">
        <f ca="1">INDIRECT("'数据-取费表'!k"&amp;$G$1)</f>
        <v>32753.93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5" thickBot="1">
      <c r="A46" s="1866" t="s">
        <v>1516</v>
      </c>
      <c r="C46" s="1867">
        <f ca="1">C68-C40</f>
        <v>-25765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1"/>
      <c r="I47" s="1876" t="s">
        <v>1522</v>
      </c>
      <c r="J47" s="1877" t="s">
        <v>3051</v>
      </c>
      <c r="K47" s="1878" t="s">
        <v>1523</v>
      </c>
      <c r="L47" s="1879">
        <f ca="1">INDIRECT("'数据-取费表'!d"&amp;$G$1)</f>
        <v>40</v>
      </c>
      <c r="M47" s="1834" t="str">
        <f>IF(ISNUMBER(FIND("住宅",C1)),"住宅","非住宅")</f>
        <v>非住宅</v>
      </c>
      <c r="O47" s="1880" t="s">
        <v>1037</v>
      </c>
      <c r="P47" s="1881" t="s">
        <v>1524</v>
      </c>
      <c r="Q47" s="1882">
        <f ca="1">C40+J29</f>
        <v>7782</v>
      </c>
      <c r="R47" s="1882" t="s">
        <v>1525</v>
      </c>
    </row>
    <row r="48" spans="1:18" s="1838" customFormat="1" ht="28.5" thickBot="1">
      <c r="A48" s="1357" t="s">
        <v>1132</v>
      </c>
      <c r="B48" s="344" t="s">
        <v>1397</v>
      </c>
      <c r="C48" s="3003">
        <f ca="1">C49+C53+C55</f>
        <v>0</v>
      </c>
      <c r="D48" s="1359"/>
      <c r="E48" s="1360"/>
      <c r="F48" s="1178"/>
      <c r="G48" s="791"/>
      <c r="H48" s="792"/>
      <c r="I48" s="1883" t="s">
        <v>1526</v>
      </c>
      <c r="J48" s="1884" t="s">
        <v>3052</v>
      </c>
      <c r="K48" s="1885" t="s">
        <v>1527</v>
      </c>
      <c r="L48" s="1886">
        <f ca="1">INDIRECT("'数据-取费表'!f"&amp;$G$1)</f>
        <v>37.97</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3019</v>
      </c>
      <c r="E49" s="1826" t="s">
        <v>1487</v>
      </c>
      <c r="F49" s="1278"/>
      <c r="G49" s="1887"/>
      <c r="H49" s="792"/>
      <c r="I49" s="1883" t="s">
        <v>1530</v>
      </c>
      <c r="J49" s="1888">
        <v>2018</v>
      </c>
      <c r="K49" s="1885" t="s">
        <v>1531</v>
      </c>
      <c r="L49" s="1889"/>
      <c r="O49" s="1890" t="s">
        <v>1039</v>
      </c>
      <c r="P49" s="1881" t="s">
        <v>1532</v>
      </c>
      <c r="Q49" s="1882">
        <f ca="1">C29</f>
        <v>11161</v>
      </c>
      <c r="R49" s="1882" t="s">
        <v>1525</v>
      </c>
    </row>
    <row r="50" spans="1:18" s="1838" customFormat="1" ht="13.5" thickBot="1">
      <c r="A50" s="1192"/>
      <c r="B50" s="1195"/>
      <c r="C50" s="1365"/>
      <c r="D50" s="1169"/>
      <c r="E50" s="1274" t="s">
        <v>1402</v>
      </c>
      <c r="F50" s="1275">
        <f ca="1">F7</f>
        <v>32753.93</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365</v>
      </c>
      <c r="I51" s="1894" t="s">
        <v>1536</v>
      </c>
      <c r="J51" s="1895">
        <f>IF(J49="",J50,J49+J50-YEAR('数据-取费表'!B2))</f>
        <v>59</v>
      </c>
      <c r="K51" s="1896" t="s">
        <v>1537</v>
      </c>
      <c r="L51" s="1897">
        <f ca="1">ROUND(-PV(INDIRECT("'数据-取费表'!h"&amp;$G$1),L48,(C39-C13*C76),0),0)</f>
        <v>-10501</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37.869999999999997</v>
      </c>
      <c r="R52" s="1882" t="s">
        <v>1542</v>
      </c>
    </row>
    <row r="53" spans="1:18" s="1838" customFormat="1" ht="24.75" thickBot="1">
      <c r="A53" s="1402" t="s">
        <v>1134</v>
      </c>
      <c r="B53" s="1827" t="s">
        <v>1405</v>
      </c>
      <c r="C53" s="360">
        <f ca="1">ROUND(IF(F53="押一",C49/12*F11,IF(F53="押二",C49/12*2*F11,IF(F53="押三",C49/12*3*F11,C54*F11))),0)</f>
        <v>0</v>
      </c>
      <c r="D53" s="1820" t="s">
        <v>3028</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37.869999999999997</v>
      </c>
      <c r="K53" s="3289" t="s">
        <v>1544</v>
      </c>
      <c r="L53" s="3290"/>
      <c r="O53" s="1880" t="s">
        <v>1043</v>
      </c>
      <c r="P53" s="1881" t="s">
        <v>1545</v>
      </c>
      <c r="Q53" s="1882">
        <f ca="1">Q47+Q48</f>
        <v>7782</v>
      </c>
      <c r="R53" s="1882" t="s">
        <v>1044</v>
      </c>
    </row>
    <row r="54" spans="1:18" s="1838" customFormat="1" ht="13.5" thickBot="1">
      <c r="A54" s="1403"/>
      <c r="B54" s="1821" t="s">
        <v>1384</v>
      </c>
      <c r="C54" s="1175"/>
      <c r="D54" s="1820"/>
      <c r="E54" s="300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3007"/>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11161</v>
      </c>
      <c r="D56" s="1910"/>
      <c r="E56" s="1911"/>
      <c r="F56" s="1903"/>
      <c r="I56" s="1912" t="s">
        <v>1550</v>
      </c>
      <c r="J56" s="1913" t="s">
        <v>3144</v>
      </c>
      <c r="K56" s="1883" t="s">
        <v>1551</v>
      </c>
      <c r="L56" s="1886" t="str">
        <f ca="1">IF(L48&lt;J51,"——",L48-J53)</f>
        <v>——</v>
      </c>
      <c r="O56" s="1880" t="s">
        <v>1037</v>
      </c>
      <c r="P56" s="1881" t="s">
        <v>1524</v>
      </c>
      <c r="Q56" s="1882">
        <f ca="1">C40+J29</f>
        <v>7782</v>
      </c>
      <c r="R56" s="1882" t="s">
        <v>1525</v>
      </c>
    </row>
    <row r="57" spans="1:18" s="1838" customFormat="1" ht="24.75" thickBot="1">
      <c r="A57" s="1914"/>
      <c r="B57" s="1166" t="s">
        <v>1474</v>
      </c>
      <c r="C57" s="281">
        <f ca="1">C29</f>
        <v>11161</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1139</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955.3</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1433</v>
      </c>
      <c r="C61" s="24">
        <f ca="1">IF(项目基本情况!B11="自然人","——",IF(D61="按租金收入计税",ROUND(C48*F61,2),IF(D61="按房产原值计税",ROUND(C57*F61*0.7,2),INDIRECT("'数据-取费表'!Aj"&amp;$G$1))))</f>
        <v>937.52</v>
      </c>
      <c r="D61" s="1824" t="s">
        <v>1434</v>
      </c>
      <c r="E61" s="1166" t="s">
        <v>1418</v>
      </c>
      <c r="F61" s="366">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8" t="s">
        <v>1491</v>
      </c>
      <c r="B62" s="1165" t="s">
        <v>1437</v>
      </c>
      <c r="C62" s="25">
        <f ca="1">IF(项目基本情况!B11="自然人","——",ROUND(F62*F63/10000,2))</f>
        <v>17.75</v>
      </c>
      <c r="D62" s="1181" t="s">
        <v>1438</v>
      </c>
      <c r="E62" s="1166" t="s">
        <v>1439</v>
      </c>
      <c r="F62" s="370">
        <f t="shared" si="0"/>
        <v>10</v>
      </c>
      <c r="I62" s="1925" t="s">
        <v>1566</v>
      </c>
      <c r="J62" s="1926" t="s">
        <v>1567</v>
      </c>
      <c r="K62" s="1926" t="s">
        <v>1568</v>
      </c>
      <c r="L62" s="1926" t="s">
        <v>1569</v>
      </c>
      <c r="M62" s="1927" t="s">
        <v>1570</v>
      </c>
      <c r="O62" s="1880" t="s">
        <v>1043</v>
      </c>
      <c r="P62" s="1881" t="s">
        <v>1545</v>
      </c>
      <c r="Q62" s="1882">
        <f ca="1">Q56+Q57</f>
        <v>7782</v>
      </c>
      <c r="R62" s="1882" t="s">
        <v>1044</v>
      </c>
    </row>
    <row r="63" spans="1:18" s="1838" customFormat="1" ht="13.5" thickBot="1">
      <c r="A63" s="371"/>
      <c r="B63" s="1172"/>
      <c r="C63" s="29"/>
      <c r="D63" s="1182"/>
      <c r="E63" s="1166" t="s">
        <v>1443</v>
      </c>
      <c r="F63" s="347">
        <f t="shared" ca="1" si="0"/>
        <v>17753.710000000003</v>
      </c>
      <c r="I63" s="1925" t="s">
        <v>1572</v>
      </c>
      <c r="J63" s="1926">
        <v>70</v>
      </c>
      <c r="K63" s="1926">
        <v>50</v>
      </c>
      <c r="L63" s="1926">
        <v>80</v>
      </c>
      <c r="M63" s="1928">
        <v>0.02</v>
      </c>
      <c r="O63" s="1865" t="s">
        <v>1573</v>
      </c>
      <c r="P63" s="1835"/>
      <c r="Q63" s="1835"/>
      <c r="R63" s="1835"/>
    </row>
    <row r="64" spans="1:18" s="1838" customFormat="1" ht="13.5" thickBot="1">
      <c r="A64" s="1198" t="s">
        <v>1036</v>
      </c>
      <c r="B64" s="1166" t="s">
        <v>1445</v>
      </c>
      <c r="C64" s="24">
        <f ca="1">ROUND(C57*F64,1)</f>
        <v>167.4</v>
      </c>
      <c r="D64" s="1180" t="s">
        <v>1478</v>
      </c>
      <c r="E64" s="1166" t="s">
        <v>1418</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16.7</v>
      </c>
      <c r="D65" s="1180" t="s">
        <v>1450</v>
      </c>
      <c r="E65" s="1166" t="s">
        <v>1418</v>
      </c>
      <c r="F65" s="375">
        <f t="shared" ca="1" si="0"/>
        <v>1.5E-3</v>
      </c>
      <c r="I65" s="1925" t="s">
        <v>1575</v>
      </c>
      <c r="J65" s="1926">
        <v>40</v>
      </c>
      <c r="K65" s="1926">
        <v>30</v>
      </c>
      <c r="L65" s="1926">
        <v>50</v>
      </c>
      <c r="M65" s="1928">
        <v>0.02</v>
      </c>
      <c r="O65" s="1880" t="s">
        <v>1037</v>
      </c>
      <c r="P65" s="1881" t="s">
        <v>1524</v>
      </c>
      <c r="Q65" s="1882">
        <f ca="1">C40+J29</f>
        <v>7782</v>
      </c>
      <c r="R65" s="1882" t="s">
        <v>1525</v>
      </c>
    </row>
    <row r="66" spans="1:18" s="1838" customFormat="1" ht="16.5" thickBot="1">
      <c r="A66" s="1198" t="s">
        <v>1500</v>
      </c>
      <c r="B66" s="1166" t="s">
        <v>1435</v>
      </c>
      <c r="C66" s="24">
        <f ca="1">ROUND(C48*F66,1)</f>
        <v>0</v>
      </c>
      <c r="D66" s="1180" t="s">
        <v>1455</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-1139</v>
      </c>
      <c r="D67" s="1179" t="s">
        <v>1460</v>
      </c>
      <c r="E67" s="1184"/>
      <c r="F67" s="1185"/>
      <c r="O67" s="1890" t="s">
        <v>1039</v>
      </c>
      <c r="P67" s="1881" t="s">
        <v>1558</v>
      </c>
      <c r="Q67" s="1929">
        <f ca="1">L51</f>
        <v>-10501</v>
      </c>
      <c r="R67" s="1882" t="s">
        <v>1578</v>
      </c>
    </row>
    <row r="68" spans="1:18" s="1838" customFormat="1" ht="16.5" thickBot="1">
      <c r="A68" s="1163" t="s">
        <v>1029</v>
      </c>
      <c r="B68" s="1164" t="s">
        <v>1481</v>
      </c>
      <c r="C68" s="345">
        <f ca="1">ROUND(C67*(1-((1+F70)/(1+F68))^F69)/(F68-F70),0)</f>
        <v>-17983</v>
      </c>
      <c r="D68" s="1181" t="s">
        <v>1465</v>
      </c>
      <c r="E68" s="1166" t="s">
        <v>1466</v>
      </c>
      <c r="F68" s="356">
        <f ca="1">F40</f>
        <v>5.5E-2</v>
      </c>
      <c r="O68" s="1890" t="s">
        <v>1040</v>
      </c>
      <c r="P68" s="1930" t="s">
        <v>1579</v>
      </c>
      <c r="Q68" s="1882">
        <f ca="1">ROUND(Q69-Q70*Q71,0)</f>
        <v>-623</v>
      </c>
      <c r="R68" s="1882" t="s">
        <v>1048</v>
      </c>
    </row>
    <row r="69" spans="1:18" s="1838" customFormat="1" ht="13.5" thickBot="1">
      <c r="A69" s="1167"/>
      <c r="B69" s="1168"/>
      <c r="C69" s="350"/>
      <c r="D69" s="1186" t="s">
        <v>1469</v>
      </c>
      <c r="E69" s="1166" t="s">
        <v>1470</v>
      </c>
      <c r="F69" s="378">
        <f ca="1">F41</f>
        <v>37.869999999999997</v>
      </c>
      <c r="O69" s="1890" t="s">
        <v>1045</v>
      </c>
      <c r="P69" s="1930" t="s">
        <v>1580</v>
      </c>
      <c r="Q69" s="1882">
        <f ca="1">C39</f>
        <v>326</v>
      </c>
      <c r="R69" s="1882" t="s">
        <v>1525</v>
      </c>
    </row>
    <row r="70" spans="1:18" s="1838" customFormat="1" ht="13.5" thickBot="1">
      <c r="A70" s="1170"/>
      <c r="B70" s="1171"/>
      <c r="C70" s="354"/>
      <c r="D70" s="1182"/>
      <c r="E70" s="1166" t="s">
        <v>1473</v>
      </c>
      <c r="F70" s="1272"/>
      <c r="O70" s="1890" t="s">
        <v>1046</v>
      </c>
      <c r="P70" s="1930" t="s">
        <v>1581</v>
      </c>
      <c r="Q70" s="1882">
        <f ca="1">C13</f>
        <v>11161</v>
      </c>
      <c r="R70" s="1882" t="s">
        <v>1525</v>
      </c>
    </row>
    <row r="71" spans="1:18" s="1838" customFormat="1" ht="13.5" thickBot="1">
      <c r="A71" s="1187" t="s">
        <v>1030</v>
      </c>
      <c r="B71" s="1188" t="s">
        <v>1483</v>
      </c>
      <c r="C71" s="381">
        <f ca="1">ROUND(C68*10000/F71,0)</f>
        <v>-5490</v>
      </c>
      <c r="D71" s="1189" t="s">
        <v>1484</v>
      </c>
      <c r="E71" s="1190" t="s">
        <v>1485</v>
      </c>
      <c r="F71" s="384">
        <f ca="1">F43</f>
        <v>32753.93</v>
      </c>
      <c r="O71" s="1890" t="s">
        <v>1047</v>
      </c>
      <c r="P71" s="1930" t="s">
        <v>1582</v>
      </c>
      <c r="Q71" s="1893">
        <f ca="1">C76</f>
        <v>8.5000000000000006E-2</v>
      </c>
      <c r="R71" s="1882"/>
    </row>
    <row r="72" spans="1:18" s="1838" customFormat="1" ht="13.5" thickBot="1">
      <c r="B72" s="795"/>
      <c r="C72" s="795"/>
      <c r="O72" s="1890" t="s">
        <v>1041</v>
      </c>
      <c r="P72" s="1881" t="s">
        <v>1560</v>
      </c>
      <c r="Q72" s="1893">
        <f>L52</f>
        <v>0</v>
      </c>
      <c r="R72" s="1882"/>
    </row>
    <row r="73" spans="1:18" ht="16.5" thickBot="1">
      <c r="A73" s="1838"/>
      <c r="B73" s="795"/>
      <c r="C73" s="795"/>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5" t="s">
        <v>1502</v>
      </c>
      <c r="C75" s="386">
        <f ca="1">ROUND(C13*C76,0)</f>
        <v>949</v>
      </c>
      <c r="D75" s="1838"/>
      <c r="E75" s="1838"/>
      <c r="F75" s="1838"/>
      <c r="K75" s="1864"/>
      <c r="L75" s="1838"/>
      <c r="O75" s="1880" t="s">
        <v>1043</v>
      </c>
      <c r="P75" s="1881" t="s">
        <v>1545</v>
      </c>
      <c r="Q75" s="1882">
        <f ca="1">Q65+Q66</f>
        <v>7782</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-1.911</v>
      </c>
    </row>
    <row r="80" spans="1:18">
      <c r="B80" s="385" t="s">
        <v>1507</v>
      </c>
      <c r="C80" s="317">
        <f ca="1">ROUND(C75/C39,3)</f>
        <v>2.911</v>
      </c>
    </row>
    <row r="81" spans="2:3">
      <c r="B81" s="313" t="s">
        <v>1508</v>
      </c>
      <c r="C81" s="281"/>
    </row>
    <row r="82" spans="2:3">
      <c r="B82" s="316" t="s">
        <v>1509</v>
      </c>
      <c r="C82" s="318">
        <f ca="1">1-C83</f>
        <v>-0.43399999999999994</v>
      </c>
    </row>
    <row r="83" spans="2:3">
      <c r="B83" s="316" t="s">
        <v>1510</v>
      </c>
      <c r="C83" s="317">
        <f ca="1">ROUND(C13/C40,3)</f>
        <v>1.4339999999999999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M21" sqref="M21"/>
    </sheetView>
  </sheetViews>
  <sheetFormatPr defaultRowHeight="13.5"/>
  <cols>
    <col min="1" max="5" width="9" style="3013"/>
  </cols>
  <sheetData>
    <row r="1" spans="1:5" ht="15.75" customHeight="1">
      <c r="A1" s="3382" t="s">
        <v>3318</v>
      </c>
      <c r="B1" s="3382"/>
      <c r="C1" s="3382"/>
      <c r="D1" s="3382"/>
      <c r="E1" s="3382"/>
    </row>
    <row r="2" spans="1:5">
      <c r="A2" s="3012"/>
      <c r="B2" s="3382" t="s">
        <v>3322</v>
      </c>
      <c r="C2" s="3382"/>
      <c r="D2" s="3382" t="s">
        <v>3323</v>
      </c>
      <c r="E2" s="3382"/>
    </row>
    <row r="3" spans="1:5">
      <c r="A3" s="3012" t="s">
        <v>3319</v>
      </c>
      <c r="B3" s="3012" t="s">
        <v>3320</v>
      </c>
      <c r="C3" s="3012" t="s">
        <v>3321</v>
      </c>
      <c r="D3" s="3012" t="s">
        <v>3320</v>
      </c>
      <c r="E3" s="3012" t="s">
        <v>3321</v>
      </c>
    </row>
    <row r="4" spans="1:5">
      <c r="A4" s="3012">
        <v>2017.4</v>
      </c>
      <c r="B4" s="3012">
        <v>9636</v>
      </c>
      <c r="C4" s="3012">
        <v>1.17</v>
      </c>
      <c r="D4" s="3012">
        <v>3820</v>
      </c>
      <c r="E4" s="3012">
        <v>2.14</v>
      </c>
    </row>
    <row r="5" spans="1:5">
      <c r="A5" s="3012">
        <v>2018.1</v>
      </c>
      <c r="B5" s="3012">
        <v>9701</v>
      </c>
      <c r="C5" s="3012">
        <v>0.67</v>
      </c>
      <c r="D5" s="3012">
        <v>3850</v>
      </c>
      <c r="E5" s="3012">
        <v>0.79</v>
      </c>
    </row>
    <row r="6" spans="1:5">
      <c r="A6" s="3012">
        <v>2018.2</v>
      </c>
      <c r="B6" s="3012">
        <v>9793</v>
      </c>
      <c r="C6" s="3012">
        <v>0.95</v>
      </c>
      <c r="D6" s="3012">
        <v>3906</v>
      </c>
      <c r="E6" s="3012">
        <v>1.45</v>
      </c>
    </row>
    <row r="7" spans="1:5">
      <c r="A7" s="3012">
        <v>2018.3</v>
      </c>
      <c r="B7" s="3012">
        <v>9899</v>
      </c>
      <c r="C7" s="3012">
        <v>1.08</v>
      </c>
      <c r="D7" s="3012">
        <v>3972</v>
      </c>
      <c r="E7" s="3012">
        <v>1.69</v>
      </c>
    </row>
    <row r="8" spans="1:5">
      <c r="A8" s="3012">
        <v>2018.4</v>
      </c>
      <c r="B8" s="3012">
        <v>10009</v>
      </c>
      <c r="C8" s="3012">
        <v>1.1100000000000001</v>
      </c>
      <c r="D8" s="3012">
        <v>4046</v>
      </c>
      <c r="E8" s="3012">
        <v>1.86</v>
      </c>
    </row>
  </sheetData>
  <mergeCells count="3">
    <mergeCell ref="A1:E1"/>
    <mergeCell ref="D2:E2"/>
    <mergeCell ref="B2:C2"/>
  </mergeCells>
  <phoneticPr fontId="14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9" t="s">
        <v>1658</v>
      </c>
      <c r="B1" s="3059"/>
      <c r="C1" s="3059"/>
      <c r="D1" s="3059"/>
    </row>
    <row r="2" spans="1:4" ht="18">
      <c r="A2" s="3060" t="s">
        <v>1642</v>
      </c>
      <c r="B2" s="3060"/>
      <c r="C2" s="3060"/>
      <c r="D2" s="3060"/>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王鹏</v>
      </c>
      <c r="B5" s="1975">
        <f ca="1">项目基本情况!E4</f>
        <v>1120050019</v>
      </c>
      <c r="C5" s="1978"/>
      <c r="D5" s="1977" t="s">
        <v>1647</v>
      </c>
    </row>
    <row r="6" spans="1:4" ht="18">
      <c r="A6" s="3060" t="s">
        <v>1648</v>
      </c>
      <c r="B6" s="3060"/>
      <c r="C6" s="3060"/>
      <c r="D6" s="3060"/>
    </row>
    <row r="7" spans="1:4" ht="18.75">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8.75">
      <c r="A10" s="1980" t="s">
        <v>1650</v>
      </c>
      <c r="B10" s="727"/>
      <c r="C10" s="727"/>
      <c r="D10" s="727"/>
    </row>
    <row r="11" spans="1:4" ht="30" customHeight="1">
      <c r="A11" s="3061" t="s">
        <v>1651</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3" t="str">
        <f>IF(项目基本情况!B8="抵押","4.本次评估估价师所知悉的法定优先受偿款情况说明如下：","——")</f>
        <v>4.本次评估估价师所知悉的法定优先受偿款情况说明如下：</v>
      </c>
      <c r="B14" s="3058"/>
      <c r="C14" s="3058"/>
      <c r="D14" s="3058"/>
    </row>
    <row r="15" spans="1:4" ht="42" customHeight="1">
      <c r="A15" s="305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3"/>
      <c r="C15" s="3053"/>
      <c r="D15" s="3053"/>
    </row>
    <row r="16" spans="1:4" ht="30" customHeight="1">
      <c r="A16" s="3055" t="s">
        <v>1652</v>
      </c>
      <c r="B16" s="3055"/>
      <c r="C16" s="3055"/>
      <c r="D16" s="3055"/>
    </row>
    <row r="17" spans="1:4" ht="144" customHeight="1">
      <c r="A17" s="3055" t="s">
        <v>1653</v>
      </c>
      <c r="B17" s="3055"/>
      <c r="C17" s="3055"/>
      <c r="D17" s="3055"/>
    </row>
    <row r="18" spans="1:4" ht="15.75" customHeight="1">
      <c r="A18" s="3053" t="str">
        <f>IF(项目基本情况!B8="抵押",结果表!K120,"——")</f>
        <v>故，本次评估不存在</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3"/>
      <c r="C20" s="3053"/>
      <c r="D20" s="3053"/>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6"/>
      <c r="C21" s="3056"/>
      <c r="D21" s="3056"/>
    </row>
    <row r="22" spans="1:4" ht="18.75" customHeight="1">
      <c r="A22" s="3057" t="s">
        <v>1654</v>
      </c>
      <c r="B22" s="3057"/>
      <c r="C22" s="3057"/>
      <c r="D22" s="3057"/>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54">
        <v>42551</v>
      </c>
      <c r="D31" s="30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67" t="s">
        <v>1665</v>
      </c>
      <c r="B15" s="3062" t="s">
        <v>136</v>
      </c>
      <c r="C15" s="3063"/>
    </row>
    <row r="16" spans="1:7" ht="13.5">
      <c r="A16" s="3068"/>
      <c r="B16" s="3062" t="s">
        <v>69</v>
      </c>
      <c r="C16" s="3063"/>
    </row>
    <row r="17" spans="1:3" ht="13.5">
      <c r="A17" s="3068"/>
      <c r="B17" s="3065" t="s">
        <v>1666</v>
      </c>
      <c r="C17" s="1996" t="s">
        <v>1665</v>
      </c>
    </row>
    <row r="18" spans="1:3" ht="13.5">
      <c r="A18" s="3068"/>
      <c r="B18" s="3065"/>
      <c r="C18" s="1996" t="s">
        <v>1667</v>
      </c>
    </row>
    <row r="19" spans="1:3" ht="13.5">
      <c r="A19" s="3068"/>
      <c r="B19" s="3065"/>
      <c r="C19" s="1996" t="s">
        <v>1668</v>
      </c>
    </row>
    <row r="20" spans="1:3" ht="13.5">
      <c r="A20" s="3069"/>
      <c r="B20" s="3064" t="s">
        <v>1669</v>
      </c>
      <c r="C20" s="3063"/>
    </row>
    <row r="21" spans="1:3" ht="13.5">
      <c r="A21" s="1997" t="s">
        <v>1670</v>
      </c>
      <c r="B21" s="1998"/>
      <c r="C21" s="1999"/>
    </row>
    <row r="22" spans="1:3" ht="13.5">
      <c r="A22" s="3066" t="s">
        <v>1671</v>
      </c>
      <c r="B22" s="3064" t="s">
        <v>1672</v>
      </c>
      <c r="C22" s="3063"/>
    </row>
    <row r="23" spans="1:3" ht="13.5">
      <c r="A23" s="3066"/>
      <c r="B23" s="3064" t="s">
        <v>1673</v>
      </c>
      <c r="C23" s="3063"/>
    </row>
    <row r="24" spans="1:3" ht="13.5">
      <c r="A24" s="3066"/>
      <c r="B24" s="3064" t="s">
        <v>1674</v>
      </c>
      <c r="C24" s="3063"/>
    </row>
    <row r="25" spans="1:3" ht="13.5">
      <c r="A25" s="3066"/>
      <c r="B25" s="3065" t="s">
        <v>1675</v>
      </c>
      <c r="C25" s="1996" t="s">
        <v>1676</v>
      </c>
    </row>
    <row r="26" spans="1:3" ht="13.5">
      <c r="A26" s="3066"/>
      <c r="B26" s="3065"/>
      <c r="C26" s="1996" t="s">
        <v>1677</v>
      </c>
    </row>
    <row r="27" spans="1:3" ht="13.5">
      <c r="A27" s="3066"/>
      <c r="B27" s="3065"/>
      <c r="C27" s="1996" t="s">
        <v>1678</v>
      </c>
    </row>
    <row r="28" spans="1:3" ht="13.5">
      <c r="A28" s="3066"/>
      <c r="B28" s="3065"/>
      <c r="C28" s="1996" t="s">
        <v>1679</v>
      </c>
    </row>
    <row r="29" spans="1:3" ht="13.5">
      <c r="A29" s="3066"/>
      <c r="B29" s="3065"/>
      <c r="C29" s="1996" t="s">
        <v>1680</v>
      </c>
    </row>
    <row r="30" spans="1:3" ht="13.5">
      <c r="A30" s="3066"/>
      <c r="B30" s="3065"/>
      <c r="C30" s="1996" t="s">
        <v>1681</v>
      </c>
    </row>
    <row r="31" spans="1:3" ht="13.5">
      <c r="A31" s="3066"/>
      <c r="B31" s="3065"/>
      <c r="C31" s="1996" t="s">
        <v>1682</v>
      </c>
    </row>
    <row r="32" spans="1:3" ht="13.5">
      <c r="A32" s="3066"/>
      <c r="B32" s="3065"/>
      <c r="C32" s="1996" t="s">
        <v>1683</v>
      </c>
    </row>
    <row r="33" spans="1:3" ht="13.5">
      <c r="A33" s="3066"/>
      <c r="B33" s="3065"/>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43531</v>
      </c>
      <c r="C2" s="1016" t="s">
        <v>826</v>
      </c>
      <c r="D2" s="1016"/>
    </row>
    <row r="3" spans="1:6" ht="24" customHeight="1">
      <c r="A3" s="1017" t="s">
        <v>827</v>
      </c>
      <c r="B3" s="1018" t="s">
        <v>828</v>
      </c>
      <c r="C3" s="2339" t="s">
        <v>829</v>
      </c>
      <c r="D3" s="2342" t="s">
        <v>830</v>
      </c>
      <c r="E3" s="1019" t="s">
        <v>831</v>
      </c>
      <c r="F3" s="1018" t="s">
        <v>829</v>
      </c>
    </row>
    <row r="4" spans="1:6" ht="24" customHeight="1">
      <c r="A4" s="1698" t="s">
        <v>832</v>
      </c>
      <c r="B4" s="1019">
        <f ca="1">IF(C4&lt;B2,"已过期",1119970066)</f>
        <v>1119970066</v>
      </c>
      <c r="C4" s="2340">
        <v>43849</v>
      </c>
      <c r="D4" s="2343" t="s">
        <v>832</v>
      </c>
      <c r="E4" s="1019">
        <f ca="1">IF(F4&lt;B2,"已过期",96010014)</f>
        <v>96010014</v>
      </c>
      <c r="F4" s="1027">
        <v>47118</v>
      </c>
    </row>
    <row r="5" spans="1:6" ht="24" customHeight="1">
      <c r="A5" s="1698" t="s">
        <v>833</v>
      </c>
      <c r="B5" s="1019">
        <f ca="1">IF(C5&lt;B2,"已过期",1119970074)</f>
        <v>1119970074</v>
      </c>
      <c r="C5" s="2340">
        <v>43849</v>
      </c>
      <c r="D5" s="2343" t="s">
        <v>833</v>
      </c>
      <c r="E5" s="1019">
        <f ca="1">IF(F5&lt;B2,"已过期",2002110027)</f>
        <v>2002110027</v>
      </c>
      <c r="F5" s="1027">
        <v>46752</v>
      </c>
    </row>
    <row r="6" spans="1:6" ht="24" customHeight="1">
      <c r="A6" s="1698" t="s">
        <v>834</v>
      </c>
      <c r="B6" s="1019">
        <f ca="1">IF(C6&lt;B2,"已过期",1119970111)</f>
        <v>1119970111</v>
      </c>
      <c r="C6" s="2340">
        <v>43849</v>
      </c>
      <c r="D6" s="2343" t="s">
        <v>834</v>
      </c>
      <c r="E6" s="1019">
        <f ca="1">IF(F6&lt;B2,"已过期",94010078)</f>
        <v>94010078</v>
      </c>
      <c r="F6" s="1027">
        <v>46387</v>
      </c>
    </row>
    <row r="7" spans="1:6" ht="24" customHeight="1">
      <c r="A7" s="1698" t="s">
        <v>835</v>
      </c>
      <c r="B7" s="1019">
        <f ca="1">IF(C7&lt;B2,"已过期",1120050019)</f>
        <v>1120050019</v>
      </c>
      <c r="C7" s="2340">
        <v>44395</v>
      </c>
      <c r="D7" s="2343" t="s">
        <v>835</v>
      </c>
      <c r="E7" s="1019">
        <f ca="1">IF(F7&lt;B2,"已过期",2002110030)</f>
        <v>2002110030</v>
      </c>
      <c r="F7" s="1027">
        <v>46387</v>
      </c>
    </row>
    <row r="8" spans="1:6" ht="24" customHeight="1">
      <c r="A8" s="1698" t="s">
        <v>836</v>
      </c>
      <c r="B8" s="1019">
        <f ca="1">IF(C8&lt;B2,"已过期",1120000080)</f>
        <v>1120000080</v>
      </c>
      <c r="C8" s="2340">
        <v>43849</v>
      </c>
      <c r="D8" s="2343" t="s">
        <v>836</v>
      </c>
      <c r="E8" s="1019">
        <f ca="1">IF(F8&lt;B2,"已过期",2000110082)</f>
        <v>2000110082</v>
      </c>
      <c r="F8" s="1027">
        <v>46387</v>
      </c>
    </row>
    <row r="9" spans="1:6" ht="24" customHeight="1">
      <c r="A9" s="1698" t="s">
        <v>837</v>
      </c>
      <c r="B9" s="1019">
        <f ca="1">IF(C9&lt;B2,"已过期",1419970001)</f>
        <v>1419970001</v>
      </c>
      <c r="C9" s="2340">
        <v>43867</v>
      </c>
      <c r="D9" s="2343" t="s">
        <v>837</v>
      </c>
      <c r="E9" s="1019">
        <f ca="1">IF(F9&lt;B2,"已过期",2002110125)</f>
        <v>2002110125</v>
      </c>
      <c r="F9" s="1027">
        <v>47118</v>
      </c>
    </row>
    <row r="10" spans="1:6" ht="24" customHeight="1">
      <c r="A10" s="1698" t="s">
        <v>838</v>
      </c>
      <c r="B10" s="1019" t="str">
        <f ca="1">IF(C10&lt;B2,"已过期",1120060040)</f>
        <v>已过期</v>
      </c>
      <c r="C10" s="2340">
        <v>43483</v>
      </c>
      <c r="D10" s="2343" t="s">
        <v>838</v>
      </c>
      <c r="E10" s="1019">
        <f ca="1">IF(F10&lt;B2,"已过期",2004110096)</f>
        <v>2004110096</v>
      </c>
      <c r="F10" s="1027">
        <v>47118</v>
      </c>
    </row>
    <row r="11" spans="1:6" ht="24" customHeight="1">
      <c r="A11" s="1698" t="s">
        <v>839</v>
      </c>
      <c r="B11" s="1019">
        <f ca="1">IF(C11&lt;B2,"已过期",1120100036)</f>
        <v>1120100036</v>
      </c>
      <c r="C11" s="2340">
        <v>43622</v>
      </c>
      <c r="D11" s="2343" t="s">
        <v>839</v>
      </c>
      <c r="E11" s="1019">
        <f ca="1">IF(F11&lt;B2,"已过期",2010110070)</f>
        <v>2010110070</v>
      </c>
      <c r="F11" s="1027">
        <v>47907</v>
      </c>
    </row>
    <row r="12" spans="1:6" ht="24" customHeight="1">
      <c r="A12" s="1698"/>
      <c r="B12" s="1019"/>
      <c r="C12" s="2928"/>
      <c r="D12" s="1698"/>
      <c r="E12" s="1019"/>
      <c r="F12" s="1027"/>
    </row>
    <row r="13" spans="1:6" ht="24" customHeight="1">
      <c r="A13" s="1698" t="s">
        <v>840</v>
      </c>
      <c r="B13" s="1019">
        <f ca="1">IF(C13&lt;B2,"已过期",1120070131)</f>
        <v>1120070131</v>
      </c>
      <c r="C13" s="2340">
        <v>43814</v>
      </c>
      <c r="D13" s="2343" t="s">
        <v>840</v>
      </c>
      <c r="E13" s="1019">
        <f ca="1">IF(F13&lt;B2,"已过期",2014110011)</f>
        <v>2014110011</v>
      </c>
      <c r="F13" s="1027">
        <v>49302</v>
      </c>
    </row>
    <row r="14" spans="1:6" ht="24" customHeight="1">
      <c r="A14" s="1698" t="s">
        <v>3034</v>
      </c>
      <c r="B14" s="1019">
        <f ca="1">IF(C14&lt;B2,"已过期",1120040230)</f>
        <v>1120040230</v>
      </c>
      <c r="C14" s="2340">
        <v>43835</v>
      </c>
      <c r="D14" s="2343" t="s">
        <v>3034</v>
      </c>
      <c r="E14" s="1019">
        <f ca="1">IF(F14&lt;B2,"已过期",98030020)</f>
        <v>98030020</v>
      </c>
      <c r="F14" s="1027">
        <v>47118</v>
      </c>
    </row>
    <row r="15" spans="1:6" ht="24" customHeight="1">
      <c r="A15" s="1699" t="s">
        <v>3035</v>
      </c>
      <c r="B15" s="1019">
        <f ca="1">IF(C15&lt;B2,"已过期",1120070085)</f>
        <v>1120070085</v>
      </c>
      <c r="C15" s="2340">
        <v>43814</v>
      </c>
      <c r="D15" s="2344" t="s">
        <v>3035</v>
      </c>
      <c r="E15" s="1019">
        <f ca="1">IF(F15&lt;B2,"已过期",2004110128)</f>
        <v>2004110128</v>
      </c>
      <c r="F15" s="1020">
        <v>47118</v>
      </c>
    </row>
    <row r="16" spans="1:6" ht="24" customHeight="1">
      <c r="A16" s="1698" t="s">
        <v>3036</v>
      </c>
      <c r="B16" s="1019">
        <f ca="1">IF(C16&lt;B2,"已过期",1120140022)</f>
        <v>1120140022</v>
      </c>
      <c r="C16" s="2928">
        <v>44029</v>
      </c>
      <c r="D16" s="2343" t="s">
        <v>3036</v>
      </c>
      <c r="E16" s="1019">
        <f ca="1">IF(F16&lt;B2,"已过期",2008110059)</f>
        <v>2008110059</v>
      </c>
      <c r="F16" s="1027">
        <v>47177</v>
      </c>
    </row>
    <row r="17" spans="1:7" ht="24" customHeight="1">
      <c r="A17" s="1698"/>
      <c r="B17" s="1019"/>
      <c r="C17" s="2340"/>
      <c r="D17" s="2343" t="s">
        <v>3037</v>
      </c>
      <c r="E17" s="1019">
        <f ca="1">IF(F17&lt;B2,"已过期",2014110076)</f>
        <v>2014110076</v>
      </c>
      <c r="F17" s="1027">
        <v>49302</v>
      </c>
    </row>
    <row r="18" spans="1:7" ht="24" customHeight="1">
      <c r="A18" s="1698"/>
      <c r="B18" s="1019"/>
      <c r="C18" s="2340"/>
      <c r="D18" s="2343"/>
      <c r="E18" s="1019"/>
      <c r="F18" s="1027"/>
    </row>
    <row r="19" spans="1:7" ht="24" customHeight="1">
      <c r="A19" s="1698"/>
      <c r="B19" s="1019"/>
      <c r="C19" s="2340"/>
      <c r="D19" s="2343"/>
      <c r="E19" s="1019"/>
      <c r="F19" s="1019"/>
    </row>
    <row r="20" spans="1:7" ht="24" customHeight="1">
      <c r="A20" s="1698"/>
      <c r="B20" s="1019"/>
      <c r="C20" s="2340"/>
      <c r="D20" s="2343"/>
      <c r="E20" s="1019"/>
      <c r="F20" s="1019"/>
    </row>
    <row r="21" spans="1:7" ht="24" customHeight="1">
      <c r="A21" s="1698"/>
      <c r="B21" s="1019"/>
      <c r="C21" s="2340"/>
      <c r="D21" s="2343" t="s">
        <v>841</v>
      </c>
      <c r="E21" s="1019">
        <f ca="1">IF(F21&lt;B2,"已过期",2011110090)</f>
        <v>2011110090</v>
      </c>
      <c r="F21" s="1027">
        <v>48302</v>
      </c>
    </row>
    <row r="22" spans="1:7" ht="24" customHeight="1">
      <c r="A22" s="1698" t="s">
        <v>842</v>
      </c>
      <c r="B22" s="1019">
        <f ca="1">IF(C22&lt;B2,"已过期",1120020033)</f>
        <v>1120020033</v>
      </c>
      <c r="C22" s="2928">
        <v>44339</v>
      </c>
      <c r="D22" s="2343" t="s">
        <v>842</v>
      </c>
      <c r="E22" s="1019">
        <f ca="1">IF(F22&lt;B2,"已过期",2000110137)</f>
        <v>2000110137</v>
      </c>
      <c r="F22" s="1027">
        <v>46387</v>
      </c>
    </row>
    <row r="23" spans="1:7" ht="24" customHeight="1">
      <c r="A23" s="1698"/>
      <c r="B23" s="1019"/>
      <c r="C23" s="2340"/>
      <c r="D23" s="2343"/>
      <c r="E23" s="1019"/>
      <c r="F23" s="1019"/>
    </row>
    <row r="24" spans="1:7" s="1021" customFormat="1" ht="24" customHeight="1">
      <c r="A24" s="1699" t="s">
        <v>1329</v>
      </c>
      <c r="B24" s="1699" t="s">
        <v>1329</v>
      </c>
      <c r="C24" s="2341" t="s">
        <v>1329</v>
      </c>
      <c r="D24" s="2344" t="s">
        <v>1329</v>
      </c>
      <c r="E24" s="1699" t="s">
        <v>1329</v>
      </c>
      <c r="F24" s="1699" t="s">
        <v>1329</v>
      </c>
    </row>
    <row r="25" spans="1:7" ht="24" customHeight="1">
      <c r="A25" s="3070" t="s">
        <v>843</v>
      </c>
      <c r="B25" s="3070"/>
      <c r="C25" s="3070"/>
      <c r="D25" s="3070"/>
      <c r="E25" s="3070"/>
      <c r="F25" s="3070"/>
      <c r="G25" s="3070"/>
    </row>
    <row r="26" spans="1:7" s="1022" customFormat="1" ht="24" customHeight="1">
      <c r="A26" s="3071" t="s">
        <v>844</v>
      </c>
      <c r="B26" s="3071"/>
      <c r="C26" s="3072"/>
      <c r="D26" s="3073" t="s">
        <v>845</v>
      </c>
      <c r="E26" s="3071"/>
      <c r="F26" s="3071"/>
    </row>
    <row r="27" spans="1:7" s="1024" customFormat="1" ht="24" customHeight="1">
      <c r="A27" s="1023" t="s">
        <v>846</v>
      </c>
      <c r="B27" s="1018" t="s">
        <v>847</v>
      </c>
      <c r="C27" s="2339" t="s">
        <v>848</v>
      </c>
      <c r="D27" s="2347" t="s">
        <v>846</v>
      </c>
      <c r="E27" s="1018" t="s">
        <v>847</v>
      </c>
      <c r="F27" s="1018" t="s">
        <v>848</v>
      </c>
    </row>
    <row r="28" spans="1:7" s="1024" customFormat="1" ht="24" customHeight="1">
      <c r="A28" s="1025" t="s">
        <v>849</v>
      </c>
      <c r="B28" s="1026" t="s">
        <v>850</v>
      </c>
      <c r="C28" s="2345">
        <v>43725</v>
      </c>
      <c r="D28" s="2348" t="s">
        <v>851</v>
      </c>
      <c r="E28" s="1025" t="s">
        <v>852</v>
      </c>
      <c r="F28" s="1055">
        <v>44377</v>
      </c>
    </row>
    <row r="29" spans="1:7" s="1024" customFormat="1" ht="24" customHeight="1">
      <c r="A29" s="1025"/>
      <c r="B29" s="1025"/>
      <c r="C29" s="2346"/>
      <c r="D29" s="2348"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7"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251</vt:i4>
      </vt:variant>
    </vt:vector>
  </HeadingPairs>
  <TitlesOfParts>
    <vt:vector size="3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二期一标</vt:lpstr>
      <vt:lpstr>二期二标</vt:lpstr>
      <vt:lpstr>系统读取表</vt:lpstr>
      <vt:lpstr>结果表</vt:lpstr>
      <vt:lpstr>成本法</vt:lpstr>
      <vt:lpstr>成本法 (元)</vt:lpstr>
      <vt:lpstr>土地比较法-住宅、综合</vt:lpstr>
      <vt:lpstr>土地案例</vt:lpstr>
      <vt:lpstr>选取案例</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收益法（酒店）</vt:lpstr>
      <vt:lpstr>办公租金</vt:lpstr>
      <vt:lpstr>收益法（地下车库）</vt:lpstr>
      <vt:lpstr>Sheet3</vt:lpstr>
      <vt:lpstr>估价师及机构信息!Print_Area</vt:lpstr>
      <vt:lpstr>'收益法 (元)'!Print_Area</vt:lpstr>
      <vt:lpstr>'收益法（办公）'!Print_Area</vt:lpstr>
      <vt:lpstr>'收益法（地下车库）'!Print_Area</vt:lpstr>
      <vt:lpstr>'收益法（酒店）'!Print_Area</vt:lpstr>
      <vt:lpstr>'数据-汇总表'!Print_Area</vt:lpstr>
      <vt:lpstr>二期二标!Print_Titles</vt:lpstr>
      <vt:lpstr>二期一标!Print_Titles</vt:lpstr>
      <vt:lpstr>八级</vt:lpstr>
      <vt:lpstr>面积表!办公层高</vt:lpstr>
      <vt:lpstr>办公层高</vt:lpstr>
      <vt:lpstr>面积表!办公朝向</vt:lpstr>
      <vt:lpstr>办公朝向</vt:lpstr>
      <vt:lpstr>面积表!办公道路级别</vt:lpstr>
      <vt:lpstr>办公道路级别</vt:lpstr>
      <vt:lpstr>面积表!办公公共部分装修</vt:lpstr>
      <vt:lpstr>办公公共部分装修</vt:lpstr>
      <vt:lpstr>面积表!办公基础设施水平</vt:lpstr>
      <vt:lpstr>办公基础设施水平</vt:lpstr>
      <vt:lpstr>面积表!办公集聚程度</vt:lpstr>
      <vt:lpstr>办公集聚程度</vt:lpstr>
      <vt:lpstr>面积表!办公建筑结构</vt:lpstr>
      <vt:lpstr>办公建筑结构</vt:lpstr>
      <vt:lpstr>面积表!办公建筑类型</vt:lpstr>
      <vt:lpstr>办公建筑类型</vt:lpstr>
      <vt:lpstr>面积表!办公交易情况</vt:lpstr>
      <vt:lpstr>办公交易情况</vt:lpstr>
      <vt:lpstr>面积表!办公楼层</vt:lpstr>
      <vt:lpstr>办公楼层</vt:lpstr>
      <vt:lpstr>面积表!办公内部装修</vt:lpstr>
      <vt:lpstr>办公内部装修</vt:lpstr>
      <vt:lpstr>面积表!办公物业管理</vt:lpstr>
      <vt:lpstr>办公物业管理</vt:lpstr>
      <vt:lpstr>面积表!办公用途</vt:lpstr>
      <vt:lpstr>办公用途</vt:lpstr>
      <vt:lpstr>面积表!仓储公共部分装修</vt:lpstr>
      <vt:lpstr>仓储公共部分装修</vt:lpstr>
      <vt:lpstr>面积表!仓储交易情况</vt:lpstr>
      <vt:lpstr>仓储交易情况</vt:lpstr>
      <vt:lpstr>面积表!仓储楼层</vt:lpstr>
      <vt:lpstr>仓储楼层</vt:lpstr>
      <vt:lpstr>面积表!仓储物业等级</vt:lpstr>
      <vt:lpstr>仓储物业等级</vt:lpstr>
      <vt:lpstr>面积表!仓储用途</vt:lpstr>
      <vt:lpstr>仓储用途</vt:lpstr>
      <vt:lpstr>面积表!产业集聚程度</vt:lpstr>
      <vt:lpstr>产业集聚程度</vt:lpstr>
      <vt:lpstr>面积表!车位公共部分装修</vt:lpstr>
      <vt:lpstr>车位公共部分装修</vt:lpstr>
      <vt:lpstr>面积表!车位交易情况</vt:lpstr>
      <vt:lpstr>车位交易情况</vt:lpstr>
      <vt:lpstr>面积表!车位类型</vt:lpstr>
      <vt:lpstr>车位类型</vt:lpstr>
      <vt:lpstr>面积表!车位楼层</vt:lpstr>
      <vt:lpstr>车位楼层</vt:lpstr>
      <vt:lpstr>面积表!车位配套类型</vt:lpstr>
      <vt:lpstr>车位配套类型</vt:lpstr>
      <vt:lpstr>面积表!车位物业等级</vt:lpstr>
      <vt:lpstr>车位物业等级</vt:lpstr>
      <vt:lpstr>面积表!车位用途</vt:lpstr>
      <vt:lpstr>车位用途</vt:lpstr>
      <vt:lpstr>面积表!城镇土地纳税等级分级范围</vt:lpstr>
      <vt:lpstr>城镇土地纳税等级分级范围</vt:lpstr>
      <vt:lpstr>面积表!单价内涵</vt:lpstr>
      <vt:lpstr>单价内涵</vt:lpstr>
      <vt:lpstr>面积表!地类判定</vt:lpstr>
      <vt:lpstr>地类判定</vt:lpstr>
      <vt:lpstr>二级</vt:lpstr>
      <vt:lpstr>面积表!二级分类</vt:lpstr>
      <vt:lpstr>二级分类</vt:lpstr>
      <vt:lpstr>面积表!法定最高年限</vt:lpstr>
      <vt:lpstr>法定最高年限</vt:lpstr>
      <vt:lpstr>面积表!工业公共部分装修</vt:lpstr>
      <vt:lpstr>工业公共部分装修</vt:lpstr>
      <vt:lpstr>面积表!工业基础设施水平</vt:lpstr>
      <vt:lpstr>工业基础设施水平</vt:lpstr>
      <vt:lpstr>面积表!工业建筑结构</vt:lpstr>
      <vt:lpstr>工业建筑结构</vt:lpstr>
      <vt:lpstr>面积表!工业建筑类型</vt:lpstr>
      <vt:lpstr>工业建筑类型</vt:lpstr>
      <vt:lpstr>面积表!工业交易情况</vt:lpstr>
      <vt:lpstr>工业交易情况</vt:lpstr>
      <vt:lpstr>面积表!工业内部装修</vt:lpstr>
      <vt:lpstr>工业内部装修</vt:lpstr>
      <vt:lpstr>面积表!工业物业管理</vt:lpstr>
      <vt:lpstr>工业物业管理</vt:lpstr>
      <vt:lpstr>面积表!工业用途</vt:lpstr>
      <vt:lpstr>工业用途</vt:lpstr>
      <vt:lpstr>面积表!公共配套设施</vt:lpstr>
      <vt:lpstr>公共配套设施</vt:lpstr>
      <vt:lpstr>面积表!估价方法</vt:lpstr>
      <vt:lpstr>估价方法</vt:lpstr>
      <vt:lpstr>面积表!环境</vt:lpstr>
      <vt:lpstr>环境</vt:lpstr>
      <vt:lpstr>面积表!基础设施水平</vt:lpstr>
      <vt:lpstr>基础设施水平</vt:lpstr>
      <vt:lpstr>季度</vt:lpstr>
      <vt:lpstr>面积表!价值类型2</vt:lpstr>
      <vt:lpstr>价值类型2</vt:lpstr>
      <vt:lpstr>面积表!交通便捷度</vt:lpstr>
      <vt:lpstr>交通便捷度</vt:lpstr>
      <vt:lpstr>九级</vt:lpstr>
      <vt:lpstr>面积表!居住社区成熟度</vt:lpstr>
      <vt:lpstr>居住社区成熟度</vt:lpstr>
      <vt:lpstr>面积表!类别</vt:lpstr>
      <vt:lpstr>类别</vt:lpstr>
      <vt:lpstr>面积表!临街状况</vt:lpstr>
      <vt:lpstr>临街状况</vt:lpstr>
      <vt:lpstr>六级</vt:lpstr>
      <vt:lpstr>面积表!内部装修维护情况</vt:lpstr>
      <vt:lpstr>内部装修维护情况</vt:lpstr>
      <vt:lpstr>面积表!判定</vt:lpstr>
      <vt:lpstr>判定</vt:lpstr>
      <vt:lpstr>七级</vt:lpstr>
      <vt:lpstr>面积表!七通一平</vt:lpstr>
      <vt:lpstr>七通一平</vt:lpstr>
      <vt:lpstr>面积表!区域土地利用方向</vt:lpstr>
      <vt:lpstr>区域土地利用方向</vt:lpstr>
      <vt:lpstr>三级</vt:lpstr>
      <vt:lpstr>面积表!商业层高</vt:lpstr>
      <vt:lpstr>商业层高</vt:lpstr>
      <vt:lpstr>商业成新度</vt:lpstr>
      <vt:lpstr>面积表!商业繁华度</vt:lpstr>
      <vt:lpstr>商业繁华度</vt:lpstr>
      <vt:lpstr>面积表!商业公共部分装修</vt:lpstr>
      <vt:lpstr>商业公共部分装修</vt:lpstr>
      <vt:lpstr>面积表!商业基础设施水平</vt:lpstr>
      <vt:lpstr>商业基础设施水平</vt:lpstr>
      <vt:lpstr>面积表!商业建筑结构</vt:lpstr>
      <vt:lpstr>商业建筑结构</vt:lpstr>
      <vt:lpstr>面积表!商业交易情况</vt:lpstr>
      <vt:lpstr>商业交易情况</vt:lpstr>
      <vt:lpstr>面积表!商业街名称</vt:lpstr>
      <vt:lpstr>商业街名称</vt:lpstr>
      <vt:lpstr>面积表!商业进深比</vt:lpstr>
      <vt:lpstr>商业进深比</vt:lpstr>
      <vt:lpstr>面积表!商业类型</vt:lpstr>
      <vt:lpstr>商业类型</vt:lpstr>
      <vt:lpstr>面积表!商业临街状况</vt:lpstr>
      <vt:lpstr>商业临街状况</vt:lpstr>
      <vt:lpstr>面积表!商业楼层</vt:lpstr>
      <vt:lpstr>商业楼层</vt:lpstr>
      <vt:lpstr>面积表!商业内部装修</vt:lpstr>
      <vt:lpstr>商业内部装修</vt:lpstr>
      <vt:lpstr>面积表!商业人流量</vt:lpstr>
      <vt:lpstr>商业人流量</vt:lpstr>
      <vt:lpstr>面积表!商业业态</vt:lpstr>
      <vt:lpstr>商业业态</vt:lpstr>
      <vt:lpstr>面积表!商业用途</vt:lpstr>
      <vt:lpstr>商业用途</vt:lpstr>
      <vt:lpstr>十二级</vt:lpstr>
      <vt:lpstr>十级</vt:lpstr>
      <vt:lpstr>十一级</vt:lpstr>
      <vt:lpstr>面积表!是否封闭</vt:lpstr>
      <vt:lpstr>是否封闭</vt:lpstr>
      <vt:lpstr>面积表!是否直接入户</vt:lpstr>
      <vt:lpstr>是否直接入户</vt:lpstr>
      <vt:lpstr>四级</vt:lpstr>
      <vt:lpstr>面积表!套工道路等级</vt:lpstr>
      <vt:lpstr>套工道路等级</vt:lpstr>
      <vt:lpstr>面积表!套工地质条件</vt:lpstr>
      <vt:lpstr>套工地质条件</vt:lpstr>
      <vt:lpstr>面积表!套工交易情况</vt:lpstr>
      <vt:lpstr>套工交易情况</vt:lpstr>
      <vt:lpstr>面积表!套工土地级别</vt:lpstr>
      <vt:lpstr>套工土地级别</vt:lpstr>
      <vt:lpstr>面积表!套工用途</vt:lpstr>
      <vt:lpstr>套工用途</vt:lpstr>
      <vt:lpstr>面积表!套工宗地开发程度</vt:lpstr>
      <vt:lpstr>套工宗地开发程度</vt:lpstr>
      <vt:lpstr>面积表!套工宗地形状</vt:lpstr>
      <vt:lpstr>套工宗地形状</vt:lpstr>
      <vt:lpstr>面积表!套综道路等级</vt:lpstr>
      <vt:lpstr>套综道路等级</vt:lpstr>
      <vt:lpstr>面积表!套综工程地质条件</vt:lpstr>
      <vt:lpstr>套综工程地质条件</vt:lpstr>
      <vt:lpstr>面积表!套综交易情况</vt:lpstr>
      <vt:lpstr>套综交易情况</vt:lpstr>
      <vt:lpstr>面积表!套综临街宽度及深度</vt:lpstr>
      <vt:lpstr>套综临街宽度及深度</vt:lpstr>
      <vt:lpstr>面积表!套综土地级别</vt:lpstr>
      <vt:lpstr>套综土地级别</vt:lpstr>
      <vt:lpstr>面积表!套综用途</vt:lpstr>
      <vt:lpstr>套综用途</vt:lpstr>
      <vt:lpstr>面积表!套综宗地内开发程度</vt:lpstr>
      <vt:lpstr>套综宗地内开发程度</vt:lpstr>
      <vt:lpstr>面积表!套综宗地形状</vt:lpstr>
      <vt:lpstr>套综宗地形状</vt:lpstr>
      <vt:lpstr>土地估价师</vt:lpstr>
      <vt:lpstr>面积表!土地级别</vt:lpstr>
      <vt:lpstr>土地级别</vt:lpstr>
      <vt:lpstr>土地利用方向</vt:lpstr>
      <vt:lpstr>面积表!土地年限区间</vt:lpstr>
      <vt:lpstr>土地年限区间</vt:lpstr>
      <vt:lpstr>面积表!位置</vt:lpstr>
      <vt:lpstr>位置</vt:lpstr>
      <vt:lpstr>面积表!五等判定</vt:lpstr>
      <vt:lpstr>五等判定</vt:lpstr>
      <vt:lpstr>五级</vt:lpstr>
      <vt:lpstr>面积表!项目类型</vt:lpstr>
      <vt:lpstr>项目类型</vt:lpstr>
      <vt:lpstr>面积表!写字楼等级</vt:lpstr>
      <vt:lpstr>写字楼等级</vt:lpstr>
      <vt:lpstr>一级</vt:lpstr>
      <vt:lpstr>面积表!一修多修正项2</vt:lpstr>
      <vt:lpstr>一修多修正项2</vt:lpstr>
      <vt:lpstr>面积表!一修多修正项3</vt:lpstr>
      <vt:lpstr>一修多修正项3</vt:lpstr>
      <vt:lpstr>面积表!一修多修正项4</vt:lpstr>
      <vt:lpstr>一修多修正项4</vt:lpstr>
      <vt:lpstr>面积表!一修多修正项5</vt:lpstr>
      <vt:lpstr>一修多修正项5</vt:lpstr>
      <vt:lpstr>面积表!一修多修正项6</vt:lpstr>
      <vt:lpstr>一修多修正项6</vt:lpstr>
      <vt:lpstr>面积表!一修多修正项7</vt:lpstr>
      <vt:lpstr>一修多修正项7</vt:lpstr>
      <vt:lpstr>面积表!一修多修正项8</vt:lpstr>
      <vt:lpstr>一修多修正项8</vt:lpstr>
      <vt:lpstr>面积表!用途明细</vt:lpstr>
      <vt:lpstr>用途明细</vt:lpstr>
      <vt:lpstr>面积表!有无电梯</vt:lpstr>
      <vt:lpstr>有无电梯</vt:lpstr>
      <vt:lpstr>面积表!主用途</vt:lpstr>
      <vt:lpstr>主用途</vt:lpstr>
      <vt:lpstr>面积表!住宅朝向</vt:lpstr>
      <vt:lpstr>住宅朝向</vt:lpstr>
      <vt:lpstr>面积表!住宅房型</vt:lpstr>
      <vt:lpstr>住宅房型</vt:lpstr>
      <vt:lpstr>面积表!住宅公共部分装修</vt:lpstr>
      <vt:lpstr>住宅公共部分装修</vt:lpstr>
      <vt:lpstr>面积表!住宅基础设施水平</vt:lpstr>
      <vt:lpstr>住宅基础设施水平</vt:lpstr>
      <vt:lpstr>面积表!住宅建筑结构</vt:lpstr>
      <vt:lpstr>住宅建筑结构</vt:lpstr>
      <vt:lpstr>面积表!住宅建筑类型</vt:lpstr>
      <vt:lpstr>住宅建筑类型</vt:lpstr>
      <vt:lpstr>面积表!住宅建筑品质</vt:lpstr>
      <vt:lpstr>住宅建筑品质</vt:lpstr>
      <vt:lpstr>面积表!住宅交易情况</vt:lpstr>
      <vt:lpstr>住宅交易情况</vt:lpstr>
      <vt:lpstr>面积表!住宅楼层</vt:lpstr>
      <vt:lpstr>住宅楼层</vt:lpstr>
      <vt:lpstr>面积表!住宅内部装修</vt:lpstr>
      <vt:lpstr>住宅内部装修</vt:lpstr>
      <vt:lpstr>面积表!住宅物业管理</vt:lpstr>
      <vt:lpstr>住宅物业管理</vt:lpstr>
      <vt:lpstr>面积表!住宅用途</vt:lpstr>
      <vt:lpstr>住宅用途</vt:lpstr>
      <vt:lpstr>住宅主力户型面积</vt:lpstr>
      <vt:lpstr>面积表!注册房地产估价师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2019-03-07T11:12:55Z</dcterms:modified>
</cp:coreProperties>
</file>