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ownloads\14套房产测算表\"/>
    </mc:Choice>
  </mc:AlternateContent>
  <bookViews>
    <workbookView xWindow="0" yWindow="0" windowWidth="8775" windowHeight="1146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state="hidden"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J45" i="83" s="1"/>
  <c r="AC45" i="83" s="1"/>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E86" i="83"/>
  <c r="F86" i="83" s="1"/>
  <c r="G86" i="83" s="1"/>
  <c r="D86" i="83"/>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J23" i="83"/>
  <c r="W23" i="83" s="1"/>
  <c r="H23" i="83"/>
  <c r="AB23" i="83" s="1"/>
  <c r="F23" i="83"/>
  <c r="AA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H30" i="82" s="1"/>
  <c r="AB30" i="82" s="1"/>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H44" i="82"/>
  <c r="AB44" i="82" s="1"/>
  <c r="F44" i="82"/>
  <c r="AA44" i="82" s="1"/>
  <c r="Q43" i="82"/>
  <c r="Z43" i="82" s="1"/>
  <c r="J43" i="82"/>
  <c r="G43" i="82"/>
  <c r="Q42" i="82"/>
  <c r="Z42" i="82" s="1"/>
  <c r="I42" i="82"/>
  <c r="E42" i="82"/>
  <c r="Q41" i="82"/>
  <c r="Z41" i="82" s="1"/>
  <c r="I41" i="82"/>
  <c r="F41" i="82"/>
  <c r="AA41" i="82" s="1"/>
  <c r="Q40" i="82"/>
  <c r="Z40" i="82" s="1"/>
  <c r="G40" i="82"/>
  <c r="I40" i="82" s="1"/>
  <c r="Q39" i="82"/>
  <c r="Z39" i="82" s="1"/>
  <c r="I39" i="82"/>
  <c r="J39" i="82" s="1"/>
  <c r="G39" i="82"/>
  <c r="H39" i="82" s="1"/>
  <c r="F39" i="82"/>
  <c r="AA39" i="82" s="1"/>
  <c r="Q38" i="82"/>
  <c r="Z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Q29" i="82"/>
  <c r="Z29" i="82" s="1"/>
  <c r="J29" i="82"/>
  <c r="AC29" i="82" s="1"/>
  <c r="H29" i="82"/>
  <c r="AB29" i="82" s="1"/>
  <c r="F29" i="82"/>
  <c r="AA29" i="82" s="1"/>
  <c r="Q28" i="82"/>
  <c r="Z28" i="82" s="1"/>
  <c r="J28" i="82"/>
  <c r="AC28" i="82" s="1"/>
  <c r="H28" i="82"/>
  <c r="AB28" i="82" s="1"/>
  <c r="F28" i="82"/>
  <c r="AA28" i="82" s="1"/>
  <c r="Q27" i="82"/>
  <c r="Z27" i="82" s="1"/>
  <c r="F27" i="82"/>
  <c r="AA27" i="82" s="1"/>
  <c r="G26" i="82"/>
  <c r="I26" i="82" s="1"/>
  <c r="J25" i="82" s="1"/>
  <c r="Q25" i="82"/>
  <c r="Z25" i="82" s="1"/>
  <c r="H25" i="82"/>
  <c r="AB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Q15" i="82"/>
  <c r="Z15" i="82" s="1"/>
  <c r="H15" i="82"/>
  <c r="AB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2"/>
  <c r="D2" i="83"/>
  <c r="J40" i="82" l="1"/>
  <c r="F40" i="82"/>
  <c r="AA40" i="82" s="1"/>
  <c r="G114" i="83"/>
  <c r="H114" i="83" s="1"/>
  <c r="I114" i="83" s="1"/>
  <c r="J114" i="83" s="1"/>
  <c r="K114" i="83" s="1"/>
  <c r="L114" i="83" s="1"/>
  <c r="M114" i="83" s="1"/>
  <c r="J38" i="83"/>
  <c r="AC38" i="83" s="1"/>
  <c r="F38" i="83"/>
  <c r="AA38" i="83" s="1"/>
  <c r="H38" i="83"/>
  <c r="AB38" i="83" s="1"/>
  <c r="F88" i="83"/>
  <c r="G88" i="83" s="1"/>
  <c r="H88" i="83" s="1"/>
  <c r="I88" i="83" s="1"/>
  <c r="J88" i="83" s="1"/>
  <c r="K88" i="83" s="1"/>
  <c r="L88" i="83" s="1"/>
  <c r="M88" i="83" s="1"/>
  <c r="F25" i="83"/>
  <c r="AA25" i="83" s="1"/>
  <c r="F109" i="82"/>
  <c r="G109" i="82" s="1"/>
  <c r="H109" i="82" s="1"/>
  <c r="I109" i="82" s="1"/>
  <c r="J109" i="82" s="1"/>
  <c r="K109" i="82" s="1"/>
  <c r="L109" i="82" s="1"/>
  <c r="M109" i="82" s="1"/>
  <c r="F36" i="82"/>
  <c r="AA36" i="82" s="1"/>
  <c r="H36" i="82"/>
  <c r="AB36" i="82" s="1"/>
  <c r="J36" i="82"/>
  <c r="AC36" i="82" s="1"/>
  <c r="J14" i="82"/>
  <c r="AC14" i="82" s="1"/>
  <c r="J12" i="83"/>
  <c r="AC12" i="83" s="1"/>
  <c r="J25" i="83"/>
  <c r="H28" i="83"/>
  <c r="AB28" i="83" s="1"/>
  <c r="H30" i="83"/>
  <c r="J9" i="82"/>
  <c r="AC9" i="82" s="1"/>
  <c r="F30" i="82"/>
  <c r="AA30" i="82" s="1"/>
  <c r="H38" i="82"/>
  <c r="AB38" i="82" s="1"/>
  <c r="F43" i="82"/>
  <c r="AA43" i="82" s="1"/>
  <c r="F46" i="82"/>
  <c r="AA46" i="82" s="1"/>
  <c r="F47" i="82"/>
  <c r="AA47" i="82" s="1"/>
  <c r="W27" i="83"/>
  <c r="W31" i="83"/>
  <c r="H40" i="83"/>
  <c r="AB40" i="83" s="1"/>
  <c r="J38" i="82"/>
  <c r="AC38" i="82" s="1"/>
  <c r="H43" i="82"/>
  <c r="AB43" i="82"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U28" i="83"/>
  <c r="W29" i="83"/>
  <c r="S31" i="83"/>
  <c r="U32" i="83"/>
  <c r="AC39" i="83"/>
  <c r="W39" i="83"/>
  <c r="AB43" i="83"/>
  <c r="U43" i="83"/>
  <c r="S10" i="83"/>
  <c r="W10" i="83"/>
  <c r="U11" i="83"/>
  <c r="S12" i="83"/>
  <c r="W12" i="83"/>
  <c r="U13" i="83"/>
  <c r="S14" i="83"/>
  <c r="W14" i="83"/>
  <c r="S15" i="83"/>
  <c r="W15"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S38"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U25" i="82"/>
  <c r="S27" i="82"/>
  <c r="AC39" i="82"/>
  <c r="W39" i="82"/>
  <c r="S9" i="82"/>
  <c r="W9" i="82"/>
  <c r="U10" i="82"/>
  <c r="S11" i="82"/>
  <c r="W11" i="82"/>
  <c r="U12" i="82"/>
  <c r="S13" i="82"/>
  <c r="W13" i="82"/>
  <c r="U14" i="82"/>
  <c r="U15" i="82"/>
  <c r="U17" i="82"/>
  <c r="W21" i="82"/>
  <c r="S23" i="82"/>
  <c r="AC25" i="82"/>
  <c r="W25" i="82"/>
  <c r="W27" i="82"/>
  <c r="AB39" i="82"/>
  <c r="U39" i="82"/>
  <c r="AC40" i="82"/>
  <c r="W40" i="82"/>
  <c r="AC43" i="82"/>
  <c r="W43" i="82"/>
  <c r="U21" i="82"/>
  <c r="U23" i="82"/>
  <c r="S25" i="82"/>
  <c r="S28" i="82"/>
  <c r="W28" i="82"/>
  <c r="U29" i="82"/>
  <c r="S30" i="82"/>
  <c r="W30" i="82"/>
  <c r="U31" i="82"/>
  <c r="S32" i="82"/>
  <c r="W32" i="82"/>
  <c r="U33" i="82"/>
  <c r="S35" i="82"/>
  <c r="W35" i="82"/>
  <c r="U36" i="82"/>
  <c r="U38" i="82"/>
  <c r="S39" i="82"/>
  <c r="S44" i="82"/>
  <c r="W44" i="82"/>
  <c r="U45" i="82"/>
  <c r="S46" i="82"/>
  <c r="W46" i="82"/>
  <c r="U47" i="82"/>
  <c r="U28" i="82"/>
  <c r="S29" i="82"/>
  <c r="W29" i="82"/>
  <c r="U30" i="82"/>
  <c r="S31" i="82"/>
  <c r="W31" i="82"/>
  <c r="U32" i="82"/>
  <c r="S33" i="82"/>
  <c r="W33" i="82"/>
  <c r="U35" i="82"/>
  <c r="S36" i="82"/>
  <c r="W36" i="82"/>
  <c r="G37" i="82"/>
  <c r="S38" i="82"/>
  <c r="S40" i="82"/>
  <c r="S41" i="82"/>
  <c r="U44" i="82"/>
  <c r="S45" i="82"/>
  <c r="W45" i="82"/>
  <c r="U46" i="82"/>
  <c r="S47" i="82"/>
  <c r="W47" i="82"/>
  <c r="S43" i="82" l="1"/>
  <c r="U43" i="82"/>
  <c r="U30" i="83"/>
  <c r="AB30" i="83"/>
  <c r="W38" i="82"/>
  <c r="U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F37" i="82"/>
  <c r="J37" i="82"/>
  <c r="H37" i="82"/>
  <c r="I29" i="79"/>
  <c r="I28" i="79"/>
  <c r="N28" i="79"/>
  <c r="M28" i="79"/>
  <c r="P28" i="79" s="1"/>
  <c r="L28" i="79"/>
  <c r="N29" i="79"/>
  <c r="M29" i="79"/>
  <c r="L29" i="79"/>
  <c r="P6" i="79"/>
  <c r="O6" i="79"/>
  <c r="N6" i="79"/>
  <c r="M6" i="79"/>
  <c r="L6" i="79"/>
  <c r="K6" i="79"/>
  <c r="O7" i="79"/>
  <c r="N7" i="79"/>
  <c r="M7" i="79"/>
  <c r="P7" i="79" s="1"/>
  <c r="L7" i="79"/>
  <c r="K7" i="79"/>
  <c r="AB37" i="83" l="1"/>
  <c r="U37" i="83"/>
  <c r="AB37" i="82"/>
  <c r="U37" i="82"/>
  <c r="AA37" i="83"/>
  <c r="S37" i="83"/>
  <c r="AA37" i="82"/>
  <c r="S37" i="82"/>
  <c r="W37" i="82"/>
  <c r="AC37" i="82"/>
  <c r="AC37" i="83"/>
  <c r="W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M25" i="79" s="1"/>
  <c r="P25" i="79" s="1"/>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V13" i="79"/>
  <c r="U36" i="79"/>
  <c r="AD37" i="79"/>
  <c r="S38" i="79"/>
  <c r="AC3" i="79"/>
  <c r="U12" i="79"/>
  <c r="R13" i="79"/>
  <c r="S14" i="79"/>
  <c r="S15" i="79"/>
  <c r="U25" i="79"/>
  <c r="T27" i="79"/>
  <c r="W27" i="79" s="1"/>
  <c r="U28" i="79"/>
  <c r="AD34" i="79"/>
  <c r="S35" i="79"/>
  <c r="U37" i="79"/>
  <c r="AD38" i="79"/>
  <c r="V3" i="79"/>
  <c r="Z3" i="79"/>
  <c r="U3" i="79"/>
  <c r="R12" i="79"/>
  <c r="V12" i="79"/>
  <c r="S13" i="79"/>
  <c r="T14" i="79"/>
  <c r="W14" i="79" s="1"/>
  <c r="S12" i="79"/>
  <c r="U14" i="79"/>
  <c r="U15" i="79"/>
  <c r="S28" i="79"/>
  <c r="T34" i="79"/>
  <c r="U35" i="79"/>
  <c r="AD36" i="79"/>
  <c r="S37" i="79"/>
  <c r="S27" i="79"/>
  <c r="M3" i="79"/>
  <c r="P3" i="79" s="1"/>
  <c r="T3" i="79"/>
  <c r="W3" i="79" s="1"/>
  <c r="U27" i="79"/>
  <c r="AD33" i="79"/>
  <c r="T32" i="79"/>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s="1"/>
  <c r="C5" i="68" s="1"/>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O25" i="71"/>
  <c r="N25" i="71"/>
  <c r="X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F87" i="71" s="1"/>
  <c r="E88" i="71"/>
  <c r="E87" i="71"/>
  <c r="E86" i="71" s="1"/>
  <c r="C88" i="71"/>
  <c r="D88" i="71" s="1"/>
  <c r="B88" i="71"/>
  <c r="F86" i="71"/>
  <c r="B87" i="71"/>
  <c r="B86" i="71" s="1"/>
  <c r="D85" i="71"/>
  <c r="F84" i="71"/>
  <c r="F83" i="71" s="1"/>
  <c r="F82" i="71" s="1"/>
  <c r="E84" i="71"/>
  <c r="E83" i="71" s="1"/>
  <c r="E82" i="71" s="1"/>
  <c r="C84" i="71"/>
  <c r="D84" i="7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C75" i="71" s="1"/>
  <c r="B76" i="71"/>
  <c r="S76" i="71"/>
  <c r="Q75" i="71"/>
  <c r="P75" i="71"/>
  <c r="O75" i="71"/>
  <c r="N75" i="71"/>
  <c r="F75" i="71"/>
  <c r="F74" i="71" s="1"/>
  <c r="B75" i="71"/>
  <c r="B74" i="71"/>
  <c r="Q74" i="71"/>
  <c r="P74" i="71"/>
  <c r="O74" i="71"/>
  <c r="N74" i="71"/>
  <c r="Q73" i="71"/>
  <c r="P73" i="71"/>
  <c r="O73" i="71"/>
  <c r="N73" i="71"/>
  <c r="D73" i="71"/>
  <c r="Q72" i="71"/>
  <c r="P72" i="71"/>
  <c r="O72" i="71"/>
  <c r="N72" i="71"/>
  <c r="F72" i="71"/>
  <c r="E72" i="71"/>
  <c r="U72" i="71" s="1"/>
  <c r="C72" i="71"/>
  <c r="B72" i="71"/>
  <c r="S72" i="71" s="1"/>
  <c r="Q71" i="71"/>
  <c r="P71" i="71"/>
  <c r="O71" i="71"/>
  <c r="N71" i="71"/>
  <c r="Q70" i="71"/>
  <c r="P70" i="71"/>
  <c r="O70" i="71"/>
  <c r="N70" i="71"/>
  <c r="Q69" i="71"/>
  <c r="P69" i="71"/>
  <c r="O69" i="71"/>
  <c r="N69" i="71"/>
  <c r="D69" i="71"/>
  <c r="F68" i="71"/>
  <c r="V68" i="71"/>
  <c r="E68" i="71"/>
  <c r="C68" i="71"/>
  <c r="B68" i="71"/>
  <c r="S68" i="71" s="1"/>
  <c r="F67" i="71"/>
  <c r="F66" i="71" s="1"/>
  <c r="Q66" i="71" s="1"/>
  <c r="B67" i="71"/>
  <c r="D65" i="71"/>
  <c r="Q64" i="71"/>
  <c r="P64" i="71"/>
  <c r="O64" i="71"/>
  <c r="N64" i="71"/>
  <c r="Q63" i="71"/>
  <c r="P63" i="71"/>
  <c r="O63" i="71"/>
  <c r="N63" i="71"/>
  <c r="Q62" i="71"/>
  <c r="P62" i="71"/>
  <c r="O62" i="71"/>
  <c r="C63" i="71" s="1"/>
  <c r="D63" i="71" s="1"/>
  <c r="N62" i="71"/>
  <c r="Q61" i="71"/>
  <c r="F62" i="71"/>
  <c r="F63" i="7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C59" i="71" s="1"/>
  <c r="C60" i="71" s="1"/>
  <c r="T60" i="71" s="1"/>
  <c r="N57" i="71"/>
  <c r="B58" i="71"/>
  <c r="B59" i="71"/>
  <c r="B60" i="71" s="1"/>
  <c r="S60" i="71" s="1"/>
  <c r="D57" i="71"/>
  <c r="Q56" i="71"/>
  <c r="P56" i="71"/>
  <c r="O56" i="71"/>
  <c r="N56" i="71"/>
  <c r="Q55" i="71"/>
  <c r="P55" i="71"/>
  <c r="O55" i="71"/>
  <c r="N55" i="71"/>
  <c r="Q54" i="71"/>
  <c r="P54" i="71"/>
  <c r="E55" i="71" s="1"/>
  <c r="E56" i="71" s="1"/>
  <c r="U56" i="71" s="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AB39" i="71"/>
  <c r="Q39" i="71"/>
  <c r="P39" i="71"/>
  <c r="AA39" i="71"/>
  <c r="O39" i="71"/>
  <c r="N39" i="71"/>
  <c r="X39" i="71"/>
  <c r="Q38" i="71"/>
  <c r="AB38" i="71" s="1"/>
  <c r="P38" i="71"/>
  <c r="O38" i="71"/>
  <c r="N38" i="71"/>
  <c r="Q37" i="71"/>
  <c r="P37" i="71"/>
  <c r="AA37" i="71" s="1"/>
  <c r="O37" i="71"/>
  <c r="N37" i="71"/>
  <c r="D37" i="71"/>
  <c r="Q36" i="71"/>
  <c r="P36" i="71"/>
  <c r="O36" i="71"/>
  <c r="N36" i="71"/>
  <c r="Q35" i="71"/>
  <c r="AB35" i="71"/>
  <c r="P35" i="71"/>
  <c r="O35" i="71"/>
  <c r="N35" i="71"/>
  <c r="Q34" i="71"/>
  <c r="AB34" i="71" s="1"/>
  <c r="P34" i="71"/>
  <c r="AA34" i="71" s="1"/>
  <c r="O34" i="71"/>
  <c r="N34" i="71"/>
  <c r="X34" i="71" s="1"/>
  <c r="Q33" i="71"/>
  <c r="F34" i="71" s="1"/>
  <c r="F35" i="71" s="1"/>
  <c r="F36" i="71" s="1"/>
  <c r="V36" i="71" s="1"/>
  <c r="P33" i="71"/>
  <c r="E34" i="71" s="1"/>
  <c r="E35" i="71" s="1"/>
  <c r="E36" i="71" s="1"/>
  <c r="U36" i="71" s="1"/>
  <c r="O33" i="71"/>
  <c r="N33" i="71"/>
  <c r="D33" i="71"/>
  <c r="Q32" i="71"/>
  <c r="AB32" i="71" s="1"/>
  <c r="P32" i="71"/>
  <c r="O32" i="71"/>
  <c r="N32" i="71"/>
  <c r="Q31" i="71"/>
  <c r="AB31" i="71"/>
  <c r="P31" i="71"/>
  <c r="O31" i="71"/>
  <c r="N31" i="71"/>
  <c r="X31" i="71" s="1"/>
  <c r="Q30" i="71"/>
  <c r="P30" i="71"/>
  <c r="O30" i="71"/>
  <c r="N30" i="71"/>
  <c r="V32" i="71"/>
  <c r="Q29" i="71"/>
  <c r="F30" i="71" s="1"/>
  <c r="F31" i="71" s="1"/>
  <c r="F32" i="71" s="1"/>
  <c r="P29" i="71"/>
  <c r="O29" i="71"/>
  <c r="N29" i="71"/>
  <c r="D29" i="71"/>
  <c r="O28" i="71"/>
  <c r="N28" i="71"/>
  <c r="B30" i="71"/>
  <c r="B31" i="71" s="1"/>
  <c r="B32" i="71" s="1"/>
  <c r="S32" i="71" s="1"/>
  <c r="E30" i="71"/>
  <c r="E31" i="71"/>
  <c r="E32" i="71" s="1"/>
  <c r="U32" i="71" s="1"/>
  <c r="AA29" i="71"/>
  <c r="B34" i="71"/>
  <c r="X33" i="71"/>
  <c r="E38" i="71"/>
  <c r="E39" i="71"/>
  <c r="E40" i="71" s="1"/>
  <c r="U40" i="71" s="1"/>
  <c r="AA33" i="71"/>
  <c r="C30" i="71"/>
  <c r="AB29" i="71"/>
  <c r="AA30" i="71"/>
  <c r="C34" i="71"/>
  <c r="X35" i="71"/>
  <c r="C38" i="71"/>
  <c r="D38" i="71" s="1"/>
  <c r="X38" i="71"/>
  <c r="AA38" i="71"/>
  <c r="C28" i="71"/>
  <c r="D28" i="71" s="1"/>
  <c r="B28" i="71"/>
  <c r="B27" i="71" s="1"/>
  <c r="B26" i="71"/>
  <c r="X26" i="71"/>
  <c r="D30" i="71"/>
  <c r="C39" i="71"/>
  <c r="C47" i="71"/>
  <c r="D47" i="71" s="1"/>
  <c r="D46" i="71"/>
  <c r="C51" i="71"/>
  <c r="D51" i="71" s="1"/>
  <c r="D50" i="71"/>
  <c r="P28" i="71"/>
  <c r="E59" i="71"/>
  <c r="E60" i="71"/>
  <c r="U60" i="71"/>
  <c r="E63" i="71"/>
  <c r="E64" i="71" s="1"/>
  <c r="U64" i="71" s="1"/>
  <c r="Q65" i="71"/>
  <c r="U68" i="71"/>
  <c r="Q28" i="71"/>
  <c r="C55" i="71"/>
  <c r="D54" i="71"/>
  <c r="D58" i="71"/>
  <c r="D62" i="71"/>
  <c r="Q67" i="71"/>
  <c r="T68" i="71"/>
  <c r="O68" i="71"/>
  <c r="D68" i="71"/>
  <c r="C67" i="71"/>
  <c r="Q68" i="71"/>
  <c r="E71" i="71"/>
  <c r="E70" i="71" s="1"/>
  <c r="D72" i="71"/>
  <c r="E75" i="71"/>
  <c r="E74" i="71" s="1"/>
  <c r="D76" i="71"/>
  <c r="E79" i="71"/>
  <c r="E78" i="71" s="1"/>
  <c r="D80" i="71"/>
  <c r="C83" i="71"/>
  <c r="C87" i="71"/>
  <c r="T28" i="71"/>
  <c r="C27" i="71"/>
  <c r="C26" i="71" s="1"/>
  <c r="S28" i="71"/>
  <c r="F28" i="71"/>
  <c r="F27" i="71" s="1"/>
  <c r="AB27" i="71"/>
  <c r="AB28" i="71"/>
  <c r="E28" i="71"/>
  <c r="AA28" i="71"/>
  <c r="U28" i="71"/>
  <c r="C64" i="71"/>
  <c r="D83" i="71"/>
  <c r="C82" i="71"/>
  <c r="D82" i="71"/>
  <c r="D75" i="71"/>
  <c r="C74" i="71"/>
  <c r="D74" i="71" s="1"/>
  <c r="D59" i="71"/>
  <c r="C56" i="71"/>
  <c r="D56" i="71" s="1"/>
  <c r="D55" i="71"/>
  <c r="C52" i="71"/>
  <c r="D52" i="71" s="1"/>
  <c r="D39" i="71"/>
  <c r="D26" i="71"/>
  <c r="D27" i="71"/>
  <c r="V28" i="71"/>
  <c r="T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F25" i="40"/>
  <c r="AA25" i="40" s="1"/>
  <c r="Q29" i="39"/>
  <c r="Z29" i="39" s="1"/>
  <c r="D102" i="39"/>
  <c r="E102" i="39" s="1"/>
  <c r="F102" i="39" s="1"/>
  <c r="G102" i="39" s="1"/>
  <c r="F29" i="39"/>
  <c r="AA29" i="39" s="1"/>
  <c r="Q18" i="36"/>
  <c r="Z18" i="36" s="1"/>
  <c r="D66" i="36"/>
  <c r="E66" i="36"/>
  <c r="F66" i="36" s="1"/>
  <c r="H18" i="36"/>
  <c r="AB18" i="36" s="1"/>
  <c r="F18" i="36"/>
  <c r="C18" i="36"/>
  <c r="Q18" i="35"/>
  <c r="Z18" i="35" s="1"/>
  <c r="D68" i="35"/>
  <c r="E68" i="35" s="1"/>
  <c r="F68" i="35" s="1"/>
  <c r="G68" i="35" s="1"/>
  <c r="F18" i="35"/>
  <c r="AA18" i="35"/>
  <c r="C18" i="35"/>
  <c r="Z21" i="37"/>
  <c r="Q21" i="37"/>
  <c r="D77" i="37"/>
  <c r="E77" i="37"/>
  <c r="F77" i="37" s="1"/>
  <c r="C21" i="37"/>
  <c r="Q21" i="33"/>
  <c r="Z21" i="33" s="1"/>
  <c r="D83" i="33"/>
  <c r="E83" i="33" s="1"/>
  <c r="F83" i="33" s="1"/>
  <c r="G83" i="33" s="1"/>
  <c r="C21" i="33"/>
  <c r="C21" i="21"/>
  <c r="Q21" i="21"/>
  <c r="Z21" i="21" s="1"/>
  <c r="H19" i="21"/>
  <c r="D83" i="21"/>
  <c r="F21" i="21"/>
  <c r="D81" i="21"/>
  <c r="G20" i="20"/>
  <c r="B88" i="43"/>
  <c r="C22" i="20"/>
  <c r="B100" i="43" s="1"/>
  <c r="B68" i="43"/>
  <c r="C25" i="40"/>
  <c r="S25" i="40"/>
  <c r="U18" i="36"/>
  <c r="H25" i="40"/>
  <c r="G94" i="40"/>
  <c r="J25" i="40"/>
  <c r="H29" i="39"/>
  <c r="AB29" i="39" s="1"/>
  <c r="J29" i="39"/>
  <c r="AC29" i="39" s="1"/>
  <c r="G66" i="36"/>
  <c r="J18" i="36"/>
  <c r="AC18" i="36" s="1"/>
  <c r="H18" i="35"/>
  <c r="S18" i="35"/>
  <c r="J18" i="35"/>
  <c r="H21" i="37"/>
  <c r="U21" i="37" s="1"/>
  <c r="F21" i="37"/>
  <c r="AA21" i="37" s="1"/>
  <c r="H21" i="33"/>
  <c r="AB21" i="33" s="1"/>
  <c r="F21" i="33"/>
  <c r="E83" i="21"/>
  <c r="H1" i="69"/>
  <c r="AC25" i="40"/>
  <c r="W25" i="40"/>
  <c r="AB25" i="40"/>
  <c r="U25" i="40"/>
  <c r="U29" i="39"/>
  <c r="W29" i="39"/>
  <c r="W18" i="36"/>
  <c r="AB21" i="37"/>
  <c r="S21" i="37"/>
  <c r="U21" i="33"/>
  <c r="AB18" i="35"/>
  <c r="U18" i="35"/>
  <c r="AC18" i="35"/>
  <c r="W18" i="35"/>
  <c r="G77" i="37"/>
  <c r="J21" i="37"/>
  <c r="AC21" i="37" s="1"/>
  <c r="J21" i="33"/>
  <c r="F83" i="21"/>
  <c r="G83" i="21" s="1"/>
  <c r="H21" i="21"/>
  <c r="AB21" i="21" s="1"/>
  <c r="F38" i="69"/>
  <c r="E37" i="69"/>
  <c r="F36" i="69"/>
  <c r="F35" i="69"/>
  <c r="F21" i="69"/>
  <c r="F40" i="69" s="1"/>
  <c r="F20" i="69"/>
  <c r="F39" i="69" s="1"/>
  <c r="E10" i="69"/>
  <c r="E9" i="69"/>
  <c r="W21" i="37"/>
  <c r="AC21" i="33"/>
  <c r="W21" i="33"/>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BB91" i="3"/>
  <c r="AZ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BC64" i="3"/>
  <c r="BB64" i="3"/>
  <c r="AZ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AZ509" i="3" s="1"/>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AZ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c r="J99" i="37" s="1"/>
  <c r="K99" i="37" s="1"/>
  <c r="L99" i="37" s="1"/>
  <c r="M99" i="37"/>
  <c r="F40" i="33"/>
  <c r="J41" i="33"/>
  <c r="W41" i="33" s="1"/>
  <c r="D113" i="33"/>
  <c r="F37" i="33"/>
  <c r="D111" i="33"/>
  <c r="E111" i="33"/>
  <c r="F111" i="33" s="1"/>
  <c r="S515" i="31"/>
  <c r="S517" i="31"/>
  <c r="S519" i="31"/>
  <c r="S521" i="31"/>
  <c r="S523" i="31"/>
  <c r="F41" i="21"/>
  <c r="J41" i="21"/>
  <c r="AC41" i="21" s="1"/>
  <c r="H41" i="21"/>
  <c r="D80" i="39"/>
  <c r="E80" i="39" s="1"/>
  <c r="F80" i="39" s="1"/>
  <c r="G80" i="39" s="1"/>
  <c r="H80" i="39" s="1"/>
  <c r="I80" i="39" s="1"/>
  <c r="J80" i="39" s="1"/>
  <c r="K80" i="39" s="1"/>
  <c r="L80" i="39" s="1"/>
  <c r="M80" i="39" s="1"/>
  <c r="D76" i="40"/>
  <c r="E76" i="40"/>
  <c r="F76" i="40" s="1"/>
  <c r="G76" i="40" s="1"/>
  <c r="H76" i="40" s="1"/>
  <c r="I76" i="40"/>
  <c r="J76" i="40" s="1"/>
  <c r="K76" i="40" s="1"/>
  <c r="L76" i="40" s="1"/>
  <c r="M76" i="40"/>
  <c r="B120" i="40"/>
  <c r="H40" i="40" s="1"/>
  <c r="AB40" i="40" s="1"/>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s="1"/>
  <c r="G100" i="40" s="1"/>
  <c r="H100" i="40"/>
  <c r="I100" i="40" s="1"/>
  <c r="J100" i="40" s="1"/>
  <c r="K100" i="40" s="1"/>
  <c r="L100" i="40"/>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F12" i="35" s="1"/>
  <c r="S12" i="35" s="1"/>
  <c r="B130" i="33"/>
  <c r="B128" i="33"/>
  <c r="B126" i="33"/>
  <c r="F44" i="33" s="1"/>
  <c r="AA44" i="33" s="1"/>
  <c r="B98" i="33"/>
  <c r="B96" i="33"/>
  <c r="B94" i="33"/>
  <c r="B74" i="33"/>
  <c r="B72" i="33"/>
  <c r="B70" i="33"/>
  <c r="J12" i="33" s="1"/>
  <c r="D96" i="35"/>
  <c r="E96" i="35" s="1"/>
  <c r="F96" i="35"/>
  <c r="G96" i="35" s="1"/>
  <c r="D94" i="35"/>
  <c r="E94" i="35" s="1"/>
  <c r="F94" i="35" s="1"/>
  <c r="G94" i="35" s="1"/>
  <c r="H94" i="35" s="1"/>
  <c r="I94" i="35" s="1"/>
  <c r="J94" i="35"/>
  <c r="K94" i="35" s="1"/>
  <c r="L94" i="35" s="1"/>
  <c r="M94" i="35" s="1"/>
  <c r="D84" i="35"/>
  <c r="E84" i="35" s="1"/>
  <c r="F84" i="35"/>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Q11" i="35"/>
  <c r="Z11" i="35" s="1"/>
  <c r="Q10" i="35"/>
  <c r="Z10" i="35" s="1"/>
  <c r="Q9" i="35"/>
  <c r="Z9" i="35" s="1"/>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s="1"/>
  <c r="G69" i="33" s="1"/>
  <c r="H69" i="33" s="1"/>
  <c r="I69" i="33" s="1"/>
  <c r="J69" i="33"/>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c r="D115" i="21"/>
  <c r="E115" i="21"/>
  <c r="F115" i="21" s="1"/>
  <c r="G115" i="21" s="1"/>
  <c r="H115" i="21" s="1"/>
  <c r="I115" i="21" s="1"/>
  <c r="J115" i="21" s="1"/>
  <c r="K115" i="2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c r="F38" i="21"/>
  <c r="S38" i="21" s="1"/>
  <c r="F36" i="21"/>
  <c r="S36" i="2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F45" i="39"/>
  <c r="S45" i="39" s="1"/>
  <c r="J45" i="39"/>
  <c r="W45" i="39"/>
  <c r="J44" i="39"/>
  <c r="AC44" i="39" s="1"/>
  <c r="F36" i="39"/>
  <c r="S36" i="39" s="1"/>
  <c r="H36" i="39"/>
  <c r="AB36" i="39" s="1"/>
  <c r="J35" i="39"/>
  <c r="F35" i="39"/>
  <c r="AA35" i="39" s="1"/>
  <c r="J36" i="39"/>
  <c r="AC36" i="39"/>
  <c r="U9" i="39"/>
  <c r="U30" i="37"/>
  <c r="W31" i="37"/>
  <c r="F103" i="37"/>
  <c r="G103" i="37" s="1"/>
  <c r="H103" i="37" s="1"/>
  <c r="I103" i="37" s="1"/>
  <c r="J103" i="37"/>
  <c r="K103" i="37" s="1"/>
  <c r="L103" i="37" s="1"/>
  <c r="M103" i="37" s="1"/>
  <c r="F39" i="37"/>
  <c r="S39" i="37"/>
  <c r="U14" i="37"/>
  <c r="F29" i="36"/>
  <c r="AA29" i="36" s="1"/>
  <c r="F16" i="36"/>
  <c r="AA16" i="36"/>
  <c r="U9" i="36"/>
  <c r="W28" i="36"/>
  <c r="U31" i="36"/>
  <c r="J33" i="36"/>
  <c r="AC33" i="36" s="1"/>
  <c r="H22" i="35"/>
  <c r="AB22" i="35" s="1"/>
  <c r="AC27" i="35"/>
  <c r="W28" i="35"/>
  <c r="U31" i="35"/>
  <c r="S34" i="35"/>
  <c r="W36" i="35"/>
  <c r="W22" i="35"/>
  <c r="S31" i="35"/>
  <c r="U34" i="35"/>
  <c r="H39" i="33"/>
  <c r="AB39" i="33" s="1"/>
  <c r="F26" i="33"/>
  <c r="AA26" i="33"/>
  <c r="U33" i="33"/>
  <c r="U35" i="33"/>
  <c r="S40" i="33"/>
  <c r="W33" i="33"/>
  <c r="W39" i="33"/>
  <c r="H39" i="37"/>
  <c r="AB39" i="37" s="1"/>
  <c r="S27" i="35"/>
  <c r="F11" i="40"/>
  <c r="AA11" i="40" s="1"/>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12" i="33"/>
  <c r="AB12" i="35"/>
  <c r="W32" i="40"/>
  <c r="F37" i="39"/>
  <c r="AA37" i="39" s="1"/>
  <c r="J34" i="36"/>
  <c r="W34" i="36" s="1"/>
  <c r="U30" i="36"/>
  <c r="J30" i="35"/>
  <c r="W30" i="35" s="1"/>
  <c r="H30" i="35"/>
  <c r="AB30" i="35" s="1"/>
  <c r="F22" i="35"/>
  <c r="AA22" i="35"/>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s="1"/>
  <c r="H16" i="35"/>
  <c r="U16" i="35"/>
  <c r="F16" i="35"/>
  <c r="S16" i="35" s="1"/>
  <c r="H14" i="35"/>
  <c r="AB14" i="35" s="1"/>
  <c r="J29" i="35"/>
  <c r="H33" i="35"/>
  <c r="AB33" i="35" s="1"/>
  <c r="J20" i="35"/>
  <c r="W20" i="35"/>
  <c r="F35" i="37"/>
  <c r="S35" i="37" s="1"/>
  <c r="E101" i="37"/>
  <c r="F101" i="37"/>
  <c r="G101" i="37" s="1"/>
  <c r="H101" i="37" s="1"/>
  <c r="I101" i="37" s="1"/>
  <c r="J101" i="37"/>
  <c r="K101" i="37" s="1"/>
  <c r="L101" i="37" s="1"/>
  <c r="M101" i="37" s="1"/>
  <c r="J34" i="37"/>
  <c r="W34" i="37" s="1"/>
  <c r="AA39" i="37"/>
  <c r="AB34" i="37"/>
  <c r="J33" i="37"/>
  <c r="AC33" i="37" s="1"/>
  <c r="F41" i="33"/>
  <c r="AA41" i="33" s="1"/>
  <c r="S38" i="33"/>
  <c r="E113" i="33"/>
  <c r="F32" i="33"/>
  <c r="AA32" i="33" s="1"/>
  <c r="J19" i="33"/>
  <c r="AC19" i="33"/>
  <c r="J15" i="33"/>
  <c r="AC15" i="33" s="1"/>
  <c r="F11" i="33"/>
  <c r="AA11" i="33" s="1"/>
  <c r="S26" i="33"/>
  <c r="W40" i="33"/>
  <c r="F37" i="40"/>
  <c r="AA37" i="40"/>
  <c r="F36" i="40"/>
  <c r="AA36" i="40" s="1"/>
  <c r="H28" i="40"/>
  <c r="U28" i="40"/>
  <c r="F23" i="40"/>
  <c r="AA23" i="40" s="1"/>
  <c r="F17" i="40"/>
  <c r="AA17" i="40"/>
  <c r="J17" i="40"/>
  <c r="W17" i="40" s="1"/>
  <c r="F15" i="40"/>
  <c r="S15" i="40"/>
  <c r="H15" i="40"/>
  <c r="AB15" i="40" s="1"/>
  <c r="AC11" i="40"/>
  <c r="S12" i="36"/>
  <c r="AA12" i="36"/>
  <c r="AB30" i="36"/>
  <c r="U33" i="35"/>
  <c r="F29" i="35"/>
  <c r="H29" i="35"/>
  <c r="AB29" i="35" s="1"/>
  <c r="H33" i="37"/>
  <c r="AB33" i="37" s="1"/>
  <c r="F33" i="37"/>
  <c r="AA33" i="37" s="1"/>
  <c r="U34" i="37"/>
  <c r="S34" i="37"/>
  <c r="AA34" i="37"/>
  <c r="S41" i="33"/>
  <c r="F113" i="33"/>
  <c r="G113" i="33" s="1"/>
  <c r="H113" i="33" s="1"/>
  <c r="I113" i="33" s="1"/>
  <c r="J113" i="33" s="1"/>
  <c r="K113" i="33" s="1"/>
  <c r="L113" i="33" s="1"/>
  <c r="M113" i="33" s="1"/>
  <c r="H37" i="33"/>
  <c r="AB37" i="33" s="1"/>
  <c r="H15" i="33"/>
  <c r="AB15" i="33"/>
  <c r="H11" i="33"/>
  <c r="AB11" i="33" s="1"/>
  <c r="F28" i="40"/>
  <c r="AA28" i="40" s="1"/>
  <c r="J11" i="33"/>
  <c r="W11" i="33" s="1"/>
  <c r="U23" i="40"/>
  <c r="J42" i="21"/>
  <c r="AC42" i="21" s="1"/>
  <c r="H42" i="21"/>
  <c r="U42" i="2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c r="L89" i="35" s="1"/>
  <c r="M89" i="35" s="1"/>
  <c r="H10" i="36"/>
  <c r="AB10" i="36" s="1"/>
  <c r="J14" i="36"/>
  <c r="AC14" i="36" s="1"/>
  <c r="H14" i="36"/>
  <c r="U14" i="36"/>
  <c r="F28" i="36"/>
  <c r="AA28" i="36" s="1"/>
  <c r="J13" i="21"/>
  <c r="AC13" i="21" s="1"/>
  <c r="H29" i="21"/>
  <c r="U29" i="21"/>
  <c r="J31" i="21"/>
  <c r="AC31" i="21" s="1"/>
  <c r="F31" i="21"/>
  <c r="S31" i="21"/>
  <c r="F45" i="21"/>
  <c r="AA45" i="21" s="1"/>
  <c r="F27" i="33"/>
  <c r="AA27" i="33"/>
  <c r="J13" i="33"/>
  <c r="H13" i="33"/>
  <c r="U13" i="33" s="1"/>
  <c r="F13" i="33"/>
  <c r="S13" i="33"/>
  <c r="J29" i="33"/>
  <c r="AC29" i="33" s="1"/>
  <c r="H29" i="33"/>
  <c r="U29" i="33"/>
  <c r="F29" i="33"/>
  <c r="S29" i="33" s="1"/>
  <c r="J31" i="33"/>
  <c r="W31" i="33"/>
  <c r="H31" i="33"/>
  <c r="AB31" i="33" s="1"/>
  <c r="F31" i="33"/>
  <c r="H45" i="33"/>
  <c r="U45" i="33"/>
  <c r="J45" i="33"/>
  <c r="W45" i="33" s="1"/>
  <c r="F45" i="33"/>
  <c r="AA45" i="33"/>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c r="G89" i="37"/>
  <c r="H89" i="37" s="1"/>
  <c r="I89" i="37" s="1"/>
  <c r="J89" i="37" s="1"/>
  <c r="K89" i="37"/>
  <c r="L89" i="37" s="1"/>
  <c r="M89" i="37" s="1"/>
  <c r="J29" i="37"/>
  <c r="W29" i="37"/>
  <c r="F29" i="37"/>
  <c r="S29" i="37" s="1"/>
  <c r="F105" i="37"/>
  <c r="H36" i="37"/>
  <c r="AB36" i="37"/>
  <c r="F107" i="37"/>
  <c r="J37" i="37"/>
  <c r="AC37" i="37"/>
  <c r="H37" i="37"/>
  <c r="U37" i="37" s="1"/>
  <c r="H40" i="37"/>
  <c r="U40" i="37"/>
  <c r="J40" i="37"/>
  <c r="AC40" i="37" s="1"/>
  <c r="F40" i="37"/>
  <c r="AA40" i="37"/>
  <c r="AC12" i="40"/>
  <c r="W12" i="40"/>
  <c r="F14" i="33"/>
  <c r="H30" i="33"/>
  <c r="AB30" i="33" s="1"/>
  <c r="F30" i="33"/>
  <c r="J30" i="33"/>
  <c r="H44" i="33"/>
  <c r="J44" i="33"/>
  <c r="AC44" i="33" s="1"/>
  <c r="S44" i="33"/>
  <c r="J46" i="33"/>
  <c r="AC46" i="33" s="1"/>
  <c r="F46" i="33"/>
  <c r="AA46" i="33"/>
  <c r="H46" i="33"/>
  <c r="AB46" i="33" s="1"/>
  <c r="J13" i="35"/>
  <c r="AC13" i="35" s="1"/>
  <c r="J25" i="35"/>
  <c r="W25" i="35" s="1"/>
  <c r="F25" i="35"/>
  <c r="S25" i="35"/>
  <c r="H25" i="35"/>
  <c r="AB25" i="35" s="1"/>
  <c r="F35" i="35"/>
  <c r="AA35" i="35" s="1"/>
  <c r="J25" i="36"/>
  <c r="W25" i="36" s="1"/>
  <c r="F25" i="36"/>
  <c r="S25" i="36"/>
  <c r="H25" i="36"/>
  <c r="AB25" i="36" s="1"/>
  <c r="F13" i="37"/>
  <c r="S13" i="37"/>
  <c r="F28" i="37"/>
  <c r="AA28" i="37"/>
  <c r="J28" i="37"/>
  <c r="AC28" i="37" s="1"/>
  <c r="H28" i="37"/>
  <c r="U28" i="37"/>
  <c r="H38" i="37"/>
  <c r="AB38" i="37" s="1"/>
  <c r="J38" i="37"/>
  <c r="AC38" i="37"/>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c r="F14" i="40"/>
  <c r="AA14" i="40" s="1"/>
  <c r="J14" i="37"/>
  <c r="AC14" i="37"/>
  <c r="J27" i="37"/>
  <c r="AC27" i="37" s="1"/>
  <c r="U46" i="33"/>
  <c r="J36" i="37"/>
  <c r="AC36" i="37"/>
  <c r="G105" i="37"/>
  <c r="J10" i="36"/>
  <c r="AC10" i="36" s="1"/>
  <c r="AB26" i="33"/>
  <c r="AB30" i="21"/>
  <c r="AA14" i="37"/>
  <c r="W13" i="36"/>
  <c r="S11" i="36"/>
  <c r="S45" i="33"/>
  <c r="AB45" i="33"/>
  <c r="U31" i="33"/>
  <c r="W29" i="33"/>
  <c r="BA585" i="3"/>
  <c r="F17" i="21"/>
  <c r="AA17" i="21" s="1"/>
  <c r="H17" i="21"/>
  <c r="AB17" i="21"/>
  <c r="F15" i="21"/>
  <c r="S15" i="21" s="1"/>
  <c r="J41" i="39"/>
  <c r="W41" i="39" s="1"/>
  <c r="AC45" i="39"/>
  <c r="W44" i="39"/>
  <c r="W36" i="39"/>
  <c r="U36" i="39"/>
  <c r="S35" i="39"/>
  <c r="G544" i="3"/>
  <c r="G540" i="3"/>
  <c r="G536" i="3"/>
  <c r="G535" i="3"/>
  <c r="G532" i="3"/>
  <c r="G531" i="3"/>
  <c r="G528" i="3"/>
  <c r="G527" i="3"/>
  <c r="G518" i="3"/>
  <c r="G514" i="3"/>
  <c r="G510" i="3"/>
  <c r="G504" i="3"/>
  <c r="G496" i="3"/>
  <c r="G584" i="3"/>
  <c r="G580" i="3"/>
  <c r="G576" i="3"/>
  <c r="G572" i="3"/>
  <c r="G564" i="3"/>
  <c r="G560" i="3"/>
  <c r="G554" i="3"/>
  <c r="G550" i="3"/>
  <c r="BL584" i="3"/>
  <c r="BL580" i="3"/>
  <c r="AZ580" i="3" s="1"/>
  <c r="BL576" i="3"/>
  <c r="BL572" i="3"/>
  <c r="BL564" i="3"/>
  <c r="AZ564" i="3" s="1"/>
  <c r="BL560" i="3"/>
  <c r="AZ560" i="3" s="1"/>
  <c r="BL554" i="3"/>
  <c r="BL546" i="3"/>
  <c r="BL542" i="3"/>
  <c r="BL538" i="3"/>
  <c r="BL534" i="3"/>
  <c r="BL530" i="3"/>
  <c r="BL526" i="3"/>
  <c r="BL522" i="3"/>
  <c r="BL502" i="3"/>
  <c r="BL582" i="3"/>
  <c r="BL578" i="3"/>
  <c r="BL574" i="3"/>
  <c r="BL570" i="3"/>
  <c r="BL566" i="3"/>
  <c r="BL562" i="3"/>
  <c r="BL556" i="3"/>
  <c r="BL552" i="3"/>
  <c r="BL544" i="3"/>
  <c r="AZ544" i="3" s="1"/>
  <c r="BL540" i="3"/>
  <c r="AZ540" i="3" s="1"/>
  <c r="BL536" i="3"/>
  <c r="G533" i="3"/>
  <c r="BL532" i="3"/>
  <c r="AZ532" i="3" s="1"/>
  <c r="G529" i="3"/>
  <c r="BL528" i="3"/>
  <c r="G525" i="3"/>
  <c r="BL518" i="3"/>
  <c r="BL500" i="3"/>
  <c r="BA584" i="3"/>
  <c r="AZ584" i="3" s="1"/>
  <c r="BA582" i="3"/>
  <c r="AZ582" i="3" s="1"/>
  <c r="BA580" i="3"/>
  <c r="BA578" i="3"/>
  <c r="BA576" i="3"/>
  <c r="AZ576" i="3"/>
  <c r="BA574" i="3"/>
  <c r="AZ574" i="3" s="1"/>
  <c r="BA572" i="3"/>
  <c r="AZ572" i="3"/>
  <c r="BA570" i="3"/>
  <c r="AZ570" i="3" s="1"/>
  <c r="BA566" i="3"/>
  <c r="AZ566" i="3" s="1"/>
  <c r="BA564" i="3"/>
  <c r="BA562" i="3"/>
  <c r="BA560" i="3"/>
  <c r="BA558" i="3"/>
  <c r="AZ558" i="3" s="1"/>
  <c r="BA556" i="3"/>
  <c r="AZ556" i="3"/>
  <c r="BA554" i="3"/>
  <c r="AZ554" i="3" s="1"/>
  <c r="BA552" i="3"/>
  <c r="AZ552" i="3"/>
  <c r="BA548" i="3"/>
  <c r="AZ548" i="3" s="1"/>
  <c r="BA546" i="3"/>
  <c r="BA544" i="3"/>
  <c r="BA542" i="3"/>
  <c r="AZ542" i="3"/>
  <c r="BA540" i="3"/>
  <c r="BA538" i="3"/>
  <c r="AZ538" i="3" s="1"/>
  <c r="BA536" i="3"/>
  <c r="AZ536" i="3"/>
  <c r="BA534" i="3"/>
  <c r="AZ534" i="3" s="1"/>
  <c r="BA532" i="3"/>
  <c r="BA530" i="3"/>
  <c r="BA528" i="3"/>
  <c r="AZ528" i="3" s="1"/>
  <c r="BA526" i="3"/>
  <c r="AZ526" i="3"/>
  <c r="BA520" i="3"/>
  <c r="BA510" i="3"/>
  <c r="BA504" i="3"/>
  <c r="AZ504" i="3" s="1"/>
  <c r="BA498" i="3"/>
  <c r="BA587" i="3"/>
  <c r="BA583" i="3"/>
  <c r="BA581" i="3"/>
  <c r="BA579" i="3"/>
  <c r="BA577" i="3"/>
  <c r="BA575" i="3"/>
  <c r="BA573" i="3"/>
  <c r="AZ573" i="3" s="1"/>
  <c r="BA571" i="3"/>
  <c r="BA565" i="3"/>
  <c r="AZ565" i="3" s="1"/>
  <c r="BA563" i="3"/>
  <c r="BA561" i="3"/>
  <c r="BA559" i="3"/>
  <c r="BA555" i="3"/>
  <c r="BA553" i="3"/>
  <c r="AZ553" i="3" s="1"/>
  <c r="BA549" i="3"/>
  <c r="BA547" i="3"/>
  <c r="BA545" i="3"/>
  <c r="BA543" i="3"/>
  <c r="BA541" i="3"/>
  <c r="BA539" i="3"/>
  <c r="BA537" i="3"/>
  <c r="BA535" i="3"/>
  <c r="AZ535" i="3" s="1"/>
  <c r="BA533" i="3"/>
  <c r="BA531" i="3"/>
  <c r="BA529" i="3"/>
  <c r="BA527" i="3"/>
  <c r="BA519" i="3"/>
  <c r="BA511" i="3"/>
  <c r="BA501" i="3"/>
  <c r="BA493" i="3"/>
  <c r="G583" i="3"/>
  <c r="G581" i="3"/>
  <c r="G579" i="3"/>
  <c r="G577" i="3"/>
  <c r="G575" i="3"/>
  <c r="G573" i="3"/>
  <c r="G571" i="3"/>
  <c r="G569" i="3"/>
  <c r="G567" i="3"/>
  <c r="G565" i="3"/>
  <c r="G563" i="3"/>
  <c r="G561" i="3"/>
  <c r="BL558" i="3"/>
  <c r="BA557" i="3"/>
  <c r="AZ557" i="3"/>
  <c r="AC557" i="3"/>
  <c r="G557" i="3" s="1"/>
  <c r="BQ557" i="3"/>
  <c r="BL557" i="3"/>
  <c r="BQ583" i="3"/>
  <c r="BL583" i="3" s="1"/>
  <c r="AZ583" i="3" s="1"/>
  <c r="BQ581" i="3"/>
  <c r="BL581" i="3"/>
  <c r="AZ581" i="3" s="1"/>
  <c r="BQ579" i="3"/>
  <c r="BL579" i="3"/>
  <c r="AZ579" i="3"/>
  <c r="BQ577" i="3"/>
  <c r="BL577" i="3" s="1"/>
  <c r="AZ577" i="3" s="1"/>
  <c r="BQ575" i="3"/>
  <c r="BL575" i="3"/>
  <c r="BQ573" i="3"/>
  <c r="BL573" i="3"/>
  <c r="BQ571" i="3"/>
  <c r="BL571" i="3"/>
  <c r="AZ571" i="3"/>
  <c r="BQ569" i="3"/>
  <c r="BQ567" i="3"/>
  <c r="BL567" i="3"/>
  <c r="BQ565" i="3"/>
  <c r="BL565" i="3"/>
  <c r="BQ563" i="3"/>
  <c r="BL563" i="3"/>
  <c r="BQ561" i="3"/>
  <c r="BL561" i="3" s="1"/>
  <c r="AZ561" i="3" s="1"/>
  <c r="BQ559" i="3"/>
  <c r="BL559" i="3" s="1"/>
  <c r="AZ559" i="3" s="1"/>
  <c r="G559" i="3"/>
  <c r="G555" i="3"/>
  <c r="G553" i="3"/>
  <c r="G549" i="3"/>
  <c r="G547" i="3"/>
  <c r="G545" i="3"/>
  <c r="G543" i="3"/>
  <c r="G541" i="3"/>
  <c r="G539" i="3"/>
  <c r="G537" i="3"/>
  <c r="BQ555" i="3"/>
  <c r="BL555" i="3"/>
  <c r="BQ553" i="3"/>
  <c r="BL553" i="3"/>
  <c r="BQ551" i="3"/>
  <c r="BL551" i="3"/>
  <c r="BQ549" i="3"/>
  <c r="BL549" i="3" s="1"/>
  <c r="AZ549" i="3" s="1"/>
  <c r="BQ547" i="3"/>
  <c r="BL547" i="3" s="1"/>
  <c r="AZ547" i="3"/>
  <c r="BQ545" i="3"/>
  <c r="BL545" i="3"/>
  <c r="BQ543" i="3"/>
  <c r="BL543" i="3"/>
  <c r="AZ543" i="3" s="1"/>
  <c r="BQ541" i="3"/>
  <c r="BL541" i="3"/>
  <c r="AZ541" i="3"/>
  <c r="BQ539" i="3"/>
  <c r="BL539" i="3" s="1"/>
  <c r="AZ539" i="3"/>
  <c r="BQ537" i="3"/>
  <c r="BL537" i="3"/>
  <c r="BQ535" i="3"/>
  <c r="BL535" i="3"/>
  <c r="BQ533" i="3"/>
  <c r="BL533" i="3"/>
  <c r="AZ533" i="3"/>
  <c r="BQ531" i="3"/>
  <c r="BL531" i="3" s="1"/>
  <c r="AZ531" i="3"/>
  <c r="BQ529" i="3"/>
  <c r="BL529" i="3"/>
  <c r="BQ527" i="3"/>
  <c r="BL527" i="3"/>
  <c r="AZ527" i="3" s="1"/>
  <c r="BQ525" i="3"/>
  <c r="BQ523" i="3"/>
  <c r="AC521" i="3"/>
  <c r="G521" i="3"/>
  <c r="BQ521" i="3"/>
  <c r="BL521" i="3"/>
  <c r="G519" i="3"/>
  <c r="G513" i="3"/>
  <c r="G511" i="3"/>
  <c r="BQ519" i="3"/>
  <c r="BQ517" i="3"/>
  <c r="BQ515" i="3"/>
  <c r="BQ513" i="3"/>
  <c r="BL513" i="3"/>
  <c r="BQ511" i="3"/>
  <c r="BA509" i="3"/>
  <c r="AC509" i="3"/>
  <c r="BQ509" i="3"/>
  <c r="BL508" i="3"/>
  <c r="G507" i="3"/>
  <c r="G505" i="3"/>
  <c r="G503" i="3"/>
  <c r="G499" i="3"/>
  <c r="G497" i="3"/>
  <c r="G495" i="3"/>
  <c r="BQ507" i="3"/>
  <c r="BQ505" i="3"/>
  <c r="BL505" i="3"/>
  <c r="BQ503" i="3"/>
  <c r="BL503" i="3"/>
  <c r="BQ501" i="3"/>
  <c r="BQ499" i="3"/>
  <c r="BQ497" i="3"/>
  <c r="BQ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s="1"/>
  <c r="J25" i="21"/>
  <c r="AC25" i="21" s="1"/>
  <c r="E125" i="33"/>
  <c r="F125" i="33" s="1"/>
  <c r="G125" i="33" s="1"/>
  <c r="H43" i="33"/>
  <c r="AB43" i="33"/>
  <c r="H17" i="37"/>
  <c r="U17" i="37" s="1"/>
  <c r="AB27" i="37"/>
  <c r="U32" i="33"/>
  <c r="AA36" i="39"/>
  <c r="F39" i="33"/>
  <c r="AA39" i="33"/>
  <c r="E123" i="33"/>
  <c r="F42" i="33"/>
  <c r="AA42" i="33" s="1"/>
  <c r="F14" i="36"/>
  <c r="AA14" i="36"/>
  <c r="F22" i="36"/>
  <c r="S22" i="36" s="1"/>
  <c r="F26" i="36"/>
  <c r="S26" i="36"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s="1"/>
  <c r="J123" i="33" s="1"/>
  <c r="K123" i="33" s="1"/>
  <c r="L123" i="33" s="1"/>
  <c r="M123" i="33" s="1"/>
  <c r="H42" i="33"/>
  <c r="AB42" i="33"/>
  <c r="J43" i="33"/>
  <c r="AC43" i="33" s="1"/>
  <c r="U43" i="33"/>
  <c r="AA12" i="35"/>
  <c r="W14" i="37"/>
  <c r="AB28" i="37"/>
  <c r="U33" i="37"/>
  <c r="U39" i="37"/>
  <c r="U26" i="37"/>
  <c r="AA13" i="33"/>
  <c r="AC31" i="33"/>
  <c r="AC45" i="33"/>
  <c r="W44" i="33"/>
  <c r="U11" i="33"/>
  <c r="U19" i="21"/>
  <c r="W44" i="21"/>
  <c r="U26" i="21"/>
  <c r="AC46" i="21"/>
  <c r="AB38" i="21"/>
  <c r="F43" i="33"/>
  <c r="AA43" i="33" s="1"/>
  <c r="W16" i="35"/>
  <c r="W40" i="37"/>
  <c r="G107" i="37"/>
  <c r="H107" i="37" s="1"/>
  <c r="I107" i="37" s="1"/>
  <c r="J107" i="37" s="1"/>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W35" i="40"/>
  <c r="A118" i="9"/>
  <c r="A4" i="52"/>
  <c r="B41" i="72" s="1"/>
  <c r="J11" i="39"/>
  <c r="W11" i="39"/>
  <c r="F11" i="39"/>
  <c r="S11" i="39" s="1"/>
  <c r="AA11" i="39"/>
  <c r="G4" i="4"/>
  <c r="I4" i="4"/>
  <c r="A2" i="9"/>
  <c r="F61" i="43"/>
  <c r="H64" i="43" s="1"/>
  <c r="AZ24" i="3"/>
  <c r="AZ28" i="3"/>
  <c r="AZ3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BL136" i="3"/>
  <c r="G137" i="3"/>
  <c r="BA139" i="3"/>
  <c r="AZ139" i="3" s="1"/>
  <c r="BL140" i="3"/>
  <c r="AZ140" i="3" s="1"/>
  <c r="G141" i="3"/>
  <c r="BA143" i="3"/>
  <c r="AZ143" i="3"/>
  <c r="BL144" i="3"/>
  <c r="G145" i="3"/>
  <c r="BA147" i="3"/>
  <c r="BL148" i="3"/>
  <c r="AZ148" i="3"/>
  <c r="G149" i="3"/>
  <c r="BA151" i="3"/>
  <c r="AZ151" i="3" s="1"/>
  <c r="BL152" i="3"/>
  <c r="G153" i="3"/>
  <c r="BA155" i="3"/>
  <c r="AZ155" i="3" s="1"/>
  <c r="BL156" i="3"/>
  <c r="G157" i="3"/>
  <c r="BA159" i="3"/>
  <c r="AZ159" i="3"/>
  <c r="BL160" i="3"/>
  <c r="AZ160" i="3" s="1"/>
  <c r="G161" i="3"/>
  <c r="BA163" i="3"/>
  <c r="AZ163" i="3"/>
  <c r="BL164" i="3"/>
  <c r="AZ164" i="3"/>
  <c r="G165" i="3"/>
  <c r="BA167" i="3"/>
  <c r="AZ167" i="3" s="1"/>
  <c r="BL168" i="3"/>
  <c r="G169" i="3"/>
  <c r="BA171" i="3"/>
  <c r="AZ171" i="3" s="1"/>
  <c r="BL172" i="3"/>
  <c r="G173" i="3"/>
  <c r="BA175" i="3"/>
  <c r="BL176" i="3"/>
  <c r="G177" i="3"/>
  <c r="BA179" i="3"/>
  <c r="AZ179" i="3"/>
  <c r="BL180" i="3"/>
  <c r="AZ180" i="3"/>
  <c r="G181" i="3"/>
  <c r="BA183" i="3"/>
  <c r="AZ183" i="3" s="1"/>
  <c r="BL184" i="3"/>
  <c r="AZ184" i="3" s="1"/>
  <c r="G185" i="3"/>
  <c r="BA187" i="3"/>
  <c r="AZ187" i="3" s="1"/>
  <c r="BL188" i="3"/>
  <c r="AZ188" i="3" s="1"/>
  <c r="G189" i="3"/>
  <c r="BA191" i="3"/>
  <c r="BL192" i="3"/>
  <c r="AZ192" i="3" s="1"/>
  <c r="G193" i="3"/>
  <c r="BA195" i="3"/>
  <c r="BL196" i="3"/>
  <c r="AZ196" i="3"/>
  <c r="G197" i="3"/>
  <c r="BA199" i="3"/>
  <c r="AZ199" i="3" s="1"/>
  <c r="BL200" i="3"/>
  <c r="G201" i="3"/>
  <c r="BA203" i="3"/>
  <c r="AZ203" i="3" s="1"/>
  <c r="BL204" i="3"/>
  <c r="AZ204" i="3" s="1"/>
  <c r="AZ39" i="3"/>
  <c r="AZ51" i="3"/>
  <c r="AZ55" i="3"/>
  <c r="AZ59" i="3"/>
  <c r="AZ63" i="3"/>
  <c r="AZ67" i="3"/>
  <c r="AZ75" i="3"/>
  <c r="AZ136" i="3"/>
  <c r="AZ144" i="3"/>
  <c r="AZ168" i="3"/>
  <c r="AZ176" i="3"/>
  <c r="AZ89"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AZ390" i="3" s="1"/>
  <c r="BL390" i="3"/>
  <c r="G391" i="3"/>
  <c r="G394" i="3"/>
  <c r="AZ146" i="3"/>
  <c r="AZ150" i="3"/>
  <c r="AZ154" i="3"/>
  <c r="AZ170" i="3"/>
  <c r="AZ174" i="3"/>
  <c r="AZ190" i="3"/>
  <c r="AZ194" i="3"/>
  <c r="AZ198"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BL331" i="3"/>
  <c r="G332" i="3"/>
  <c r="BA334" i="3"/>
  <c r="AZ334" i="3"/>
  <c r="BL335" i="3"/>
  <c r="G336" i="3"/>
  <c r="BA338" i="3"/>
  <c r="AZ338" i="3"/>
  <c r="BL339" i="3"/>
  <c r="G340" i="3"/>
  <c r="BL343" i="3"/>
  <c r="G344" i="3"/>
  <c r="G348" i="3"/>
  <c r="G355" i="3"/>
  <c r="AZ214" i="3"/>
  <c r="AZ303" i="3"/>
  <c r="AZ335" i="3"/>
  <c r="G342" i="3"/>
  <c r="BL345" i="3"/>
  <c r="AZ345" i="3" s="1"/>
  <c r="G346" i="3"/>
  <c r="BL349" i="3"/>
  <c r="BL352" i="3"/>
  <c r="G353" i="3"/>
  <c r="BA357" i="3"/>
  <c r="AZ357" i="3" s="1"/>
  <c r="BL358" i="3"/>
  <c r="G359" i="3"/>
  <c r="BA361" i="3"/>
  <c r="AZ361" i="3"/>
  <c r="BL362" i="3"/>
  <c r="G363" i="3"/>
  <c r="BA365" i="3"/>
  <c r="BL366" i="3"/>
  <c r="G367" i="3"/>
  <c r="BA369" i="3"/>
  <c r="AZ369" i="3" s="1"/>
  <c r="BL370" i="3"/>
  <c r="AZ370" i="3" s="1"/>
  <c r="G371" i="3"/>
  <c r="BA373" i="3"/>
  <c r="AZ373" i="3" s="1"/>
  <c r="BL374" i="3"/>
  <c r="AZ374" i="3" s="1"/>
  <c r="G375" i="3"/>
  <c r="BA377" i="3"/>
  <c r="AZ377" i="3"/>
  <c r="AZ233" i="3"/>
  <c r="AZ237" i="3"/>
  <c r="AZ245" i="3"/>
  <c r="AZ257" i="3"/>
  <c r="AZ273" i="3"/>
  <c r="BA379" i="3"/>
  <c r="AZ379" i="3" s="1"/>
  <c r="BL380" i="3"/>
  <c r="G381" i="3"/>
  <c r="BA383" i="3"/>
  <c r="AZ383" i="3" s="1"/>
  <c r="BL384" i="3"/>
  <c r="AZ384" i="3" s="1"/>
  <c r="G385" i="3"/>
  <c r="BA387" i="3"/>
  <c r="AZ387" i="3" s="1"/>
  <c r="BL388" i="3"/>
  <c r="G389" i="3"/>
  <c r="BA391" i="3"/>
  <c r="AZ391" i="3" s="1"/>
  <c r="BL392" i="3"/>
  <c r="AZ392" i="3" s="1"/>
  <c r="G393" i="3"/>
  <c r="AZ275" i="3"/>
  <c r="BO5" i="3"/>
  <c r="BM5" i="3"/>
  <c r="BJ5" i="3"/>
  <c r="BH5" i="3"/>
  <c r="BF5" i="3"/>
  <c r="BD5" i="3"/>
  <c r="AZ317" i="3"/>
  <c r="AZ325" i="3"/>
  <c r="AZ333" i="3"/>
  <c r="AC5" i="3"/>
  <c r="G548" i="3"/>
  <c r="G538" i="3"/>
  <c r="G520" i="3"/>
  <c r="G502" i="3"/>
  <c r="BS5" i="3"/>
  <c r="BP5" i="3"/>
  <c r="BN5" i="3"/>
  <c r="BK5" i="3"/>
  <c r="BI5" i="3"/>
  <c r="BG5" i="3"/>
  <c r="BE5" i="3"/>
  <c r="BC5" i="3"/>
  <c r="G17" i="3"/>
  <c r="BA17" i="3"/>
  <c r="BT5" i="3"/>
  <c r="AZ356" i="3"/>
  <c r="AZ364" i="3"/>
  <c r="BA15" i="3"/>
  <c r="AZ15" i="3" s="1"/>
  <c r="BB5" i="3"/>
  <c r="BR5" i="3"/>
  <c r="AZ380" i="3"/>
  <c r="AZ396" i="3"/>
  <c r="AZ499" i="3"/>
  <c r="G509" i="3"/>
  <c r="AZ491" i="3"/>
  <c r="U36" i="40"/>
  <c r="F83" i="43"/>
  <c r="H85" i="43" s="1"/>
  <c r="F50" i="43"/>
  <c r="H54" i="43" s="1"/>
  <c r="F72" i="43"/>
  <c r="H75" i="43" s="1"/>
  <c r="U17" i="39"/>
  <c r="S14" i="35"/>
  <c r="U43" i="21"/>
  <c r="U35" i="21"/>
  <c r="AC35" i="21"/>
  <c r="G10" i="1"/>
  <c r="AC11" i="39"/>
  <c r="AZ563" i="3"/>
  <c r="W37" i="37"/>
  <c r="U12" i="40"/>
  <c r="AA12" i="40"/>
  <c r="J37" i="33"/>
  <c r="W37" i="33"/>
  <c r="F106" i="33"/>
  <c r="G106" i="33"/>
  <c r="H106" i="33" s="1"/>
  <c r="I106" i="33" s="1"/>
  <c r="J106" i="33" s="1"/>
  <c r="K106" i="33" s="1"/>
  <c r="L106" i="33" s="1"/>
  <c r="M106" i="33" s="1"/>
  <c r="J34" i="33"/>
  <c r="W34" i="33"/>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S34" i="33"/>
  <c r="H34" i="33"/>
  <c r="U34" i="33"/>
  <c r="F35" i="33"/>
  <c r="S35" i="33"/>
  <c r="AC38" i="39"/>
  <c r="F39" i="39"/>
  <c r="S39" i="39" s="1"/>
  <c r="J39" i="39"/>
  <c r="AC39" i="39" s="1"/>
  <c r="E96" i="39"/>
  <c r="F96" i="39" s="1"/>
  <c r="G96" i="39" s="1"/>
  <c r="AZ354" i="3"/>
  <c r="C40" i="11"/>
  <c r="AZ235" i="3"/>
  <c r="AZ240" i="3"/>
  <c r="AZ248" i="3"/>
  <c r="AZ114" i="3"/>
  <c r="AZ117" i="3"/>
  <c r="AZ29" i="3"/>
  <c r="AZ31" i="3"/>
  <c r="AZ37" i="3"/>
  <c r="AZ42" i="3"/>
  <c r="AZ45" i="3"/>
  <c r="AZ50" i="3"/>
  <c r="AZ53" i="3"/>
  <c r="AZ61" i="3"/>
  <c r="AZ69" i="3"/>
  <c r="AZ72" i="3"/>
  <c r="AZ74" i="3"/>
  <c r="AZ77" i="3"/>
  <c r="AZ82" i="3"/>
  <c r="AZ86" i="3"/>
  <c r="AZ94" i="3"/>
  <c r="AZ102" i="3"/>
  <c r="AZ110" i="3"/>
  <c r="F23" i="39"/>
  <c r="AA23" i="39" s="1"/>
  <c r="H27" i="36"/>
  <c r="U27" i="36" s="1"/>
  <c r="F27" i="36"/>
  <c r="AA27" i="36" s="1"/>
  <c r="F32" i="37"/>
  <c r="G96" i="37"/>
  <c r="H96" i="37" s="1"/>
  <c r="I96" i="37" s="1"/>
  <c r="J96" i="37" s="1"/>
  <c r="K96" i="37" s="1"/>
  <c r="L96" i="37" s="1"/>
  <c r="M96" i="37" s="1"/>
  <c r="F20" i="36"/>
  <c r="AA20" i="36"/>
  <c r="H23" i="39"/>
  <c r="U23" i="39" s="1"/>
  <c r="D48" i="9"/>
  <c r="M52" i="9" s="1"/>
  <c r="K9" i="1"/>
  <c r="M9" i="1" s="1"/>
  <c r="D93" i="9"/>
  <c r="K6" i="1"/>
  <c r="AP6" i="1" s="1"/>
  <c r="G29" i="6"/>
  <c r="AC26" i="33"/>
  <c r="W26" i="33"/>
  <c r="AB34" i="36"/>
  <c r="U34" i="36"/>
  <c r="AB33" i="36"/>
  <c r="U33" i="36"/>
  <c r="AC12" i="39"/>
  <c r="W12" i="39"/>
  <c r="AZ401" i="3"/>
  <c r="AZ412" i="3"/>
  <c r="AZ417" i="3"/>
  <c r="AZ428" i="3"/>
  <c r="AZ433" i="3"/>
  <c r="AZ465" i="3"/>
  <c r="W12" i="33"/>
  <c r="AC12" i="33"/>
  <c r="AA32" i="36"/>
  <c r="S32" i="36"/>
  <c r="AZ550" i="3"/>
  <c r="AZ408" i="3"/>
  <c r="AZ437" i="3"/>
  <c r="AZ441" i="3"/>
  <c r="AZ457" i="3"/>
  <c r="AZ473" i="3"/>
  <c r="AZ490" i="3"/>
  <c r="F28" i="6"/>
  <c r="BL14" i="3"/>
  <c r="U30" i="33"/>
  <c r="W28" i="37"/>
  <c r="S19" i="39"/>
  <c r="F12" i="33"/>
  <c r="H12" i="39"/>
  <c r="AB12" i="39"/>
  <c r="F39" i="40"/>
  <c r="BA14" i="3"/>
  <c r="AZ14" i="3" s="1"/>
  <c r="AZ367" i="3"/>
  <c r="AZ250" i="3"/>
  <c r="AZ254" i="3"/>
  <c r="AZ286" i="3"/>
  <c r="AZ173" i="3"/>
  <c r="AZ181" i="3"/>
  <c r="AZ189" i="3"/>
  <c r="AZ197" i="3"/>
  <c r="AZ26" i="3"/>
  <c r="AZ35" i="3"/>
  <c r="AZ41" i="3"/>
  <c r="B12" i="1"/>
  <c r="E12" i="1" s="1"/>
  <c r="B10" i="1"/>
  <c r="E10" i="1" s="1"/>
  <c r="AZ80" i="3"/>
  <c r="AZ84" i="3"/>
  <c r="K12" i="1"/>
  <c r="M12" i="1" s="1"/>
  <c r="S13" i="1"/>
  <c r="AR13" i="1" s="1"/>
  <c r="R13" i="1"/>
  <c r="J51" i="67"/>
  <c r="C42" i="1"/>
  <c r="AC34" i="33"/>
  <c r="AA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F79" i="37"/>
  <c r="F23" i="37"/>
  <c r="U23" i="37"/>
  <c r="U15" i="37"/>
  <c r="AA13" i="37"/>
  <c r="H10" i="37"/>
  <c r="AB10" i="37" s="1"/>
  <c r="F63" i="37"/>
  <c r="F11" i="37"/>
  <c r="S11" i="37" s="1"/>
  <c r="W42" i="33"/>
  <c r="AA35" i="33"/>
  <c r="S27" i="33"/>
  <c r="S32" i="33"/>
  <c r="AA29" i="33"/>
  <c r="AB29" i="33"/>
  <c r="W38" i="33"/>
  <c r="H41" i="33"/>
  <c r="F121" i="33"/>
  <c r="G121" i="33"/>
  <c r="H121" i="33" s="1"/>
  <c r="I121" i="33"/>
  <c r="J121" i="33" s="1"/>
  <c r="K121" i="33"/>
  <c r="L121" i="33" s="1"/>
  <c r="M121" i="33" s="1"/>
  <c r="U42" i="33"/>
  <c r="S42" i="33"/>
  <c r="F36" i="33"/>
  <c r="AA36" i="33" s="1"/>
  <c r="G111" i="33"/>
  <c r="G108" i="33"/>
  <c r="H108" i="33"/>
  <c r="I108" i="33" s="1"/>
  <c r="J108" i="33"/>
  <c r="K108" i="33" s="1"/>
  <c r="L108" i="33" s="1"/>
  <c r="M108" i="33" s="1"/>
  <c r="J35" i="33"/>
  <c r="W35" i="33" s="1"/>
  <c r="S37" i="33"/>
  <c r="AA37" i="33"/>
  <c r="S39" i="33"/>
  <c r="F101" i="33"/>
  <c r="G101" i="33" s="1"/>
  <c r="H101" i="33"/>
  <c r="I101" i="33" s="1"/>
  <c r="J101" i="33"/>
  <c r="K101" i="33" s="1"/>
  <c r="L101" i="33" s="1"/>
  <c r="M101" i="33" s="1"/>
  <c r="J32" i="33"/>
  <c r="W32" i="33" s="1"/>
  <c r="S46" i="33"/>
  <c r="W43" i="33"/>
  <c r="S43" i="33"/>
  <c r="F91" i="33"/>
  <c r="H27" i="33"/>
  <c r="F87" i="33"/>
  <c r="H25" i="33"/>
  <c r="F25" i="33"/>
  <c r="J23" i="33"/>
  <c r="F85" i="33"/>
  <c r="H23" i="33"/>
  <c r="U23" i="33" s="1"/>
  <c r="F81" i="33"/>
  <c r="F19" i="33"/>
  <c r="S19" i="33"/>
  <c r="W19" i="33"/>
  <c r="J17" i="33"/>
  <c r="AC17" i="33" s="1"/>
  <c r="F79" i="33"/>
  <c r="S15" i="33"/>
  <c r="W15" i="33"/>
  <c r="U9" i="33"/>
  <c r="J10" i="33"/>
  <c r="W10" i="33" s="1"/>
  <c r="H10" i="33"/>
  <c r="U10" i="33" s="1"/>
  <c r="AC11" i="33"/>
  <c r="W43" i="21"/>
  <c r="W36" i="21"/>
  <c r="W41" i="21"/>
  <c r="AB39" i="21"/>
  <c r="AA43" i="21"/>
  <c r="S39" i="21"/>
  <c r="AA38" i="21"/>
  <c r="AA36" i="21"/>
  <c r="AC40" i="21"/>
  <c r="J15" i="21"/>
  <c r="F77" i="21"/>
  <c r="G77" i="21" s="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AA16" i="35"/>
  <c r="AA35" i="37"/>
  <c r="W36" i="37"/>
  <c r="S27" i="37"/>
  <c r="S28" i="37"/>
  <c r="W32" i="37"/>
  <c r="U36" i="37"/>
  <c r="S40" i="37"/>
  <c r="U38" i="37"/>
  <c r="AB37" i="37"/>
  <c r="AC34" i="37"/>
  <c r="AB35" i="37"/>
  <c r="AA31" i="37"/>
  <c r="U19" i="37"/>
  <c r="AA29" i="37"/>
  <c r="U8" i="37"/>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9" i="21"/>
  <c r="W39" i="21"/>
  <c r="AC14" i="21"/>
  <c r="W30" i="21"/>
  <c r="S46" i="21"/>
  <c r="H45" i="21"/>
  <c r="U45" i="21" s="1"/>
  <c r="F29" i="21"/>
  <c r="S29" i="21"/>
  <c r="F13" i="21"/>
  <c r="S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25" i="21"/>
  <c r="AA29"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J23" i="37"/>
  <c r="W23" i="37" s="1"/>
  <c r="G79" i="37"/>
  <c r="J10" i="37"/>
  <c r="W10" i="37" s="1"/>
  <c r="G63" i="37"/>
  <c r="H11" i="37"/>
  <c r="AB11" i="37" s="1"/>
  <c r="AB41" i="33"/>
  <c r="U41" i="33"/>
  <c r="AC35" i="33"/>
  <c r="H111" i="33"/>
  <c r="I111" i="33"/>
  <c r="J111" i="33" s="1"/>
  <c r="K111" i="33" s="1"/>
  <c r="L111" i="33" s="1"/>
  <c r="M111" i="33" s="1"/>
  <c r="J36" i="33"/>
  <c r="W36" i="33" s="1"/>
  <c r="H36" i="33"/>
  <c r="U36" i="33" s="1"/>
  <c r="S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W25" i="33" s="1"/>
  <c r="AB23" i="33"/>
  <c r="F23" i="33"/>
  <c r="S23" i="33" s="1"/>
  <c r="G85" i="33"/>
  <c r="AC23" i="33"/>
  <c r="W23" i="33"/>
  <c r="AA19" i="33"/>
  <c r="H19" i="33"/>
  <c r="AB19" i="33" s="1"/>
  <c r="G81" i="33"/>
  <c r="G79" i="33"/>
  <c r="H17" i="33"/>
  <c r="U17" i="33" s="1"/>
  <c r="F17" i="33"/>
  <c r="AA17" i="33" s="1"/>
  <c r="W17" i="33"/>
  <c r="S37" i="21"/>
  <c r="AA23" i="21"/>
  <c r="AB15" i="21"/>
  <c r="J23" i="21"/>
  <c r="F85" i="21"/>
  <c r="G85" i="21"/>
  <c r="H23" i="21"/>
  <c r="U23" i="21" s="1"/>
  <c r="D6" i="52"/>
  <c r="AP7" i="1"/>
  <c r="AA32" i="21"/>
  <c r="S32" i="21"/>
  <c r="W9" i="21"/>
  <c r="AB32" i="21"/>
  <c r="U32" i="21"/>
  <c r="U32" i="39"/>
  <c r="W32" i="39"/>
  <c r="W19" i="37"/>
  <c r="AC19" i="37"/>
  <c r="AC23" i="37"/>
  <c r="H63" i="37"/>
  <c r="I63" i="37" s="1"/>
  <c r="J63" i="37" s="1"/>
  <c r="K63" i="37" s="1"/>
  <c r="L63" i="37" s="1"/>
  <c r="M63" i="37" s="1"/>
  <c r="J11" i="37"/>
  <c r="AC11" i="37" s="1"/>
  <c r="AB36" i="33"/>
  <c r="W27" i="33"/>
  <c r="AC27" i="33"/>
  <c r="AC25" i="33"/>
  <c r="AA23" i="33"/>
  <c r="AB17" i="33"/>
  <c r="AC23" i="21"/>
  <c r="W23" i="21"/>
  <c r="H109" i="9"/>
  <c r="D16" i="53" s="1"/>
  <c r="B34" i="72" s="1"/>
  <c r="H112" i="9"/>
  <c r="D21" i="53"/>
  <c r="B39" i="72" s="1"/>
  <c r="H111" i="9"/>
  <c r="D126" i="9" s="1"/>
  <c r="AD3" i="71"/>
  <c r="J1" i="73"/>
  <c r="H69" i="43"/>
  <c r="C24" i="12"/>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E9" i="76"/>
  <c r="F20" i="31"/>
  <c r="E2" i="69"/>
  <c r="F4" i="73"/>
  <c r="M24" i="67"/>
  <c r="B10" i="76"/>
  <c r="B13" i="76"/>
  <c r="E2" i="68"/>
  <c r="F6" i="73"/>
  <c r="F7" i="67"/>
  <c r="M8" i="15"/>
  <c r="D6" i="73"/>
  <c r="M26" i="67"/>
  <c r="F42" i="15"/>
  <c r="F3" i="73"/>
  <c r="F6" i="67"/>
  <c r="F16" i="67"/>
  <c r="M24" i="15"/>
  <c r="F8" i="15"/>
  <c r="F13" i="67"/>
  <c r="D5" i="73"/>
  <c r="F5" i="73"/>
  <c r="C76" i="67"/>
  <c r="D3" i="73"/>
  <c r="M26" i="15"/>
  <c r="F37" i="67"/>
  <c r="E11" i="76"/>
  <c r="M28" i="15"/>
  <c r="M22" i="67"/>
  <c r="M29" i="67"/>
  <c r="B12" i="76"/>
  <c r="M8" i="67"/>
  <c r="F6" i="15"/>
  <c r="F43" i="67"/>
  <c r="F9" i="67"/>
  <c r="F26" i="67"/>
  <c r="F36" i="15"/>
  <c r="F37" i="15"/>
  <c r="M23" i="67"/>
  <c r="F38" i="15"/>
  <c r="B9" i="76"/>
  <c r="F38" i="67"/>
  <c r="M28" i="67"/>
  <c r="E12" i="76"/>
  <c r="F42" i="67"/>
  <c r="C76" i="15"/>
  <c r="E8" i="76"/>
  <c r="E10" i="76"/>
  <c r="E7" i="76"/>
  <c r="M9" i="67"/>
  <c r="L47" i="67"/>
  <c r="F40" i="67"/>
  <c r="M6" i="67"/>
  <c r="J15" i="67"/>
  <c r="F36" i="67"/>
  <c r="B11" i="76"/>
  <c r="B8" i="76"/>
  <c r="F8" i="67"/>
  <c r="B7" i="76"/>
  <c r="E13" i="76"/>
  <c r="AO13" i="1"/>
  <c r="F7" i="73"/>
  <c r="D7" i="73"/>
  <c r="M22" i="15"/>
  <c r="D20" i="71" l="1"/>
  <c r="U20" i="71" s="1"/>
  <c r="D19" i="53"/>
  <c r="B38" i="72" s="1"/>
  <c r="AB23" i="21"/>
  <c r="S17" i="33"/>
  <c r="AB9" i="21"/>
  <c r="AC17" i="21"/>
  <c r="W17" i="21"/>
  <c r="AZ330" i="3"/>
  <c r="D17" i="71"/>
  <c r="C16" i="71"/>
  <c r="AB45" i="21"/>
  <c r="AA13" i="21"/>
  <c r="S23" i="37"/>
  <c r="AA23" i="37"/>
  <c r="AZ510" i="3"/>
  <c r="U19" i="33"/>
  <c r="W15" i="21"/>
  <c r="AC15" i="21"/>
  <c r="AA32" i="37"/>
  <c r="S32" i="37"/>
  <c r="AZ17" i="3"/>
  <c r="AZ520" i="3"/>
  <c r="D18" i="71"/>
  <c r="S30" i="40"/>
  <c r="AA30" i="40"/>
  <c r="AZ511" i="3"/>
  <c r="AZ524" i="3"/>
  <c r="AZ517" i="3"/>
  <c r="S15" i="39"/>
  <c r="S15" i="37"/>
  <c r="BL493" i="3"/>
  <c r="AZ493" i="3" s="1"/>
  <c r="AC12" i="37"/>
  <c r="U14" i="40"/>
  <c r="AZ575" i="3"/>
  <c r="AZ578" i="3"/>
  <c r="BL586" i="3"/>
  <c r="J27" i="21"/>
  <c r="F27" i="21"/>
  <c r="H27" i="21"/>
  <c r="J35" i="35"/>
  <c r="H35" i="35"/>
  <c r="BL569" i="3"/>
  <c r="BA569" i="3"/>
  <c r="AZ569" i="3" s="1"/>
  <c r="BL568" i="3"/>
  <c r="BA568" i="3"/>
  <c r="AZ568" i="3" s="1"/>
  <c r="BA567" i="3"/>
  <c r="AZ567" i="3" s="1"/>
  <c r="AZ529" i="3"/>
  <c r="AZ537" i="3"/>
  <c r="AZ545" i="3"/>
  <c r="AZ555" i="3"/>
  <c r="AZ562" i="3"/>
  <c r="S29" i="35"/>
  <c r="AA29" i="35"/>
  <c r="BL585" i="3"/>
  <c r="AZ585" i="3" s="1"/>
  <c r="F12" i="21"/>
  <c r="J12" i="21"/>
  <c r="H12" i="21"/>
  <c r="H14" i="33"/>
  <c r="J14" i="33"/>
  <c r="F13" i="35"/>
  <c r="H13" i="35"/>
  <c r="J13" i="37"/>
  <c r="H13" i="37"/>
  <c r="H25" i="37"/>
  <c r="F25" i="37"/>
  <c r="J25" i="37"/>
  <c r="U8" i="39"/>
  <c r="AB8" i="39"/>
  <c r="AC40" i="39"/>
  <c r="W40" i="39"/>
  <c r="S14" i="33"/>
  <c r="AA14" i="33"/>
  <c r="BA586" i="3"/>
  <c r="AZ586" i="3" s="1"/>
  <c r="B101" i="43"/>
  <c r="B79" i="43"/>
  <c r="C25" i="39"/>
  <c r="AB40" i="33"/>
  <c r="U40" i="33"/>
  <c r="AC35" i="39"/>
  <c r="W35" i="39"/>
  <c r="BL587" i="3"/>
  <c r="AZ587" i="3" s="1"/>
  <c r="AC34" i="35"/>
  <c r="W34" i="35"/>
  <c r="BA525" i="3"/>
  <c r="AZ525" i="3" s="1"/>
  <c r="BL523" i="3"/>
  <c r="BA523" i="3"/>
  <c r="AZ523" i="3" s="1"/>
  <c r="BA522" i="3"/>
  <c r="AZ522" i="3" s="1"/>
  <c r="BL520" i="3"/>
  <c r="BL519" i="3"/>
  <c r="AZ519" i="3" s="1"/>
  <c r="BL516" i="3"/>
  <c r="BA516" i="3"/>
  <c r="AZ516" i="3" s="1"/>
  <c r="BA515" i="3"/>
  <c r="AZ515" i="3" s="1"/>
  <c r="BL514" i="3"/>
  <c r="AZ514" i="3" s="1"/>
  <c r="BA513" i="3"/>
  <c r="AZ513" i="3" s="1"/>
  <c r="BL512" i="3"/>
  <c r="BA512" i="3"/>
  <c r="BL511" i="3"/>
  <c r="BL510" i="3"/>
  <c r="BA508" i="3"/>
  <c r="AZ508" i="3" s="1"/>
  <c r="BA506" i="3"/>
  <c r="AZ506" i="3" s="1"/>
  <c r="BA505" i="3"/>
  <c r="AZ505" i="3" s="1"/>
  <c r="BA503" i="3"/>
  <c r="AZ503" i="3" s="1"/>
  <c r="BA502" i="3"/>
  <c r="AZ502" i="3" s="1"/>
  <c r="BA500" i="3"/>
  <c r="AZ500" i="3" s="1"/>
  <c r="BL498" i="3"/>
  <c r="AZ498" i="3" s="1"/>
  <c r="BA497" i="3"/>
  <c r="AZ497" i="3" s="1"/>
  <c r="BL496" i="3"/>
  <c r="BA496" i="3"/>
  <c r="BA495" i="3"/>
  <c r="AZ495" i="3" s="1"/>
  <c r="BL494" i="3"/>
  <c r="BA494" i="3"/>
  <c r="AZ494" i="3" s="1"/>
  <c r="B99" i="43"/>
  <c r="B76" i="43"/>
  <c r="BA551" i="3"/>
  <c r="AZ551" i="3" s="1"/>
  <c r="AZ405" i="3"/>
  <c r="AZ411" i="3"/>
  <c r="AZ414" i="3"/>
  <c r="AZ436" i="3"/>
  <c r="AZ445" i="3"/>
  <c r="AZ458" i="3"/>
  <c r="AZ460" i="3"/>
  <c r="AZ462" i="3"/>
  <c r="AZ468" i="3"/>
  <c r="AZ228" i="3"/>
  <c r="AZ231" i="3"/>
  <c r="AZ260" i="3"/>
  <c r="AC28" i="21"/>
  <c r="B97" i="43"/>
  <c r="B75" i="43"/>
  <c r="H12" i="36"/>
  <c r="H24" i="36"/>
  <c r="F38" i="40"/>
  <c r="J38" i="40"/>
  <c r="H38" i="40"/>
  <c r="U41" i="21"/>
  <c r="AB41" i="21"/>
  <c r="AZ418" i="3"/>
  <c r="AZ425" i="3"/>
  <c r="AZ429" i="3"/>
  <c r="AZ443" i="3"/>
  <c r="AZ450" i="3"/>
  <c r="B94" i="43"/>
  <c r="B73" i="43"/>
  <c r="J23" i="35"/>
  <c r="H23" i="35"/>
  <c r="H44" i="39"/>
  <c r="F44" i="39"/>
  <c r="AZ399" i="3"/>
  <c r="AZ409" i="3"/>
  <c r="AZ421" i="3"/>
  <c r="AZ427" i="3"/>
  <c r="AZ446" i="3"/>
  <c r="AZ471" i="3"/>
  <c r="AZ474" i="3"/>
  <c r="AZ478" i="3"/>
  <c r="AZ482" i="3"/>
  <c r="AZ488" i="3"/>
  <c r="AZ217" i="3"/>
  <c r="AZ220" i="3"/>
  <c r="A15" i="62"/>
  <c r="B61" i="72" s="1"/>
  <c r="Y30" i="71"/>
  <c r="Z30" i="71" s="1"/>
  <c r="Y26" i="71"/>
  <c r="Z26" i="71" s="1"/>
  <c r="C31" i="71"/>
  <c r="Y27" i="71"/>
  <c r="Z27" i="71" s="1"/>
  <c r="Y29" i="71"/>
  <c r="Z29" i="71" s="1"/>
  <c r="Y28" i="71"/>
  <c r="Z28" i="71" s="1"/>
  <c r="Y25" i="71"/>
  <c r="Z25" i="71" s="1"/>
  <c r="F26" i="37"/>
  <c r="J26" i="37"/>
  <c r="J39" i="40"/>
  <c r="BA331" i="3"/>
  <c r="AZ331" i="3" s="1"/>
  <c r="BA339" i="3"/>
  <c r="AZ339" i="3" s="1"/>
  <c r="BL348" i="3"/>
  <c r="AZ348" i="3" s="1"/>
  <c r="G351" i="3"/>
  <c r="BA352" i="3"/>
  <c r="AZ352" i="3" s="1"/>
  <c r="BA358" i="3"/>
  <c r="AZ358" i="3" s="1"/>
  <c r="BA366" i="3"/>
  <c r="AZ366" i="3" s="1"/>
  <c r="G382" i="3"/>
  <c r="G392" i="3"/>
  <c r="BA395" i="3"/>
  <c r="AZ395" i="3" s="1"/>
  <c r="G209" i="3"/>
  <c r="BL209" i="3"/>
  <c r="AZ209" i="3" s="1"/>
  <c r="BL210" i="3"/>
  <c r="G211" i="3"/>
  <c r="BL215" i="3"/>
  <c r="G216" i="3"/>
  <c r="G220" i="3"/>
  <c r="G223" i="3"/>
  <c r="BL223" i="3"/>
  <c r="AZ223" i="3" s="1"/>
  <c r="BL226" i="3"/>
  <c r="AZ226" i="3" s="1"/>
  <c r="G231" i="3"/>
  <c r="BA232" i="3"/>
  <c r="AZ232" i="3" s="1"/>
  <c r="BL234" i="3"/>
  <c r="BA239" i="3"/>
  <c r="G243" i="3"/>
  <c r="BL243" i="3"/>
  <c r="AZ243" i="3" s="1"/>
  <c r="BL244" i="3"/>
  <c r="G245" i="3"/>
  <c r="BA247" i="3"/>
  <c r="BL251" i="3"/>
  <c r="G252" i="3"/>
  <c r="BL256" i="3"/>
  <c r="G257" i="3"/>
  <c r="BA259" i="3"/>
  <c r="AZ259" i="3" s="1"/>
  <c r="BA265" i="3"/>
  <c r="AZ265" i="3" s="1"/>
  <c r="AZ282" i="3"/>
  <c r="AZ290" i="3"/>
  <c r="AZ301" i="3"/>
  <c r="AZ121" i="3"/>
  <c r="AZ201" i="3"/>
  <c r="AZ30" i="3"/>
  <c r="AZ38" i="3"/>
  <c r="BA13" i="3"/>
  <c r="BL332" i="3"/>
  <c r="AZ332" i="3" s="1"/>
  <c r="BL346" i="3"/>
  <c r="AZ346" i="3" s="1"/>
  <c r="BA350" i="3"/>
  <c r="AZ350" i="3" s="1"/>
  <c r="BL353" i="3"/>
  <c r="AZ353" i="3" s="1"/>
  <c r="BL368" i="3"/>
  <c r="AZ368" i="3" s="1"/>
  <c r="G369" i="3"/>
  <c r="G380" i="3"/>
  <c r="G387" i="3"/>
  <c r="BA388" i="3"/>
  <c r="AZ388" i="3" s="1"/>
  <c r="BA397" i="3"/>
  <c r="AZ397" i="3" s="1"/>
  <c r="BA208" i="3"/>
  <c r="AZ208" i="3" s="1"/>
  <c r="G212" i="3"/>
  <c r="BA213" i="3"/>
  <c r="AZ213" i="3" s="1"/>
  <c r="G217" i="3"/>
  <c r="BA218" i="3"/>
  <c r="AZ218" i="3" s="1"/>
  <c r="BA219" i="3"/>
  <c r="AZ219" i="3" s="1"/>
  <c r="BA222" i="3"/>
  <c r="AZ222" i="3" s="1"/>
  <c r="G225" i="3"/>
  <c r="G228" i="3"/>
  <c r="BA229" i="3"/>
  <c r="AZ229" i="3" s="1"/>
  <c r="BA230" i="3"/>
  <c r="AZ230" i="3" s="1"/>
  <c r="BA234" i="3"/>
  <c r="BL236" i="3"/>
  <c r="AZ236" i="3" s="1"/>
  <c r="BA241" i="3"/>
  <c r="AZ241" i="3" s="1"/>
  <c r="BA242" i="3"/>
  <c r="AZ242" i="3" s="1"/>
  <c r="BA249" i="3"/>
  <c r="AZ249" i="3" s="1"/>
  <c r="G253" i="3"/>
  <c r="BL253" i="3"/>
  <c r="AZ253" i="3" s="1"/>
  <c r="BL261" i="3"/>
  <c r="AZ261" i="3" s="1"/>
  <c r="G262" i="3"/>
  <c r="BL263" i="3"/>
  <c r="AZ263" i="3" s="1"/>
  <c r="BL264" i="3"/>
  <c r="AZ270" i="3"/>
  <c r="AZ125" i="3"/>
  <c r="AA18" i="36"/>
  <c r="S18" i="36"/>
  <c r="BL330" i="3"/>
  <c r="BA349" i="3"/>
  <c r="AZ349" i="3" s="1"/>
  <c r="BL365" i="3"/>
  <c r="AZ365" i="3" s="1"/>
  <c r="BA386" i="3"/>
  <c r="AZ386" i="3" s="1"/>
  <c r="G395" i="3"/>
  <c r="BA210" i="3"/>
  <c r="AZ210" i="3" s="1"/>
  <c r="BA211" i="3"/>
  <c r="AZ211" i="3" s="1"/>
  <c r="BA215" i="3"/>
  <c r="BA216" i="3"/>
  <c r="AZ216" i="3" s="1"/>
  <c r="BA224" i="3"/>
  <c r="AZ224" i="3" s="1"/>
  <c r="BA227" i="3"/>
  <c r="AZ227" i="3" s="1"/>
  <c r="G233" i="3"/>
  <c r="G238" i="3"/>
  <c r="BL238" i="3"/>
  <c r="AZ238" i="3" s="1"/>
  <c r="BL239" i="3"/>
  <c r="G240" i="3"/>
  <c r="BA244" i="3"/>
  <c r="BL246" i="3"/>
  <c r="AZ246" i="3" s="1"/>
  <c r="BL247" i="3"/>
  <c r="G248" i="3"/>
  <c r="BA251" i="3"/>
  <c r="AZ251" i="3" s="1"/>
  <c r="BA252" i="3"/>
  <c r="AZ252" i="3" s="1"/>
  <c r="G255" i="3"/>
  <c r="BA256" i="3"/>
  <c r="BL258" i="3"/>
  <c r="AZ258" i="3" s="1"/>
  <c r="AZ264" i="3"/>
  <c r="G267" i="3"/>
  <c r="AZ153" i="3"/>
  <c r="AZ25" i="3"/>
  <c r="AZ57" i="3"/>
  <c r="AZ76" i="3"/>
  <c r="AA25" i="71"/>
  <c r="AA3" i="71"/>
  <c r="AA26" i="71"/>
  <c r="E27" i="71"/>
  <c r="E26" i="71" s="1"/>
  <c r="AA27" i="71"/>
  <c r="AB23" i="71"/>
  <c r="AB25" i="71"/>
  <c r="AB26" i="71"/>
  <c r="G263" i="3"/>
  <c r="BA267" i="3"/>
  <c r="AZ267" i="3" s="1"/>
  <c r="BA268" i="3"/>
  <c r="AZ268" i="3" s="1"/>
  <c r="BA269" i="3"/>
  <c r="AZ269" i="3" s="1"/>
  <c r="BL271" i="3"/>
  <c r="AZ271" i="3" s="1"/>
  <c r="BA278" i="3"/>
  <c r="AZ278" i="3" s="1"/>
  <c r="BA279" i="3"/>
  <c r="AZ279" i="3" s="1"/>
  <c r="BA280" i="3"/>
  <c r="AZ280" i="3" s="1"/>
  <c r="BA281" i="3"/>
  <c r="AZ281" i="3" s="1"/>
  <c r="BL283" i="3"/>
  <c r="AZ283" i="3" s="1"/>
  <c r="BL287" i="3"/>
  <c r="AZ287" i="3" s="1"/>
  <c r="BA289" i="3"/>
  <c r="AZ289" i="3" s="1"/>
  <c r="BL291" i="3"/>
  <c r="AZ291" i="3" s="1"/>
  <c r="BL298" i="3"/>
  <c r="AZ298" i="3" s="1"/>
  <c r="BA300" i="3"/>
  <c r="AZ300" i="3" s="1"/>
  <c r="BA126" i="3"/>
  <c r="AZ126" i="3" s="1"/>
  <c r="BL133" i="3"/>
  <c r="AZ133" i="3" s="1"/>
  <c r="BA137" i="3"/>
  <c r="AZ137" i="3" s="1"/>
  <c r="BA138" i="3"/>
  <c r="AZ138" i="3" s="1"/>
  <c r="BL147" i="3"/>
  <c r="AZ147" i="3" s="1"/>
  <c r="BA152" i="3"/>
  <c r="AZ152" i="3" s="1"/>
  <c r="BA157" i="3"/>
  <c r="AZ157" i="3" s="1"/>
  <c r="BA158" i="3"/>
  <c r="AZ158" i="3" s="1"/>
  <c r="BL165" i="3"/>
  <c r="AZ165" i="3" s="1"/>
  <c r="BA172" i="3"/>
  <c r="AZ172" i="3" s="1"/>
  <c r="BA177" i="3"/>
  <c r="AZ177" i="3" s="1"/>
  <c r="BA178" i="3"/>
  <c r="AZ178" i="3" s="1"/>
  <c r="BL182" i="3"/>
  <c r="AZ182" i="3" s="1"/>
  <c r="BL185" i="3"/>
  <c r="AZ185" i="3" s="1"/>
  <c r="BL191" i="3"/>
  <c r="AZ191" i="3" s="1"/>
  <c r="BL202" i="3"/>
  <c r="AZ202" i="3" s="1"/>
  <c r="BL22" i="3"/>
  <c r="AZ22" i="3" s="1"/>
  <c r="BL33" i="3"/>
  <c r="AZ33" i="3" s="1"/>
  <c r="BL43" i="3"/>
  <c r="AZ43" i="3" s="1"/>
  <c r="BA47" i="3"/>
  <c r="AZ47" i="3" s="1"/>
  <c r="BA56" i="3"/>
  <c r="AZ56" i="3" s="1"/>
  <c r="BA58" i="3"/>
  <c r="AZ58" i="3" s="1"/>
  <c r="AZ65" i="3"/>
  <c r="AZ73" i="3"/>
  <c r="Y9" i="71"/>
  <c r="Z9" i="71" s="1"/>
  <c r="Y39" i="71"/>
  <c r="Z39" i="71" s="1"/>
  <c r="Y38" i="71"/>
  <c r="Z38" i="71" s="1"/>
  <c r="Y37" i="71"/>
  <c r="Z37" i="71" s="1"/>
  <c r="C40" i="71"/>
  <c r="Y34" i="71"/>
  <c r="Z34" i="71" s="1"/>
  <c r="BL266" i="3"/>
  <c r="AZ266" i="3" s="1"/>
  <c r="BL277" i="3"/>
  <c r="AZ277" i="3" s="1"/>
  <c r="BL288" i="3"/>
  <c r="AZ288" i="3" s="1"/>
  <c r="BA294" i="3"/>
  <c r="AZ294" i="3" s="1"/>
  <c r="BA295" i="3"/>
  <c r="AZ295" i="3" s="1"/>
  <c r="BA296" i="3"/>
  <c r="AZ296" i="3" s="1"/>
  <c r="BA297" i="3"/>
  <c r="AZ297" i="3" s="1"/>
  <c r="BL299" i="3"/>
  <c r="AZ299" i="3" s="1"/>
  <c r="BL115" i="3"/>
  <c r="AZ115" i="3" s="1"/>
  <c r="BA118" i="3"/>
  <c r="AZ118" i="3" s="1"/>
  <c r="BL122" i="3"/>
  <c r="AZ122" i="3" s="1"/>
  <c r="BL125" i="3"/>
  <c r="BA129" i="3"/>
  <c r="AZ129" i="3" s="1"/>
  <c r="BA130" i="3"/>
  <c r="AZ130" i="3" s="1"/>
  <c r="BL135" i="3"/>
  <c r="AZ135" i="3" s="1"/>
  <c r="BA141" i="3"/>
  <c r="AZ141" i="3" s="1"/>
  <c r="BA142" i="3"/>
  <c r="AZ142" i="3" s="1"/>
  <c r="BL149" i="3"/>
  <c r="AZ149" i="3" s="1"/>
  <c r="BA156" i="3"/>
  <c r="AZ156" i="3" s="1"/>
  <c r="BA161" i="3"/>
  <c r="AZ161" i="3" s="1"/>
  <c r="BA162" i="3"/>
  <c r="AZ162" i="3" s="1"/>
  <c r="BL166" i="3"/>
  <c r="AZ166" i="3" s="1"/>
  <c r="BL169" i="3"/>
  <c r="AZ169" i="3" s="1"/>
  <c r="BL175" i="3"/>
  <c r="AZ175" i="3" s="1"/>
  <c r="BL186" i="3"/>
  <c r="AZ186" i="3" s="1"/>
  <c r="BL195" i="3"/>
  <c r="AZ195" i="3" s="1"/>
  <c r="BA200" i="3"/>
  <c r="AZ200" i="3" s="1"/>
  <c r="BA18" i="3"/>
  <c r="AZ18" i="3" s="1"/>
  <c r="BA19" i="3"/>
  <c r="AZ19" i="3" s="1"/>
  <c r="BA20" i="3"/>
  <c r="AZ20" i="3" s="1"/>
  <c r="BA21" i="3"/>
  <c r="AZ21" i="3" s="1"/>
  <c r="BL30" i="3"/>
  <c r="BL40" i="3"/>
  <c r="AZ40" i="3" s="1"/>
  <c r="BA66" i="3"/>
  <c r="AZ66" i="3" s="1"/>
  <c r="AZ95" i="3"/>
  <c r="C43" i="71"/>
  <c r="G48" i="3"/>
  <c r="BL52" i="3"/>
  <c r="AZ52" i="3" s="1"/>
  <c r="G59" i="3"/>
  <c r="G64" i="3"/>
  <c r="BL68" i="3"/>
  <c r="AZ68" i="3" s="1"/>
  <c r="G72" i="3"/>
  <c r="BL76" i="3"/>
  <c r="BA79" i="3"/>
  <c r="AZ79" i="3" s="1"/>
  <c r="G82" i="3"/>
  <c r="G84" i="3"/>
  <c r="G86" i="3"/>
  <c r="BL87" i="3"/>
  <c r="BA90" i="3"/>
  <c r="AZ90" i="3" s="1"/>
  <c r="AZ92" i="3"/>
  <c r="BL93" i="3"/>
  <c r="AZ93" i="3" s="1"/>
  <c r="BA96" i="3"/>
  <c r="AZ96" i="3" s="1"/>
  <c r="BA100" i="3"/>
  <c r="AZ100" i="3" s="1"/>
  <c r="BA108" i="3"/>
  <c r="AZ108" i="3" s="1"/>
  <c r="BL111" i="3"/>
  <c r="AZ111" i="3" s="1"/>
  <c r="BL112" i="3"/>
  <c r="AA21" i="21"/>
  <c r="S21" i="21"/>
  <c r="F26" i="71"/>
  <c r="C86" i="71"/>
  <c r="D86" i="71" s="1"/>
  <c r="D87" i="71"/>
  <c r="D34" i="71"/>
  <c r="C35" i="71"/>
  <c r="Y36" i="71"/>
  <c r="Z36" i="71" s="1"/>
  <c r="Y32" i="71"/>
  <c r="Z32" i="71" s="1"/>
  <c r="B38" i="71"/>
  <c r="B39" i="71" s="1"/>
  <c r="B40" i="71" s="1"/>
  <c r="S40" i="71" s="1"/>
  <c r="X37" i="71"/>
  <c r="X36" i="71"/>
  <c r="Y10" i="71"/>
  <c r="Z10" i="71" s="1"/>
  <c r="AZ112" i="3"/>
  <c r="AA21" i="33"/>
  <c r="S21" i="33"/>
  <c r="D64" i="71"/>
  <c r="T64" i="71"/>
  <c r="D67" i="71"/>
  <c r="C66" i="71"/>
  <c r="O67" i="71"/>
  <c r="X27" i="71"/>
  <c r="X28" i="71"/>
  <c r="X29" i="71"/>
  <c r="X25" i="71"/>
  <c r="N67" i="71"/>
  <c r="B66" i="71"/>
  <c r="X21" i="71"/>
  <c r="G51" i="3"/>
  <c r="G56" i="3"/>
  <c r="BL60" i="3"/>
  <c r="AZ60" i="3" s="1"/>
  <c r="G67" i="3"/>
  <c r="BA71" i="3"/>
  <c r="AZ71" i="3" s="1"/>
  <c r="BL73" i="3"/>
  <c r="BA81" i="3"/>
  <c r="AZ81" i="3" s="1"/>
  <c r="BA83" i="3"/>
  <c r="AZ83" i="3" s="1"/>
  <c r="BA85" i="3"/>
  <c r="AZ85" i="3" s="1"/>
  <c r="AZ87" i="3"/>
  <c r="BA88" i="3"/>
  <c r="AZ88" i="3" s="1"/>
  <c r="G91" i="3"/>
  <c r="G97" i="3"/>
  <c r="BL98" i="3"/>
  <c r="AZ98" i="3" s="1"/>
  <c r="BL99" i="3"/>
  <c r="AZ99" i="3" s="1"/>
  <c r="AZ103" i="3"/>
  <c r="AZ106" i="3"/>
  <c r="BL107" i="3"/>
  <c r="AZ107" i="3" s="1"/>
  <c r="T72" i="71"/>
  <c r="C71" i="71"/>
  <c r="F3" i="35"/>
  <c r="U21" i="21"/>
  <c r="B57" i="43"/>
  <c r="AA32" i="71"/>
  <c r="P68" i="71"/>
  <c r="E67" i="71"/>
  <c r="T80" i="71"/>
  <c r="C79" i="71"/>
  <c r="Y24" i="71"/>
  <c r="Z24" i="71" s="1"/>
  <c r="Y22" i="71"/>
  <c r="Z22" i="71" s="1"/>
  <c r="X22" i="71"/>
  <c r="Y18" i="71"/>
  <c r="Z18" i="71" s="1"/>
  <c r="Y17" i="71"/>
  <c r="Z17" i="71" s="1"/>
  <c r="AB18" i="71"/>
  <c r="AB17" i="71"/>
  <c r="C7" i="83"/>
  <c r="C59" i="83" s="1"/>
  <c r="C7" i="82"/>
  <c r="C59" i="82" s="1"/>
  <c r="C29" i="39"/>
  <c r="B77" i="43"/>
  <c r="T56" i="71"/>
  <c r="AB33" i="71"/>
  <c r="N68" i="71"/>
  <c r="B35" i="71"/>
  <c r="B36" i="71" s="1"/>
  <c r="S36" i="71" s="1"/>
  <c r="X30" i="71"/>
  <c r="AB30" i="71"/>
  <c r="AA31" i="71"/>
  <c r="Y33" i="71"/>
  <c r="Z33" i="71" s="1"/>
  <c r="Y35" i="71"/>
  <c r="Z35" i="71" s="1"/>
  <c r="E51" i="71"/>
  <c r="E52" i="71" s="1"/>
  <c r="U52" i="71" s="1"/>
  <c r="B71" i="71"/>
  <c r="B70" i="71" s="1"/>
  <c r="V72" i="71"/>
  <c r="F71" i="71"/>
  <c r="F70" i="71" s="1"/>
  <c r="T76" i="71"/>
  <c r="AA24" i="71"/>
  <c r="E24" i="71"/>
  <c r="X18" i="71"/>
  <c r="X15" i="71"/>
  <c r="X14" i="71"/>
  <c r="X13" i="71"/>
  <c r="X11" i="71"/>
  <c r="X12" i="71"/>
  <c r="AB37" i="71"/>
  <c r="F38" i="71"/>
  <c r="F39" i="71" s="1"/>
  <c r="F40" i="71" s="1"/>
  <c r="V40" i="71" s="1"/>
  <c r="Y21" i="71"/>
  <c r="Z21" i="71" s="1"/>
  <c r="AB21" i="71"/>
  <c r="AA9" i="71"/>
  <c r="Y23" i="71"/>
  <c r="Z23" i="71" s="1"/>
  <c r="AA21" i="71"/>
  <c r="AA11" i="71"/>
  <c r="X17" i="71"/>
  <c r="AA18" i="71"/>
  <c r="Y11" i="71"/>
  <c r="Z11" i="71" s="1"/>
  <c r="AA14" i="71"/>
  <c r="AA35" i="71"/>
  <c r="Y31" i="71"/>
  <c r="Z31" i="71" s="1"/>
  <c r="X32" i="71"/>
  <c r="AA36" i="71"/>
  <c r="X9" i="71"/>
  <c r="X10" i="71"/>
  <c r="AA22" i="71"/>
  <c r="AA23" i="71"/>
  <c r="AA17" i="71"/>
  <c r="AA13" i="71"/>
  <c r="AB36" i="71"/>
  <c r="AB9" i="71"/>
  <c r="AB10" i="71"/>
  <c r="AB24" i="71"/>
  <c r="AB15" i="71"/>
  <c r="AB14" i="71"/>
  <c r="AB11" i="71"/>
  <c r="AB12" i="71"/>
  <c r="Y12" i="71"/>
  <c r="Z12" i="71" s="1"/>
  <c r="AB13" i="71"/>
  <c r="Y13" i="71"/>
  <c r="Z13" i="71" s="1"/>
  <c r="Y14" i="71"/>
  <c r="Z14" i="71" s="1"/>
  <c r="AA10" i="71"/>
  <c r="K56" i="9"/>
  <c r="AA15" i="71"/>
  <c r="AA12" i="71"/>
  <c r="C34" i="83"/>
  <c r="C34" i="82"/>
  <c r="H50" i="43"/>
  <c r="H67" i="43"/>
  <c r="F6" i="1"/>
  <c r="C28" i="67"/>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G30" i="6"/>
  <c r="G31" i="6" s="1"/>
  <c r="E28" i="6"/>
  <c r="K14" i="1" s="1"/>
  <c r="L19" i="6"/>
  <c r="L27" i="6" s="1"/>
  <c r="M6" i="1"/>
  <c r="O6" i="1" s="1"/>
  <c r="T13" i="1"/>
  <c r="C58" i="21"/>
  <c r="C58" i="33"/>
  <c r="C28"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K1" i="73"/>
  <c r="I1" i="73"/>
  <c r="B39" i="1" s="1"/>
  <c r="F51" i="67"/>
  <c r="F65" i="67"/>
  <c r="F51" i="15"/>
  <c r="F66" i="67"/>
  <c r="F66" i="15"/>
  <c r="Q71" i="67"/>
  <c r="F64" i="15"/>
  <c r="C27" i="67"/>
  <c r="F71" i="67"/>
  <c r="F65" i="15"/>
  <c r="N59" i="67"/>
  <c r="L59" i="67"/>
  <c r="M59" i="67"/>
  <c r="B13" i="70"/>
  <c r="M7" i="67"/>
  <c r="J6" i="67" s="1"/>
  <c r="F50" i="67"/>
  <c r="F68" i="67"/>
  <c r="F64" i="67"/>
  <c r="C36" i="68"/>
  <c r="D9" i="68"/>
  <c r="M23" i="15"/>
  <c r="M6" i="15"/>
  <c r="D4" i="73"/>
  <c r="L48" i="15"/>
  <c r="C36" i="69"/>
  <c r="G1" i="73"/>
  <c r="D9" i="69"/>
  <c r="F27" i="69"/>
  <c r="F13" i="15"/>
  <c r="M29" i="15"/>
  <c r="J15" i="15"/>
  <c r="F7" i="15"/>
  <c r="L48" i="67"/>
  <c r="C16" i="67"/>
  <c r="F16" i="15"/>
  <c r="F40" i="15"/>
  <c r="F26" i="15"/>
  <c r="F9" i="15"/>
  <c r="L47" i="15"/>
  <c r="M9" i="15"/>
  <c r="F43" i="15"/>
  <c r="F71" i="15" l="1"/>
  <c r="N59" i="15"/>
  <c r="L58" i="15"/>
  <c r="M59" i="15"/>
  <c r="L59" i="15"/>
  <c r="C27" i="15"/>
  <c r="F68" i="15"/>
  <c r="F31" i="15"/>
  <c r="M7" i="15"/>
  <c r="J6" i="15" s="1"/>
  <c r="C6" i="15"/>
  <c r="F50" i="15"/>
  <c r="I54" i="15"/>
  <c r="J53" i="15"/>
  <c r="L56" i="15" s="1"/>
  <c r="J57" i="15"/>
  <c r="J55" i="15" s="1"/>
  <c r="J58" i="15" s="1"/>
  <c r="Q50" i="15" s="1"/>
  <c r="E29" i="6"/>
  <c r="K15" i="1" s="1"/>
  <c r="K16" i="1" s="1"/>
  <c r="V24" i="71"/>
  <c r="E23" i="71"/>
  <c r="E22" i="71" s="1"/>
  <c r="E21" i="71" s="1"/>
  <c r="E20" i="71" s="1"/>
  <c r="N65" i="71"/>
  <c r="N66" i="71"/>
  <c r="C36" i="71"/>
  <c r="D35" i="71"/>
  <c r="C44" i="71"/>
  <c r="D43" i="71"/>
  <c r="AZ256" i="3"/>
  <c r="AZ215" i="3"/>
  <c r="AZ5" i="3" s="1"/>
  <c r="AZ247" i="3"/>
  <c r="C32" i="71"/>
  <c r="D31" i="71"/>
  <c r="AC23" i="35"/>
  <c r="W23" i="35"/>
  <c r="AC38" i="40"/>
  <c r="W38" i="40"/>
  <c r="AC25" i="37"/>
  <c r="W25" i="37"/>
  <c r="W13" i="37"/>
  <c r="AC13" i="37"/>
  <c r="U14" i="33"/>
  <c r="AB14" i="33"/>
  <c r="AB27" i="21"/>
  <c r="U27" i="21"/>
  <c r="P67" i="71"/>
  <c r="E66" i="71"/>
  <c r="T40" i="71"/>
  <c r="D40" i="71"/>
  <c r="AZ234" i="3"/>
  <c r="AZ239" i="3"/>
  <c r="AC39" i="40"/>
  <c r="W39" i="40"/>
  <c r="AA44" i="39"/>
  <c r="S44" i="39"/>
  <c r="AA38" i="40"/>
  <c r="S38" i="40"/>
  <c r="AZ496" i="3"/>
  <c r="AZ512" i="3"/>
  <c r="AA25" i="37"/>
  <c r="S25" i="37"/>
  <c r="U13" i="35"/>
  <c r="AB13" i="35"/>
  <c r="AB12" i="21"/>
  <c r="U12" i="21"/>
  <c r="AA27" i="21"/>
  <c r="S27" i="21"/>
  <c r="BL5" i="3"/>
  <c r="M23" i="43"/>
  <c r="U16" i="71"/>
  <c r="B15" i="71"/>
  <c r="B14" i="71" s="1"/>
  <c r="B13" i="71" s="1"/>
  <c r="B12" i="71" s="1"/>
  <c r="S16" i="71"/>
  <c r="D59" i="82"/>
  <c r="E59" i="82" s="1"/>
  <c r="F59" i="82" s="1"/>
  <c r="G59" i="82" s="1"/>
  <c r="H59" i="82" s="1"/>
  <c r="I59" i="82" s="1"/>
  <c r="J59" i="82" s="1"/>
  <c r="K59" i="82" s="1"/>
  <c r="L59" i="82" s="1"/>
  <c r="M59" i="82" s="1"/>
  <c r="N59" i="82" s="1"/>
  <c r="O59" i="82" s="1"/>
  <c r="J7" i="82"/>
  <c r="H7" i="82"/>
  <c r="F7" i="82"/>
  <c r="AC26" i="37"/>
  <c r="W26" i="37"/>
  <c r="U44" i="39"/>
  <c r="AB44" i="39"/>
  <c r="AB24" i="36"/>
  <c r="U24" i="36"/>
  <c r="U25" i="37"/>
  <c r="AB25" i="37"/>
  <c r="S13" i="35"/>
  <c r="AA13" i="35"/>
  <c r="AC12" i="21"/>
  <c r="W12" i="21"/>
  <c r="U35" i="35"/>
  <c r="AB35" i="35"/>
  <c r="W27" i="21"/>
  <c r="AC27" i="21"/>
  <c r="D59" i="83"/>
  <c r="E59" i="83" s="1"/>
  <c r="F59" i="83" s="1"/>
  <c r="G59" i="83" s="1"/>
  <c r="H59" i="83" s="1"/>
  <c r="I59" i="83" s="1"/>
  <c r="J59" i="83" s="1"/>
  <c r="K59" i="83" s="1"/>
  <c r="L59" i="83" s="1"/>
  <c r="M59" i="83" s="1"/>
  <c r="N59" i="83" s="1"/>
  <c r="O59" i="83" s="1"/>
  <c r="D79" i="71"/>
  <c r="C78" i="71"/>
  <c r="D78" i="71" s="1"/>
  <c r="D71" i="71"/>
  <c r="C70" i="71"/>
  <c r="D70" i="71" s="1"/>
  <c r="O65" i="71"/>
  <c r="D66" i="71"/>
  <c r="O66" i="71"/>
  <c r="AZ244" i="3"/>
  <c r="BA5" i="3"/>
  <c r="AA26" i="37"/>
  <c r="S26" i="37"/>
  <c r="U23" i="35"/>
  <c r="AB23" i="35"/>
  <c r="AB38" i="40"/>
  <c r="U38" i="40"/>
  <c r="U12" i="36"/>
  <c r="AB12" i="36"/>
  <c r="G5" i="3"/>
  <c r="B3" i="3" s="1"/>
  <c r="E248" i="3" s="1"/>
  <c r="AB13" i="37"/>
  <c r="U13" i="37"/>
  <c r="W14" i="33"/>
  <c r="AC14" i="33"/>
  <c r="S12" i="21"/>
  <c r="AA12" i="21"/>
  <c r="AC35" i="35"/>
  <c r="W35" i="35"/>
  <c r="C15" i="71"/>
  <c r="T16" i="71"/>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26" i="43" s="1"/>
  <c r="C25" i="43" s="1"/>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C16" i="15"/>
  <c r="AE6" i="1"/>
  <c r="E3" i="6" l="1"/>
  <c r="AY6" i="3"/>
  <c r="H7" i="83"/>
  <c r="E51" i="3"/>
  <c r="E19" i="71"/>
  <c r="E18" i="71" s="1"/>
  <c r="E17" i="71" s="1"/>
  <c r="E16" i="71" s="1"/>
  <c r="V20" i="71"/>
  <c r="C14" i="71"/>
  <c r="D15" i="71"/>
  <c r="J7" i="83"/>
  <c r="AA7" i="82"/>
  <c r="S7" i="82"/>
  <c r="T32" i="71"/>
  <c r="D32" i="71"/>
  <c r="D36" i="71"/>
  <c r="T36" i="71"/>
  <c r="E329" i="3"/>
  <c r="E105" i="3"/>
  <c r="E422" i="3"/>
  <c r="E483" i="3"/>
  <c r="E202" i="3"/>
  <c r="E60" i="3"/>
  <c r="E98" i="3"/>
  <c r="E163" i="3"/>
  <c r="E307" i="3"/>
  <c r="E66" i="3"/>
  <c r="E127" i="3"/>
  <c r="Y6" i="3"/>
  <c r="E179" i="3"/>
  <c r="E490" i="3"/>
  <c r="E25" i="3"/>
  <c r="E372" i="3"/>
  <c r="E65" i="3"/>
  <c r="E584" i="3"/>
  <c r="E250" i="3"/>
  <c r="E19" i="3"/>
  <c r="E373" i="3"/>
  <c r="E493" i="3"/>
  <c r="AH6" i="3"/>
  <c r="E178" i="3"/>
  <c r="E540" i="3"/>
  <c r="E138" i="3"/>
  <c r="E266" i="3"/>
  <c r="E24" i="3"/>
  <c r="E284" i="3"/>
  <c r="E154" i="3"/>
  <c r="E543" i="3"/>
  <c r="E498" i="3"/>
  <c r="E226" i="3"/>
  <c r="E15" i="3"/>
  <c r="E195" i="3"/>
  <c r="E386" i="3"/>
  <c r="E341" i="3"/>
  <c r="E222" i="3"/>
  <c r="E16" i="3"/>
  <c r="E486" i="3"/>
  <c r="E463" i="3"/>
  <c r="E346" i="3"/>
  <c r="E47" i="3"/>
  <c r="E354" i="3"/>
  <c r="E87" i="3"/>
  <c r="E323"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8" i="3"/>
  <c r="U7" i="82"/>
  <c r="AB7" i="82"/>
  <c r="B11" i="71"/>
  <c r="B10" i="71" s="1"/>
  <c r="B9" i="71" s="1"/>
  <c r="B8" i="71" s="1"/>
  <c r="B7" i="71" s="1"/>
  <c r="B6" i="71" s="1"/>
  <c r="B5" i="71" s="1"/>
  <c r="S12" i="71"/>
  <c r="P65" i="71"/>
  <c r="P66" i="71"/>
  <c r="E223" i="3"/>
  <c r="E82" i="3"/>
  <c r="F7" i="83"/>
  <c r="E209" i="3"/>
  <c r="AC7" i="82"/>
  <c r="W7" i="82"/>
  <c r="D44" i="71"/>
  <c r="T44" i="71"/>
  <c r="J10" i="39"/>
  <c r="W10" i="39" s="1"/>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S7" i="83" l="1"/>
  <c r="AA7" i="83"/>
  <c r="C13" i="71"/>
  <c r="D14" i="71"/>
  <c r="AB7" i="83"/>
  <c r="U7" i="83"/>
  <c r="AC6" i="3"/>
  <c r="E6" i="3" s="1"/>
  <c r="W7" i="83"/>
  <c r="AC7" i="83"/>
  <c r="E15" i="71"/>
  <c r="E14" i="71" s="1"/>
  <c r="E13" i="71" s="1"/>
  <c r="E12" i="71" s="1"/>
  <c r="V16" i="71"/>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34" i="69"/>
  <c r="C17" i="15"/>
  <c r="C14" i="67"/>
  <c r="C17" i="67"/>
  <c r="D10" i="69"/>
  <c r="H25" i="6" l="1"/>
  <c r="C12" i="71"/>
  <c r="D13" i="71"/>
  <c r="E11" i="71"/>
  <c r="E10" i="71" s="1"/>
  <c r="E9" i="71" s="1"/>
  <c r="E8" i="71" s="1"/>
  <c r="E7" i="71" s="1"/>
  <c r="E6" i="71" s="1"/>
  <c r="E5" i="71" s="1"/>
  <c r="V12" i="71"/>
  <c r="C25" i="1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19" i="9"/>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8" i="1"/>
  <c r="AO9" i="1"/>
  <c r="AO7" i="1"/>
  <c r="D20" i="9"/>
  <c r="AO10" i="1"/>
  <c r="AO6"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<sst xmlns="http://schemas.openxmlformats.org/spreadsheetml/2006/main" count="8313" uniqueCount="3522">
  <si>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</si>
  <si>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</si>
  <si>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</si>
  <si>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</si>
  <si>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</si>
  <si>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</si>
  <si>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</si>
  <si>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</si>
  <si>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</si>
  <si>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</si>
  <si>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</si>
  <si>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</si>
  <si>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</si>
  <si>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</si>
  <si>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</si>
  <si>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</si>
  <si>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</si>
  <si>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</si>
  <si>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</si>
  <si>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</si>
  <si>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</si>
  <si>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</si>
  <si>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</si>
  <si>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</si>
  <si>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</si>
  <si>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</si>
  <si>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</si>
  <si>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</si>
  <si>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</si>
  <si>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</si>
  <si>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</si>
  <si>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</si>
  <si>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</si>
  <si>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</si>
  <si>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</si>
  <si>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</si>
  <si>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</si>
  <si>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</si>
  <si>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</si>
  <si>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</si>
  <si>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</si>
  <si>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</si>
  <si>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</si>
  <si>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</si>
  <si>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</si>
  <si>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</si>
  <si>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</si>
  <si>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</si>
  <si>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</si>
  <si>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</si>
  <si>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</si>
  <si>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</si>
  <si>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</si>
  <si>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</si>
  <si>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</si>
  <si>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</si>
  <si>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</si>
  <si>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</si>
  <si>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</si>
  <si>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</si>
  <si>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</si>
  <si>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</si>
  <si>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</si>
  <si>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</si>
  <si>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</si>
  <si>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</si>
  <si>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</si>
  <si>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</si>
  <si>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</si>
  <si>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</si>
  <si>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</si>
  <si>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</si>
  <si>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</si>
  <si>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</si>
  <si>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</si>
  <si>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</si>
  <si>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</si>
  <si>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</si>
  <si>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</si>
  <si>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</si>
  <si>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</si>
  <si>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</si>
  <si>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</si>
  <si>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</si>
  <si>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</si>
  <si>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</si>
  <si>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</si>
  <si>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</si>
  <si>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</si>
  <si>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</si>
  <si>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</si>
  <si>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</si>
  <si>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</si>
  <si>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</si>
  <si>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</si>
  <si>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</si>
  <si>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</si>
  <si>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</si>
  <si>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</si>
  <si>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</si>
  <si>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</si>
  <si>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</si>
  <si>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</si>
  <si>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</si>
  <si>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</si>
  <si>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</si>
  <si>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</si>
  <si>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</si>
  <si>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</si>
  <si>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</si>
  <si>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</si>
  <si>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</si>
  <si>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</si>
  <si>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</si>
  <si>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</si>
  <si>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</si>
  <si>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</si>
  <si>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</si>
  <si>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</si>
  <si>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</si>
  <si>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</si>
  <si>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</si>
  <si>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</si>
  <si>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</si>
  <si>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</si>
  <si>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</si>
  <si>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</si>
  <si>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</si>
  <si>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</si>
  <si>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</si>
  <si>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</si>
  <si>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</si>
  <si>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</si>
  <si>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</si>
  <si>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</si>
  <si>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</si>
  <si>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</si>
  <si>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</si>
  <si>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</si>
  <si>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</si>
  <si>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</si>
  <si>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</si>
  <si>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</si>
  <si>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</si>
  <si>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</si>
  <si>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</si>
  <si>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</si>
  <si>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</si>
  <si>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</si>
  <si>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</si>
  <si>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</si>
  <si>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</si>
  <si>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</si>
  <si>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</si>
  <si>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</si>
  <si>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</si>
  <si>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</si>
  <si>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</si>
  <si>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</si>
  <si>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</si>
  <si>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</si>
  <si>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</si>
  <si>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</si>
  <si>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</si>
  <si>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</si>
  <si>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</si>
  <si>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</si>
  <si>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</si>
  <si>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</si>
  <si>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</si>
  <si>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</si>
  <si>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</si>
  <si>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</si>
  <si>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</si>
  <si>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</si>
  <si>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</si>
  <si>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</si>
  <si>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</si>
  <si>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</si>
  <si>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</si>
  <si>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</si>
  <si>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</si>
  <si>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</si>
  <si>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</si>
  <si>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</si>
  <si>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</si>
  <si>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</si>
  <si>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</si>
  <si>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</si>
  <si>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</si>
  <si>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</si>
  <si>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</si>
  <si>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</si>
  <si>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</si>
  <si>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</si>
  <si>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</si>
  <si>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</si>
  <si>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</si>
  <si>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</si>
  <si>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</si>
  <si>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</si>
  <si>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</si>
  <si>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</si>
  <si>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</si>
  <si>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</si>
  <si>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</si>
  <si>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</si>
  <si>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</si>
  <si>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</si>
  <si>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</si>
  <si>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</si>
  <si>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</si>
  <si>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</si>
  <si>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</si>
  <si>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</si>
  <si>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</si>
  <si>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</si>
  <si>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</si>
  <si>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</si>
  <si>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</si>
  <si>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</si>
  <si>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</si>
  <si>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</si>
  <si>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</si>
  <si>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</si>
  <si>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</si>
  <si>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</si>
  <si>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</si>
  <si>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</si>
  <si>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</si>
  <si>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</si>
  <si>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</si>
  <si>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</si>
  <si>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</si>
  <si>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</si>
  <si>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</si>
  <si>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</si>
  <si>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</si>
  <si>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</si>
  <si>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</si>
  <si>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</si>
  <si>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</si>
  <si>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</si>
  <si>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</si>
  <si>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</si>
  <si>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</si>
  <si>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</si>
  <si>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</si>
  <si>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</si>
  <si>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</si>
  <si>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</si>
  <si>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</si>
  <si>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</si>
  <si>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</si>
  <si>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</si>
  <si>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</si>
  <si>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</si>
  <si>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</si>
  <si>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</si>
  <si>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</si>
  <si>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</si>
  <si>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</si>
  <si>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</si>
  <si>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</si>
  <si>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</si>
  <si>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</si>
  <si>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</si>
  <si>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</si>
  <si>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</si>
  <si>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</si>
  <si>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</si>
  <si>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</si>
  <si>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</si>
  <si>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</si>
  <si>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</si>
  <si>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</si>
  <si>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</si>
  <si>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</si>
  <si>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</si>
  <si>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</si>
  <si>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</si>
  <si>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</si>
  <si>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</si>
  <si>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</si>
  <si>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</si>
  <si>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</si>
  <si>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</si>
  <si>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</si>
  <si>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</si>
  <si>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</si>
  <si>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</si>
  <si>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</si>
  <si>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</si>
  <si>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</si>
  <si>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</si>
  <si>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</si>
  <si>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</si>
  <si>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</si>
  <si>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</si>
  <si>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</si>
  <si>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</si>
  <si>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</si>
  <si>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</si>
  <si>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</si>
  <si>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</si>
  <si>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</si>
  <si>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</si>
  <si>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</si>
  <si>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</si>
  <si>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</si>
  <si>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</si>
  <si>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</si>
  <si>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</si>
  <si>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</si>
  <si>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</si>
  <si>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</si>
  <si>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</si>
  <si>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</si>
  <si>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</si>
  <si>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</si>
  <si>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</si>
  <si>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</si>
  <si>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</si>
  <si>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</si>
  <si>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</si>
  <si>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</si>
  <si>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</si>
  <si>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</si>
  <si>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</si>
  <si>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</si>
  <si>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</si>
  <si>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</si>
  <si>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</si>
  <si>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</si>
  <si>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</si>
  <si>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</si>
  <si>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</si>
  <si>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</si>
  <si>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</si>
  <si>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</si>
  <si>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</si>
  <si>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</si>
  <si>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</si>
  <si>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</si>
  <si>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</si>
  <si>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</si>
  <si>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</si>
  <si>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</si>
  <si>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</si>
  <si>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</si>
  <si>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</si>
  <si>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</si>
  <si>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</si>
  <si>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</si>
  <si>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</si>
  <si>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</si>
  <si>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</si>
  <si>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</si>
  <si>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</si>
  <si>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</si>
  <si>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</si>
  <si>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</si>
  <si>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</si>
  <si>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</si>
  <si>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</si>
  <si>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</si>
  <si>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</si>
  <si>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</si>
  <si>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</si>
  <si>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</si>
  <si>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</si>
  <si>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</si>
  <si>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</si>
  <si>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</si>
  <si>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</si>
  <si>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</si>
  <si>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</si>
  <si>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</si>
  <si>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</si>
  <si>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</si>
  <si>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</si>
  <si>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</si>
  <si>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</si>
  <si>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</si>
  <si>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</si>
  <si>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</si>
  <si>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</si>
  <si>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</si>
  <si>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</si>
  <si>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</si>
  <si>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</si>
  <si>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</si>
  <si>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</si>
  <si>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</si>
  <si>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</si>
  <si>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</si>
  <si>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</si>
  <si>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</si>
  <si>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</si>
  <si>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</si>
  <si>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</si>
  <si>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</si>
  <si>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</si>
  <si>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</si>
  <si>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</si>
  <si>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</si>
  <si>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</si>
  <si>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</si>
  <si>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</si>
  <si>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</si>
  <si>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</si>
  <si>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</si>
  <si>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</si>
  <si>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</si>
  <si>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</si>
  <si>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</si>
  <si>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</si>
  <si>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</si>
  <si>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</si>
  <si>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</si>
  <si>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</si>
  <si>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</si>
  <si>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</si>
  <si>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</si>
  <si>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</si>
  <si>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</si>
  <si>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</si>
  <si>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</si>
  <si>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</si>
  <si>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</si>
  <si>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</si>
  <si>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</si>
  <si>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</si>
  <si>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</si>
  <si>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</si>
  <si>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</si>
  <si>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</si>
  <si>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</si>
  <si>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</si>
  <si>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</si>
  <si>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</si>
  <si>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</si>
  <si>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</si>
  <si>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</si>
  <si>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</si>
  <si>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</si>
  <si>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</si>
  <si>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</si>
  <si>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</si>
  <si>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</si>
  <si>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</si>
  <si>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</si>
  <si>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</si>
  <si>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</si>
  <si>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</si>
  <si>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</si>
  <si>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</si>
  <si>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</si>
  <si>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</si>
  <si>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</si>
  <si>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</si>
  <si>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</si>
  <si>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</si>
  <si>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</si>
  <si>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</si>
  <si>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</si>
  <si>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</si>
  <si>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</si>
  <si>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</si>
  <si>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</si>
  <si>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</si>
  <si>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</si>
  <si>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</si>
  <si>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</si>
  <si>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</si>
  <si>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</si>
  <si>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</si>
  <si>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</si>
  <si>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</si>
  <si>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</si>
  <si>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</si>
  <si>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</si>
  <si>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</si>
  <si>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</si>
  <si>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</si>
  <si>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</si>
  <si>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</si>
  <si>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</si>
  <si>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</si>
  <si>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</si>
  <si>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</si>
  <si>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</si>
  <si>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</si>
  <si>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</si>
  <si>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</si>
  <si>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</si>
  <si>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</si>
  <si>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</si>
  <si>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</si>
  <si>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</si>
  <si>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</si>
  <si>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</si>
  <si>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</si>
  <si>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</si>
  <si>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</si>
  <si>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</si>
  <si>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</si>
  <si>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</si>
  <si>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</si>
  <si>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</si>
  <si>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</si>
  <si>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</si>
  <si>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</si>
  <si>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</si>
  <si>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</si>
  <si>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</si>
  <si>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</si>
  <si>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</si>
  <si>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</si>
  <si>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</si>
  <si>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</si>
  <si>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</si>
  <si>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</si>
  <si>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</si>
  <si>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</si>
  <si>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</si>
  <si>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</si>
  <si>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</si>
  <si>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</si>
  <si>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</si>
  <si>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</si>
  <si>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</si>
  <si>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</si>
  <si>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</si>
  <si>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</si>
  <si>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</si>
  <si>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</si>
  <si>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</si>
  <si>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</si>
  <si>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</si>
  <si>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</si>
  <si>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</si>
  <si>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</si>
  <si>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</si>
  <si>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</si>
  <si>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</si>
  <si>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</si>
  <si>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</si>
  <si>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</si>
  <si>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</si>
  <si>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</si>
  <si>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</si>
  <si>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</si>
  <si>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</si>
  <si>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</si>
  <si>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</si>
  <si>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</si>
  <si>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</si>
  <si>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</si>
  <si>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</si>
  <si>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</si>
  <si>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</si>
  <si>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</si>
  <si>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</si>
  <si>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</si>
  <si>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</si>
  <si>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</si>
  <si>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</si>
  <si>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</si>
  <si>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</si>
  <si>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</si>
  <si>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</si>
  <si>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</si>
  <si>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</si>
  <si>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</si>
  <si>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</si>
  <si>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</si>
  <si>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</si>
  <si>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</si>
  <si>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</si>
  <si>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</si>
  <si>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</si>
  <si>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</si>
  <si>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</si>
  <si>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</si>
  <si>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</si>
  <si>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</si>
  <si>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</si>
  <si>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</si>
  <si>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</si>
  <si>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</si>
  <si>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</si>
  <si>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</si>
  <si>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</si>
  <si>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</si>
  <si>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</si>
  <si>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</si>
  <si>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</si>
  <si>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</si>
  <si>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</si>
  <si>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</si>
  <si>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</si>
  <si>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</si>
  <si>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</si>
  <si>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</si>
  <si>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</si>
  <si>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</si>
  <si>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</si>
  <si>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</si>
  <si>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</si>
  <si>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</si>
  <si>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</si>
  <si>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</si>
  <si>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</si>
  <si>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</si>
  <si>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</si>
  <si>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</si>
  <si>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</si>
  <si>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</si>
  <si>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</si>
  <si>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</si>
  <si>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</si>
  <si>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</si>
  <si>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</si>
  <si>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</si>
  <si>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</si>
  <si>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</si>
  <si>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</si>
  <si>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</si>
  <si>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</si>
  <si>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</si>
  <si>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</si>
  <si>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</si>
  <si>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</si>
  <si>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</si>
  <si>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</si>
  <si>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</si>
  <si>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</si>
  <si>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</si>
  <si>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</si>
  <si>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</si>
  <si>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</si>
  <si>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</si>
  <si>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</si>
  <si>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</si>
  <si>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</si>
  <si>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</si>
  <si>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</si>
  <si>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</si>
  <si>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</si>
  <si>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</si>
  <si>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</si>
  <si>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</si>
  <si>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</si>
  <si>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</si>
  <si>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</si>
  <si>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</si>
  <si>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</si>
  <si>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</si>
  <si>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</si>
  <si>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</si>
  <si>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</si>
  <si>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</si>
  <si>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</si>
  <si>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</si>
  <si>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</si>
  <si>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</si>
  <si>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</si>
  <si>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</si>
  <si>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</si>
  <si>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</si>
  <si>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</si>
  <si>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</si>
  <si>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</si>
  <si>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</si>
  <si>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</si>
  <si>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</si>
  <si>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</si>
  <si>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</si>
  <si>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</si>
  <si>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</si>
  <si>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</si>
  <si>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</si>
  <si>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</si>
  <si>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</si>
  <si>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</si>
  <si>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</si>
  <si>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</si>
  <si>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</si>
  <si>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</si>
  <si>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</si>
  <si>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</si>
  <si>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</si>
  <si>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</si>
  <si>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</si>
  <si>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</si>
  <si>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</si>
  <si>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</si>
  <si>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</si>
  <si>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</si>
  <si>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</si>
  <si>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</si>
  <si>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</si>
  <si>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</si>
  <si>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</si>
  <si>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</si>
  <si>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</si>
  <si>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</si>
  <si>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</si>
  <si>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</si>
  <si>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</si>
  <si>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</si>
  <si>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</si>
  <si>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</si>
  <si>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</si>
  <si>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</si>
  <si>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</si>
  <si>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</si>
  <si>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</si>
  <si>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</si>
  <si>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</si>
  <si>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</si>
  <si>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</si>
  <si>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</si>
  <si>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</si>
  <si>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</si>
  <si>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</si>
  <si>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</si>
  <si>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</si>
  <si>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</si>
  <si>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</si>
  <si>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</si>
  <si>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</si>
  <si>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</si>
  <si>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</si>
  <si>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</si>
  <si>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</si>
  <si>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</si>
  <si>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</si>
  <si>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</si>
  <si>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</si>
  <si>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</si>
  <si>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</si>
  <si>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</si>
  <si>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</si>
  <si>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</si>
  <si>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</si>
  <si>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</si>
  <si>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</si>
  <si>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</si>
  <si>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</si>
  <si>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</si>
  <si>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</si>
  <si>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</si>
  <si>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</si>
  <si>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</si>
  <si>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</si>
  <si>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</si>
  <si>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</si>
  <si>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</si>
  <si>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</si>
  <si>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</si>
  <si>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</si>
  <si>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</si>
  <si>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</si>
  <si>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</si>
  <si>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</si>
  <si>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</si>
  <si>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</si>
  <si>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</si>
  <si>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</si>
  <si>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</si>
  <si>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</si>
  <si>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</si>
  <si>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</si>
  <si>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</si>
  <si>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</si>
  <si>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</si>
  <si>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</si>
  <si>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</si>
  <si>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</si>
  <si>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</si>
  <si>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</si>
  <si>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</si>
  <si>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</si>
  <si>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</si>
  <si>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</si>
  <si>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</si>
  <si>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</si>
  <si>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</si>
  <si>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</si>
  <si>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</si>
  <si>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</si>
  <si>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</si>
  <si>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</si>
  <si>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</si>
  <si>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</si>
  <si>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</si>
  <si>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</si>
  <si>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</si>
  <si>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</si>
  <si>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</si>
  <si>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</si>
  <si>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</si>
  <si>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</si>
  <si>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</si>
  <si>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</si>
  <si>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</si>
  <si>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</si>
  <si>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</si>
  <si>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</si>
  <si>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</si>
  <si>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</si>
  <si>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</si>
  <si>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</si>
  <si>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</si>
  <si>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</si>
  <si>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</si>
  <si>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</si>
  <si>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</si>
  <si>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</si>
  <si>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</si>
  <si>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</si>
  <si>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</si>
  <si>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</si>
  <si>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</si>
  <si>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</si>
  <si>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</si>
  <si>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</si>
  <si>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</si>
  <si>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</si>
  <si>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</si>
  <si>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</si>
  <si>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</si>
  <si>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</si>
  <si>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</si>
  <si>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</si>
  <si>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</si>
  <si>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</si>
  <si>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</si>
  <si>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</si>
  <si>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</si>
  <si>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</si>
  <si>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</si>
  <si>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</si>
  <si>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</si>
  <si>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</si>
  <si>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</si>
  <si>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</si>
  <si>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</si>
  <si>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</si>
  <si>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</si>
  <si>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</si>
  <si>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</si>
  <si>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</si>
  <si>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</si>
  <si>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</si>
  <si>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</si>
  <si>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</si>
  <si>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</si>
  <si>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</si>
  <si>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</si>
  <si>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</si>
  <si>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</si>
  <si>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</si>
  <si>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</si>
  <si>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</si>
  <si>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</si>
  <si>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</si>
  <si>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</si>
  <si>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</si>
  <si>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</si>
  <si>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</si>
  <si>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</si>
  <si>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</si>
  <si>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</si>
  <si>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</si>
  <si>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</si>
  <si>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</si>
  <si>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</si>
  <si>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</si>
  <si>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</si>
  <si>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</si>
  <si>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</si>
  <si>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</si>
  <si>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</si>
  <si>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</si>
  <si>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</si>
  <si>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</si>
  <si>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</si>
  <si>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</si>
  <si>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</si>
  <si>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</si>
  <si>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</si>
  <si>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</si>
  <si>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</si>
  <si>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</si>
  <si>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</si>
  <si>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</si>
  <si>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</si>
  <si>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</si>
  <si>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</si>
  <si>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</si>
  <si>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</si>
  <si>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</si>
  <si>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</si>
  <si>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</si>
  <si>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</si>
  <si>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</si>
  <si>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</si>
  <si>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</si>
  <si>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</si>
  <si>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</si>
  <si>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</si>
  <si>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</si>
  <si>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</si>
  <si>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</si>
  <si>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</si>
  <si>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</si>
  <si>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</si>
  <si>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</si>
  <si>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</si>
  <si>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</si>
  <si>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</si>
  <si>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</si>
  <si>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</si>
  <si>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</si>
  <si>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</si>
  <si>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</si>
  <si>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</si>
  <si>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</si>
  <si>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</si>
  <si>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</si>
  <si>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</si>
  <si>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</si>
  <si>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</si>
  <si>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</si>
  <si>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</si>
  <si>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</si>
  <si>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</si>
  <si>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</si>
  <si>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</si>
  <si>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</si>
  <si>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</si>
  <si>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</si>
  <si>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</si>
  <si>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</si>
  <si>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</si>
  <si>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</si>
  <si>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</si>
  <si>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</si>
  <si>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</si>
  <si>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</si>
  <si>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</si>
  <si>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</si>
  <si>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</si>
  <si>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</si>
  <si>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</si>
  <si>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</si>
  <si>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</si>
  <si>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</si>
  <si>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</si>
  <si>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</si>
  <si>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</si>
  <si>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</si>
  <si>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</si>
  <si>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</si>
  <si>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</si>
  <si>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</si>
  <si>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</si>
  <si>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</si>
  <si>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</si>
  <si>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</si>
  <si>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</si>
  <si>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</si>
  <si>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</si>
  <si>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</si>
  <si>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</si>
  <si>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</si>
  <si>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</si>
  <si>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</si>
  <si>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</si>
  <si>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</si>
  <si>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</si>
  <si>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</si>
  <si>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</si>
  <si>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</si>
  <si>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</si>
  <si>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</si>
  <si>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</si>
  <si>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</si>
  <si>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</si>
  <si>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</si>
  <si>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</si>
  <si>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</si>
  <si>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</si>
  <si>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</si>
  <si>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</si>
  <si>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</si>
  <si>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</si>
  <si>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</si>
  <si>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</si>
  <si>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</si>
  <si>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</si>
  <si>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</si>
  <si>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</si>
  <si>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</si>
  <si>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</si>
  <si>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</si>
  <si>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</si>
  <si>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</si>
  <si>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</si>
  <si>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</si>
  <si>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</si>
  <si>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</si>
  <si>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</si>
  <si>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</si>
  <si>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</si>
  <si>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</si>
  <si>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</si>
  <si>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</si>
  <si>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</si>
  <si>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</si>
  <si>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</si>
  <si>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</si>
  <si>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</si>
  <si>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</si>
  <si>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</si>
  <si>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</si>
  <si>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</si>
  <si>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</si>
  <si>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</si>
  <si>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</si>
  <si>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</si>
  <si>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</si>
  <si>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</si>
  <si>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</si>
  <si>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</si>
  <si>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</si>
  <si>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</si>
  <si>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</si>
  <si>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</si>
  <si>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</si>
  <si>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</si>
  <si>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</si>
  <si>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</si>
  <si>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</si>
  <si>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</si>
  <si>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</si>
  <si>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</si>
  <si>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</si>
  <si>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</si>
  <si>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</si>
  <si>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</si>
  <si>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</si>
  <si>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</si>
  <si>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</si>
  <si>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</si>
  <si>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</si>
  <si>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</si>
  <si>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</si>
  <si>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</si>
  <si>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</si>
  <si>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</si>
  <si>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</si>
  <si>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</si>
  <si>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</si>
  <si>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</si>
  <si>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</si>
  <si>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</si>
  <si>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</si>
  <si>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</si>
  <si>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</si>
  <si>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</si>
  <si>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</si>
  <si>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</si>
  <si>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</si>
  <si>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</si>
  <si>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</si>
  <si>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</si>
  <si>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</si>
  <si>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</si>
  <si>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</si>
  <si>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</si>
  <si>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</si>
  <si>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</si>
  <si>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</si>
  <si>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</si>
  <si>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</si>
  <si>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</si>
  <si>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</si>
  <si>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</si>
  <si>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</si>
  <si>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</si>
  <si>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</si>
  <si>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</si>
  <si>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</si>
  <si>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</si>
  <si>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</si>
  <si>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</si>
  <si>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</si>
  <si>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</si>
  <si>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</si>
  <si>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</si>
  <si>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</si>
  <si>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</si>
  <si>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</si>
  <si>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</si>
  <si>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</si>
  <si>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</si>
  <si>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</si>
  <si>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</si>
  <si>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</si>
  <si>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</si>
  <si>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</si>
  <si>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</si>
  <si>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</si>
  <si>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</si>
  <si>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</si>
  <si>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</si>
  <si>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</si>
  <si>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</si>
  <si>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</si>
  <si>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</si>
  <si>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</si>
  <si>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</si>
  <si>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</si>
  <si>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</si>
  <si>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</si>
  <si>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</si>
  <si>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</si>
  <si>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</si>
  <si>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</si>
  <si>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</si>
  <si>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</si>
  <si>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</si>
  <si>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</si>
  <si>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</si>
  <si>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</si>
  <si>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</si>
  <si>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</si>
  <si>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</si>
  <si>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</si>
  <si>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</si>
  <si>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</si>
  <si>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</si>
  <si>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</si>
  <si>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</si>
  <si>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</si>
  <si>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</si>
  <si>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</si>
  <si>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</si>
  <si>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</si>
  <si>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</si>
  <si>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</si>
  <si>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</si>
  <si>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</si>
  <si>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</si>
  <si>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</si>
  <si>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</si>
  <si>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</si>
  <si>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</si>
  <si>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</si>
  <si>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</si>
  <si>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</si>
  <si>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</si>
  <si>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</si>
  <si>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</si>
  <si>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</si>
  <si>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</si>
  <si>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</si>
  <si>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</si>
  <si>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</si>
  <si>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</si>
  <si>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</si>
  <si>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</si>
  <si>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</si>
  <si>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</si>
  <si>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</si>
  <si>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</si>
  <si>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</si>
  <si>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</si>
  <si>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</si>
  <si>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</si>
  <si>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</si>
  <si>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</si>
  <si>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</si>
  <si>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</si>
  <si>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</si>
  <si>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</si>
  <si>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</si>
  <si>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</si>
  <si>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</si>
  <si>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</si>
  <si>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</si>
  <si>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</si>
  <si>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</si>
  <si>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</si>
  <si>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</si>
  <si>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</si>
  <si>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</si>
  <si>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</si>
  <si>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</si>
  <si>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</si>
  <si>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</si>
  <si>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</si>
  <si>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</si>
  <si>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</si>
  <si>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</si>
  <si>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</si>
  <si>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</si>
  <si>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</si>
  <si>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</si>
  <si>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</si>
  <si>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</si>
  <si>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</si>
  <si>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</si>
  <si>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</si>
  <si>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</si>
  <si>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</si>
  <si>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</si>
  <si>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</si>
  <si>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</si>
  <si>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</si>
  <si>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</si>
  <si>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</si>
  <si>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</si>
  <si>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</si>
  <si>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</si>
  <si>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</si>
  <si>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</si>
  <si>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</si>
  <si>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</si>
  <si>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</si>
  <si>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</si>
  <si>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</si>
  <si>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</si>
  <si>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</si>
  <si>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</si>
  <si>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</si>
  <si>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</si>
  <si>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</si>
  <si>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</si>
  <si>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</si>
  <si>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</si>
  <si>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</si>
  <si>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</si>
  <si>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</si>
  <si>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</si>
  <si>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</si>
  <si>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</si>
  <si>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</si>
  <si>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</si>
  <si>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</si>
  <si>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</si>
  <si>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</si>
  <si>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</si>
  <si>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</si>
  <si>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</si>
  <si>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</si>
  <si>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</si>
  <si>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</si>
  <si>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</si>
  <si>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</si>
  <si>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</si>
  <si>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</si>
  <si>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</si>
  <si>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</si>
  <si>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</si>
  <si>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</si>
  <si>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</si>
  <si>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</si>
  <si>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</si>
  <si>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</si>
  <si>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</si>
  <si>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</si>
  <si>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</si>
  <si>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</si>
  <si>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</si>
  <si>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</si>
  <si>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</si>
  <si>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</si>
  <si>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</si>
  <si>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</si>
  <si>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</si>
  <si>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</si>
  <si>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</si>
  <si>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</si>
  <si>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</si>
  <si>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</si>
  <si>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</si>
  <si>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</si>
  <si>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</si>
  <si>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</si>
  <si>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</si>
  <si>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</si>
  <si>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</si>
  <si>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</si>
  <si>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</si>
  <si>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</si>
  <si>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</si>
  <si>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</si>
  <si>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</si>
  <si>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</si>
  <si>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</si>
  <si>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</si>
  <si>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</si>
  <si>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</si>
  <si>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</si>
  <si>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</si>
  <si>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</si>
  <si>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</si>
  <si>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</si>
  <si>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</si>
  <si>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</si>
  <si>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</si>
  <si>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</si>
  <si>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</si>
  <si>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</si>
  <si>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</si>
  <si>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</si>
  <si>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</si>
  <si>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</si>
  <si>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</si>
  <si>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</si>
  <si>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</si>
  <si>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</si>
  <si>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</si>
  <si>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</si>
  <si>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</si>
  <si>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</si>
  <si>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</si>
  <si>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</si>
  <si>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</si>
  <si>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</si>
  <si>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</si>
  <si>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</si>
  <si>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</si>
  <si>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</si>
  <si>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</si>
  <si>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</si>
  <si>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</si>
  <si>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</si>
  <si>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</si>
  <si>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</si>
  <si>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</si>
  <si>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</si>
  <si>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</si>
  <si>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</si>
  <si>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</si>
  <si>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</si>
  <si>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</si>
  <si>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</si>
  <si>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</si>
  <si>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</si>
  <si>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</si>
  <si>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</si>
  <si>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</si>
  <si>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</si>
  <si>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</si>
  <si>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</si>
  <si>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</si>
  <si>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</si>
  <si>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</si>
  <si>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</si>
  <si>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</si>
  <si>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</si>
  <si>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</si>
  <si>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</si>
  <si>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</si>
  <si>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</si>
  <si>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</si>
  <si>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</si>
  <si>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</si>
  <si>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</si>
  <si>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</si>
  <si>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</si>
  <si>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</si>
  <si>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</si>
  <si>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</si>
  <si>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</si>
  <si>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</si>
  <si>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</si>
  <si>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</si>
  <si>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</si>
  <si>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</si>
  <si>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</si>
  <si>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</si>
  <si>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</si>
  <si>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</si>
  <si>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</si>
  <si>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</si>
  <si>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</si>
  <si>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</si>
  <si>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</si>
  <si>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</si>
  <si>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</si>
  <si>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</si>
  <si>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</si>
  <si>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</si>
  <si>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</si>
  <si>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</si>
  <si>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</si>
  <si>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</si>
  <si>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</si>
  <si>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</si>
  <si>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</si>
  <si>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</si>
  <si>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</si>
  <si>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</si>
  <si>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</si>
  <si>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</si>
  <si>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</si>
  <si>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</si>
  <si>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</si>
  <si>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</si>
  <si>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</si>
  <si>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</si>
  <si>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</si>
  <si>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</si>
  <si>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</si>
  <si>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</si>
  <si>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</si>
  <si>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</si>
  <si>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</si>
  <si>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</si>
  <si>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</si>
  <si>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</si>
  <si>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</si>
  <si>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</si>
  <si>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</si>
  <si>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</si>
  <si>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</si>
  <si>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</si>
  <si>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</si>
  <si>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</si>
  <si>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</si>
  <si>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</si>
  <si>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</si>
  <si>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</si>
  <si>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</si>
  <si>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</si>
  <si>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</si>
  <si>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</si>
  <si>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</si>
  <si>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</si>
  <si>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</si>
  <si>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</si>
  <si>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</si>
  <si>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</si>
  <si>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</si>
  <si>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</si>
  <si>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</si>
  <si>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</si>
  <si>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</si>
  <si>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</si>
  <si>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</si>
  <si>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</si>
  <si>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</si>
  <si>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</si>
  <si>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</si>
  <si>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</si>
  <si>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</si>
  <si>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</si>
  <si>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</si>
  <si>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</si>
  <si>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</si>
  <si>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</si>
  <si>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</si>
  <si>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</si>
  <si>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</si>
  <si>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</si>
  <si>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</si>
  <si>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</si>
  <si>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</si>
  <si>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</si>
  <si>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</si>
  <si>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</si>
  <si>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</si>
  <si>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</si>
  <si>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</si>
  <si>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</si>
  <si>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</si>
  <si>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</si>
  <si>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</si>
  <si>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</si>
  <si>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</si>
  <si>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</si>
  <si>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</si>
  <si>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</si>
  <si>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</si>
  <si>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</si>
  <si>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</si>
  <si>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</si>
  <si>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</si>
  <si>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</si>
  <si>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</si>
  <si>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</si>
  <si>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</si>
  <si>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</si>
  <si>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</si>
  <si>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</si>
  <si>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</si>
  <si>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</si>
  <si>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</si>
  <si>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</si>
  <si>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</si>
  <si>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</si>
  <si>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</si>
  <si>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</si>
  <si>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</si>
  <si>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</si>
  <si>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</si>
  <si>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</si>
  <si>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</si>
  <si>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</si>
  <si>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</si>
  <si>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</si>
  <si>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</si>
  <si>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</si>
  <si>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</si>
  <si>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</si>
  <si>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</si>
  <si>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</si>
  <si>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</si>
  <si>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</si>
  <si>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</si>
  <si>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</si>
  <si>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</si>
  <si>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</si>
  <si>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</si>
  <si>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</si>
  <si>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</si>
  <si>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</si>
  <si>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</si>
  <si>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</si>
  <si>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</si>
  <si>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</si>
  <si>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</si>
  <si>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</si>
  <si>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</si>
  <si>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</si>
  <si>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</si>
  <si>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</si>
  <si>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</si>
  <si>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</si>
  <si>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</si>
  <si>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</si>
  <si>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</si>
  <si>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</si>
  <si>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</si>
  <si>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</si>
  <si>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</si>
  <si>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</si>
  <si>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</si>
  <si>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</si>
  <si>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</si>
  <si>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</si>
  <si>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</si>
  <si>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</si>
  <si>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</si>
  <si>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</si>
  <si>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</si>
  <si>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</si>
  <si>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</si>
  <si>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</si>
  <si>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</si>
  <si>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</si>
  <si>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</si>
  <si>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</si>
  <si>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</si>
  <si>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</si>
  <si>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</si>
  <si>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</si>
  <si>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</si>
  <si>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</si>
  <si>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</si>
  <si>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</si>
  <si>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</si>
  <si>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</si>
  <si>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</si>
  <si>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</si>
  <si>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</si>
  <si>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</si>
  <si>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</si>
  <si>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</si>
  <si>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</si>
  <si>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</si>
  <si>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</si>
  <si>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</si>
  <si>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</si>
  <si>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</si>
  <si>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</si>
  <si>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</si>
  <si>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</si>
  <si>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</si>
  <si>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</si>
  <si>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</si>
  <si>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</si>
  <si>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</si>
  <si>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</si>
  <si>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</si>
  <si>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</si>
  <si>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</si>
  <si>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</si>
  <si>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</si>
  <si>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</si>
  <si>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</si>
  <si>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</si>
  <si>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</si>
  <si>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</si>
  <si>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</si>
  <si>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</si>
  <si>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</si>
  <si>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</si>
  <si>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</si>
  <si>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</si>
  <si>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</si>
  <si>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</si>
  <si>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</si>
  <si>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</si>
  <si>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</si>
  <si>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</si>
  <si>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</si>
  <si>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</si>
  <si>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</si>
  <si>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</si>
  <si>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</si>
  <si>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</si>
  <si>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</si>
  <si>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</si>
  <si>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</si>
  <si>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</si>
  <si>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</si>
  <si>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</si>
  <si>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</si>
  <si>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</si>
  <si>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</si>
  <si>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</si>
  <si>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</si>
  <si>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</si>
  <si>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</si>
  <si>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</si>
  <si>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</si>
  <si>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</si>
  <si>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</si>
  <si>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</si>
  <si>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</si>
  <si>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</si>
  <si>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</si>
  <si>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</si>
  <si>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</si>
  <si>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</si>
  <si>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</si>
  <si>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</si>
  <si>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</si>
  <si>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</si>
  <si>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</si>
  <si>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</si>
  <si>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</si>
  <si>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</si>
  <si>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</si>
  <si>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</si>
  <si>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</si>
  <si>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</si>
  <si>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</si>
  <si>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</si>
  <si>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</si>
  <si>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</si>
  <si>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</si>
  <si>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</si>
  <si>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</si>
  <si>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</si>
  <si>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</si>
  <si>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</si>
  <si>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</si>
  <si>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</si>
  <si>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</si>
  <si>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</si>
  <si>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</si>
  <si>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</si>
  <si>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</si>
  <si>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</si>
  <si>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</si>
  <si>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</si>
  <si>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</si>
  <si>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</si>
  <si>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</si>
  <si>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</si>
  <si>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</si>
  <si>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</si>
  <si>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</si>
  <si>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</si>
  <si>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</si>
  <si>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</si>
  <si>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</si>
  <si>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</si>
  <si>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</si>
  <si>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</si>
  <si>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</si>
  <si>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</si>
  <si>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</si>
  <si>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</si>
  <si>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</si>
  <si>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</si>
  <si>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</si>
  <si>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</si>
  <si>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</si>
  <si>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</si>
  <si>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</si>
  <si>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</si>
  <si>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</si>
  <si>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</si>
  <si>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</si>
  <si>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</si>
  <si>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</si>
  <si>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</si>
  <si>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</si>
  <si>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</si>
  <si>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</si>
  <si>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</si>
  <si>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</si>
  <si>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</si>
  <si>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</si>
  <si>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</si>
  <si>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</si>
  <si>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</si>
  <si>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</si>
  <si>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</si>
  <si>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</si>
  <si>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</si>
  <si>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</si>
  <si>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</si>
  <si>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</si>
  <si>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</si>
  <si>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</si>
  <si>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</si>
  <si>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</si>
  <si>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</si>
  <si>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</si>
  <si>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</si>
  <si>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</si>
  <si>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</si>
  <si>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</si>
  <si>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</si>
  <si>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</si>
  <si>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</si>
  <si>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</si>
  <si>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</si>
  <si>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</si>
  <si>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</si>
  <si>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</si>
  <si>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</si>
  <si>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</si>
  <si>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</si>
  <si>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</si>
  <si>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</si>
  <si>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</si>
  <si>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</si>
  <si>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</si>
  <si>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</si>
  <si>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</si>
  <si>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</si>
  <si>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</si>
  <si>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</si>
  <si>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</si>
  <si>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</si>
  <si>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</si>
  <si>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</si>
  <si>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</si>
  <si>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</si>
  <si>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</si>
  <si>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</si>
  <si>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</si>
  <si>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</si>
  <si>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</si>
  <si>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</si>
  <si>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</si>
  <si>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</si>
  <si>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</si>
  <si>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</si>
  <si>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</si>
  <si>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</si>
  <si>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</si>
  <si>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</si>
  <si>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</si>
  <si>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</si>
  <si>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</si>
  <si>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</si>
  <si>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</si>
  <si>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</si>
  <si>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</si>
  <si>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</si>
  <si>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</si>
  <si>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</si>
  <si>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</si>
  <si>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</si>
  <si>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</si>
  <si>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</si>
  <si>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</si>
  <si>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</si>
  <si>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</si>
  <si>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</si>
  <si>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</si>
  <si>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</si>
  <si>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</si>
  <si>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</si>
  <si>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</si>
  <si>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</si>
  <si>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</si>
  <si>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</si>
  <si>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</si>
  <si>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</si>
  <si>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</si>
  <si>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</si>
  <si>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</si>
  <si>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</si>
  <si>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</si>
  <si>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</si>
  <si>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</si>
  <si>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</si>
  <si>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</si>
  <si>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</si>
  <si>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</si>
  <si>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</si>
  <si>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</si>
  <si>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</si>
  <si>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</si>
  <si>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</si>
  <si>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</si>
  <si>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</si>
  <si>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</si>
  <si>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</si>
  <si>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</si>
  <si>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</si>
  <si>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</si>
  <si>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</si>
  <si>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</si>
  <si>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</si>
  <si>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</si>
  <si>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</si>
  <si>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</si>
  <si>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</si>
  <si>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</si>
  <si>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</si>
  <si>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</si>
  <si>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</si>
  <si>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</si>
  <si>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</si>
  <si>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</si>
  <si>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</si>
  <si>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</si>
  <si>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</si>
  <si>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</si>
  <si>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</si>
  <si>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</si>
  <si>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</si>
  <si>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</si>
  <si>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</si>
  <si>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</si>
  <si>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</si>
  <si>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</si>
  <si>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</si>
  <si>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</si>
  <si>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</si>
  <si>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</si>
  <si>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</si>
  <si>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</si>
  <si>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</si>
  <si>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</si>
  <si>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</si>
  <si>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</si>
  <si>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</si>
  <si>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</si>
  <si>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</si>
  <si>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</si>
  <si>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</si>
  <si>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</si>
  <si>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</si>
  <si>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</si>
  <si>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</si>
  <si>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</si>
  <si>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</si>
  <si>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</si>
  <si>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</si>
  <si>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</si>
  <si>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</si>
  <si>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</si>
  <si>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</si>
  <si>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</si>
  <si>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</si>
  <si>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</si>
  <si>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</si>
  <si>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</si>
  <si>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</si>
  <si>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</si>
  <si>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</si>
  <si>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</si>
  <si>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</si>
  <si>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</si>
  <si>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</si>
  <si>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</si>
  <si>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</si>
  <si>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</si>
  <si>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</si>
  <si>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</si>
  <si>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</si>
  <si>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</si>
  <si>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</si>
  <si>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</si>
  <si>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</si>
  <si>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</si>
  <si>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</si>
  <si>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</si>
  <si>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</si>
  <si>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</si>
  <si>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</si>
  <si>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</si>
  <si>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</si>
  <si>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</si>
  <si>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</si>
  <si>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</si>
  <si>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</si>
  <si>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</si>
  <si>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</si>
  <si>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</si>
  <si>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</si>
  <si>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</si>
  <si>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</si>
  <si>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</si>
  <si>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</si>
  <si>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</si>
  <si>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</si>
  <si>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</si>
  <si>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</si>
  <si>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</si>
  <si>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</si>
  <si>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</si>
  <si>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</si>
  <si>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</si>
  <si>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</si>
  <si>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</si>
  <si>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</si>
  <si>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</si>
  <si>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</si>
  <si>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</si>
  <si>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</si>
  <si>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</si>
  <si>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</si>
  <si>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</si>
  <si>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</si>
  <si>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</si>
  <si>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</si>
  <si>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</si>
  <si>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</si>
  <si>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</si>
  <si>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</si>
  <si>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</si>
  <si>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</si>
  <si>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</si>
  <si>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</si>
  <si>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</si>
  <si>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</si>
  <si>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</si>
  <si>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</si>
  <si>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</si>
  <si>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</si>
  <si>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</si>
  <si>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</si>
  <si>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</si>
  <si>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</si>
  <si>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</si>
  <si>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</si>
  <si>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</si>
  <si>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</si>
  <si>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</si>
  <si>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</si>
  <si>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</si>
  <si>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</si>
  <si>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</si>
  <si>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</si>
  <si>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</si>
  <si>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</si>
  <si>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</si>
  <si>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</si>
  <si>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</si>
  <si>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</si>
  <si>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</si>
  <si>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</si>
  <si>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</si>
  <si>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</si>
  <si>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</si>
  <si>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</si>
  <si>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</si>
  <si>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</si>
  <si>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</si>
  <si>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</si>
  <si>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</si>
  <si>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</si>
  <si>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</si>
  <si>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</si>
  <si>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</si>
  <si>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</si>
  <si>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</si>
  <si>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</si>
  <si>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</si>
  <si>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</si>
  <si>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</si>
  <si>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</si>
  <si>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</si>
  <si>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</si>
  <si>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</si>
  <si>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</si>
  <si>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</si>
  <si>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</si>
  <si>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</si>
  <si>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</si>
  <si>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</si>
  <si>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</si>
  <si>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</si>
  <si>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</si>
  <si>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</si>
  <si>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</si>
  <si>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</si>
  <si>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</si>
  <si>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</si>
  <si>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</si>
  <si>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</si>
  <si>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</si>
  <si>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</si>
  <si>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</si>
  <si>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</si>
  <si>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</si>
  <si>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</si>
  <si>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</si>
  <si>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</si>
  <si>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</si>
  <si>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</si>
  <si>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</si>
  <si>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</si>
  <si>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</si>
  <si>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</si>
  <si>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</si>
  <si>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</si>
  <si>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</si>
  <si>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</si>
  <si>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</si>
  <si>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</si>
  <si>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</si>
  <si>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</si>
  <si>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</si>
  <si>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</si>
  <si>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</si>
  <si>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</si>
  <si>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</si>
  <si>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</si>
  <si>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</si>
  <si>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</si>
  <si>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</si>
  <si>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</si>
  <si>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</si>
  <si>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</si>
  <si>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</si>
  <si>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</si>
  <si>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</si>
  <si>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</si>
  <si>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</si>
  <si>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</si>
  <si>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</si>
  <si>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</si>
  <si>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</si>
  <si>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</si>
  <si>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</si>
  <si>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</si>
  <si>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</si>
  <si>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</si>
  <si>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</si>
  <si>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</si>
  <si>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</si>
  <si>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</si>
  <si>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</si>
  <si>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</si>
  <si>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</si>
  <si>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</si>
  <si>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</si>
  <si>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</si>
  <si>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</si>
  <si>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</si>
  <si>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</si>
  <si>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</si>
  <si>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</si>
  <si>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</si>
  <si>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</si>
  <si>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</si>
  <si>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</si>
  <si>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</si>
  <si>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</si>
  <si>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</si>
  <si>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</si>
  <si>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</si>
  <si>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</si>
  <si>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</si>
  <si>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</si>
  <si>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</si>
  <si>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</si>
  <si>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</si>
  <si>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</si>
  <si>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</si>
  <si>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</si>
  <si>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</si>
  <si>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</si>
  <si>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</si>
  <si>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</si>
  <si>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</si>
  <si>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</si>
  <si>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</si>
  <si>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</si>
  <si>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</si>
  <si>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</si>
  <si>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</si>
  <si>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</si>
  <si>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</si>
  <si>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</si>
  <si>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</si>
  <si>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</si>
  <si>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</si>
  <si>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</si>
  <si>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</si>
  <si>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</si>
  <si>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</si>
  <si>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</si>
  <si>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</si>
  <si>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</si>
  <si>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</si>
  <si>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</si>
  <si>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</si>
  <si>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</si>
  <si>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</si>
  <si>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</si>
  <si>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</si>
  <si>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</si>
  <si>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</si>
  <si>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</si>
  <si>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</si>
  <si>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</si>
  <si>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</si>
  <si>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</si>
  <si>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</si>
  <si>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</si>
  <si>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</si>
  <si>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</si>
  <si>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</si>
  <si>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</si>
  <si>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</si>
  <si>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</si>
  <si>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</si>
  <si>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</si>
  <si>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</si>
  <si>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</si>
  <si>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</si>
  <si>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</si>
  <si>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</si>
  <si>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</si>
  <si>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</si>
  <si>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</si>
  <si>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</si>
  <si>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</si>
  <si>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</si>
  <si>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</si>
  <si>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</si>
  <si>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</si>
  <si>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</si>
  <si>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</si>
  <si>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</si>
  <si>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</si>
  <si>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</si>
  <si>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</si>
  <si>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</si>
  <si>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</si>
  <si>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</si>
  <si>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</si>
  <si>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</si>
  <si>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</si>
  <si>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</si>
  <si>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</si>
  <si>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</si>
  <si>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</si>
  <si>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</si>
  <si>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</si>
  <si>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</si>
  <si>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</si>
  <si>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</si>
  <si>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</si>
  <si>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</si>
  <si>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</si>
  <si>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</si>
  <si>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</si>
  <si>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</si>
  <si>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</si>
  <si>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</si>
  <si>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</si>
  <si>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</si>
  <si>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</si>
  <si>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</si>
  <si>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</si>
  <si>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</si>
  <si>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</si>
  <si>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</si>
  <si>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</si>
  <si>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</si>
  <si>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</si>
  <si>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</si>
  <si>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</si>
  <si>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</si>
  <si>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</si>
  <si>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</si>
  <si>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</si>
  <si>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</si>
  <si>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</si>
  <si>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</si>
  <si>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</si>
  <si>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</si>
  <si>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</si>
  <si>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</si>
  <si>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</si>
  <si>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</si>
  <si>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</si>
  <si>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</si>
  <si>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</si>
  <si>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</si>
  <si>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</si>
  <si>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</si>
  <si>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</si>
  <si>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</si>
  <si>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</si>
  <si>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</si>
  <si>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</si>
  <si>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</si>
  <si>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</si>
  <si>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</si>
  <si>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</si>
  <si>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</si>
  <si>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</si>
  <si>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</si>
  <si>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</si>
  <si>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</si>
  <si>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</si>
  <si>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</si>
  <si>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</si>
  <si>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</si>
  <si>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</si>
  <si>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</si>
  <si>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</si>
  <si>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</si>
  <si>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</si>
  <si>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</si>
  <si>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</si>
  <si>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</si>
  <si>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</si>
  <si>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</si>
  <si>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</si>
  <si>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</si>
  <si>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</si>
  <si>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</si>
  <si>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</si>
  <si>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</si>
  <si>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</si>
  <si>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</si>
  <si>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</si>
  <si>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</si>
  <si>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</si>
  <si>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</si>
  <si>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</si>
  <si>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</si>
  <si>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</si>
  <si>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</si>
  <si>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</si>
  <si>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</si>
  <si>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</si>
  <si>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</si>
  <si>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</si>
  <si>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</si>
  <si>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</si>
  <si>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</si>
  <si>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</si>
  <si>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</si>
  <si>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</si>
  <si>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</si>
  <si>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</si>
  <si>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</si>
  <si>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</si>
  <si>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</si>
  <si>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</si>
  <si>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</si>
  <si>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</si>
  <si>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</si>
  <si>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</si>
  <si>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</si>
  <si>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</si>
  <si>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</si>
  <si>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</si>
  <si>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</si>
  <si>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</si>
  <si>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</si>
  <si>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</si>
  <si>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</si>
  <si>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</si>
  <si>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</si>
  <si>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</si>
  <si>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</si>
  <si>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</si>
  <si>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</si>
  <si>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</si>
  <si>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</si>
  <si>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</si>
  <si>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</si>
  <si>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</si>
  <si>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</si>
  <si>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</si>
  <si>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</si>
  <si>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</si>
  <si>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</si>
  <si>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</si>
  <si>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</si>
  <si>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</si>
  <si>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</si>
  <si>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</si>
  <si>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</si>
  <si>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</si>
  <si>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</si>
  <si>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</si>
  <si>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</si>
  <si>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</si>
  <si>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</si>
  <si>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</si>
  <si>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</si>
  <si>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</si>
  <si>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</si>
  <si>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</si>
  <si>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</si>
  <si>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</si>
  <si>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</si>
  <si>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</si>
  <si>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</si>
  <si>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</si>
  <si>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</si>
  <si>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</si>
  <si>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</si>
  <si>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</si>
  <si>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</si>
  <si>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</si>
  <si>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</si>
  <si>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</si>
  <si>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</si>
  <si>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</si>
  <si>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</si>
  <si>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</si>
  <si>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</si>
  <si>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</si>
  <si>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</si>
  <si>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</si>
  <si>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</si>
  <si>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</si>
  <si>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</si>
  <si>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</si>
  <si>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</si>
  <si>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</si>
  <si>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</si>
  <si>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</si>
  <si>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</si>
  <si>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</si>
  <si>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</si>
  <si>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</si>
  <si>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</si>
  <si>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</si>
  <si>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</si>
  <si>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</si>
  <si>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</si>
  <si>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</si>
  <si>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</si>
  <si>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</si>
  <si>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</si>
  <si>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</si>
  <si>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</si>
  <si>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</si>
  <si>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</si>
  <si>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</si>
  <si>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</si>
  <si>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</si>
  <si>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</si>
  <si>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</si>
  <si>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</si>
  <si>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</si>
  <si>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</si>
  <si>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</si>
  <si>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</si>
  <si>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</si>
  <si>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</si>
  <si>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</si>
  <si>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</si>
  <si>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</si>
  <si>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</si>
  <si>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</si>
  <si>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</si>
  <si>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</si>
  <si>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</si>
  <si>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</si>
  <si>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</si>
  <si>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</si>
  <si>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</si>
  <si>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</si>
  <si>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</si>
  <si>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</si>
  <si>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</si>
  <si>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</si>
  <si>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</si>
  <si>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</si>
  <si>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</si>
  <si>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</si>
  <si>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</si>
  <si>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</si>
  <si>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</si>
  <si>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</si>
  <si>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</si>
  <si>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</si>
  <si>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</si>
  <si>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</si>
  <si>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</si>
  <si>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</si>
  <si>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</si>
  <si>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</si>
  <si>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</si>
  <si>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</si>
  <si>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</si>
  <si>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</si>
  <si>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</si>
  <si>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</si>
  <si>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</si>
  <si>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</si>
  <si>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</si>
  <si>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</si>
  <si>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</si>
  <si>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</si>
  <si>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</si>
  <si>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</si>
  <si>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</si>
  <si>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</si>
  <si>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</si>
  <si>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</si>
  <si>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</si>
  <si>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</si>
  <si>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</si>
  <si>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</si>
  <si>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</si>
  <si>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</si>
  <si>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</si>
  <si>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</si>
  <si>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</si>
  <si>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</si>
  <si>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</si>
  <si>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</si>
  <si>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</si>
  <si>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</si>
  <si>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</si>
  <si>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</si>
  <si>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</si>
  <si>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</si>
  <si>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</si>
  <si>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</si>
  <si>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</si>
  <si>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</si>
  <si>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</si>
  <si>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</si>
  <si>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</si>
  <si>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</si>
  <si>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</si>
  <si>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</si>
  <si>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</si>
  <si>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</si>
  <si>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</si>
  <si>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</si>
  <si>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</si>
  <si>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</si>
  <si>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</si>
  <si>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</si>
  <si>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</si>
  <si>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</si>
  <si>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</si>
  <si>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</si>
  <si>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</si>
  <si>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</si>
  <si>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</si>
  <si>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</si>
  <si>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</si>
  <si>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</si>
  <si>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</si>
  <si>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</si>
  <si>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</si>
  <si>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</si>
  <si>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</si>
  <si>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</si>
  <si>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</si>
  <si>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</si>
  <si>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</si>
  <si>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</si>
  <si>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</si>
  <si>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</si>
  <si>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</si>
  <si>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</si>
  <si>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</si>
  <si>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</si>
  <si>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</si>
  <si>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</si>
  <si>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</si>
  <si>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</si>
  <si>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</si>
  <si>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</si>
  <si>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</si>
  <si>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</si>
  <si>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</si>
  <si>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</si>
  <si>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</si>
  <si>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</si>
  <si>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</si>
  <si>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</si>
  <si>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</si>
  <si>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</si>
  <si>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</si>
  <si>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</si>
  <si>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</si>
  <si>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</si>
  <si>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</si>
  <si>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</si>
  <si>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</si>
  <si>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</si>
  <si>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</si>
  <si>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</si>
  <si>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</si>
  <si>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</si>
  <si>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</si>
  <si>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</si>
  <si>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</si>
  <si>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</si>
  <si>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</si>
  <si>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</si>
  <si>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</si>
  <si>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</si>
  <si>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</si>
  <si>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</si>
  <si>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</si>
  <si>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</si>
  <si>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</si>
  <si>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</si>
  <si>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</si>
  <si>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</si>
  <si>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</si>
  <si>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</si>
  <si>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</si>
  <si>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</si>
  <si>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</si>
  <si>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</si>
  <si>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</si>
  <si>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</si>
  <si>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</si>
  <si>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</si>
  <si>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</si>
  <si>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</si>
  <si>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</si>
  <si>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</si>
  <si>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</si>
  <si>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</si>
  <si>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</si>
  <si>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</si>
  <si>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</si>
  <si>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</si>
  <si>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</si>
  <si>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</si>
  <si>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</si>
  <si>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</si>
  <si>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</si>
  <si>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</si>
  <si>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</si>
  <si>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</si>
  <si>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</si>
  <si>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</si>
  <si>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</si>
  <si>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</si>
  <si>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</si>
  <si>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</si>
  <si>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</si>
  <si>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</si>
  <si>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</si>
  <si>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</si>
  <si>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</si>
  <si>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</si>
  <si>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</si>
  <si>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</si>
  <si>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</si>
  <si>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</si>
  <si>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</si>
  <si>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</si>
  <si>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</si>
  <si>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</si>
  <si>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</si>
  <si>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</si>
  <si>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</si>
  <si>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</si>
  <si>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</si>
  <si>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</si>
  <si>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</si>
  <si>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</si>
  <si>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</si>
  <si>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</si>
  <si>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</si>
  <si>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</si>
  <si>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</si>
  <si>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</si>
  <si>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</si>
  <si>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</si>
  <si>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</si>
  <si>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</si>
  <si>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</si>
  <si>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</si>
  <si>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</si>
  <si>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</si>
  <si>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</si>
  <si>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</si>
  <si>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</si>
  <si>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</si>
  <si>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</si>
  <si>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</si>
  <si>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</si>
  <si>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</si>
  <si>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</si>
  <si>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</si>
  <si>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</si>
  <si>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</si>
  <si>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</si>
  <si>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</si>
  <si>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</si>
  <si>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</si>
  <si>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</si>
  <si>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</si>
  <si>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</si>
  <si>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</si>
  <si>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</si>
  <si>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</si>
  <si>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</si>
  <si>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</si>
  <si>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</si>
  <si>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</si>
  <si>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</si>
  <si>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</si>
  <si>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</si>
  <si>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</si>
  <si>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</si>
  <si>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</si>
  <si>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</si>
  <si>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</si>
  <si>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</si>
  <si>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</si>
  <si>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</si>
  <si>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</si>
  <si>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</si>
  <si>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</si>
  <si>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</si>
  <si>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</si>
  <si>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</si>
  <si>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</si>
  <si>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</si>
  <si>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</si>
  <si>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</si>
  <si>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</si>
  <si>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</si>
  <si>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</si>
  <si>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</si>
  <si>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</si>
  <si>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</si>
  <si>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</si>
  <si>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</si>
  <si>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</si>
  <si>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</si>
  <si>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</si>
  <si>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</si>
  <si>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</si>
  <si>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</si>
  <si>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</si>
  <si>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</si>
  <si>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</si>
  <si>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</si>
  <si>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</si>
  <si>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</si>
  <si>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</si>
  <si>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</si>
  <si>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</si>
  <si>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</si>
  <si>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</si>
  <si>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</si>
  <si>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</si>
  <si>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</si>
  <si>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</si>
  <si>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</si>
  <si>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</si>
  <si>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</si>
  <si>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</si>
  <si>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</si>
  <si>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</si>
  <si>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</si>
  <si>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</si>
  <si>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</si>
  <si>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</si>
  <si>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</si>
  <si>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</si>
  <si>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</si>
  <si>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</si>
  <si>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</si>
  <si>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</si>
  <si>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</si>
  <si>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</si>
  <si>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</si>
  <si>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</si>
  <si>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</si>
  <si>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</si>
  <si>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</si>
  <si>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</si>
  <si>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</si>
  <si>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</si>
  <si>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</si>
  <si>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</si>
  <si>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</si>
  <si>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</si>
  <si>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</si>
  <si>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</si>
  <si>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</si>
  <si>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</si>
  <si>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</si>
  <si>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</si>
  <si>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</si>
  <si>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</si>
  <si>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</si>
  <si>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</si>
  <si>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</si>
  <si>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</si>
  <si>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</si>
  <si>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</si>
  <si>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</si>
  <si>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</si>
  <si>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</si>
  <si>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</si>
  <si>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</si>
  <si>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</si>
  <si>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</si>
  <si>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</si>
  <si>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</si>
  <si>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</si>
  <si>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</si>
  <si>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</si>
  <si>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</si>
  <si>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</si>
  <si>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</si>
  <si>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</si>
  <si>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</si>
  <si>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</si>
  <si>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</si>
  <si>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</si>
  <si>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</si>
  <si>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</si>
  <si>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</si>
  <si>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</si>
  <si>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</si>
  <si>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</si>
  <si>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</si>
  <si>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</si>
  <si>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</si>
  <si>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</si>
  <si>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</si>
  <si>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</si>
  <si>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</si>
  <si>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</si>
  <si>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</si>
  <si>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</si>
  <si>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</si>
  <si>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</si>
  <si>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</si>
  <si>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</si>
  <si>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</si>
  <si>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</si>
  <si>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</si>
  <si>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</si>
  <si>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</si>
  <si>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</si>
  <si>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</si>
  <si>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</si>
  <si>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</si>
  <si>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</si>
  <si>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</si>
  <si>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</si>
  <si>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</si>
  <si>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</si>
  <si>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</si>
  <si>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</si>
  <si>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</si>
  <si>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</si>
  <si>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</si>
  <si>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</si>
  <si>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</si>
  <si>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</si>
  <si>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</si>
  <si>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</si>
  <si>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</si>
  <si>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</si>
  <si>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</si>
  <si>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</si>
  <si>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</si>
  <si>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</si>
  <si>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</si>
  <si>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</si>
  <si>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</si>
  <si>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</si>
  <si>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</si>
  <si>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</si>
  <si>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</si>
  <si>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</si>
  <si>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</si>
  <si>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</si>
  <si>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</si>
  <si>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</si>
  <si>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</si>
  <si>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</si>
  <si>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</si>
  <si>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</si>
  <si>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</si>
  <si>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</si>
  <si>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</si>
  <si>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</si>
  <si>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</si>
  <si>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</si>
  <si>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</si>
  <si>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</si>
  <si>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</si>
  <si>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</si>
  <si>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</si>
  <si>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</si>
  <si>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</si>
  <si>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</si>
  <si>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</si>
  <si>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</si>
  <si>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</si>
  <si>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</si>
  <si>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</si>
  <si>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</si>
  <si>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</si>
  <si>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</si>
  <si>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</si>
  <si>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</si>
  <si>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</si>
  <si>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</si>
  <si>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</si>
  <si>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</si>
  <si>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</si>
  <si>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</si>
  <si>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</si>
  <si>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</si>
  <si>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</si>
  <si>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</si>
  <si>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</si>
  <si>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</si>
  <si>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</si>
  <si>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</si>
  <si>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</si>
  <si>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</si>
  <si>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</si>
  <si>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</si>
  <si>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</si>
  <si>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</si>
  <si>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</si>
  <si>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</si>
  <si>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</si>
  <si>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</si>
  <si>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</si>
  <si>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</si>
  <si>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</si>
  <si>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</si>
  <si>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</si>
  <si>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</si>
  <si>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</si>
  <si>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</si>
  <si>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</si>
  <si>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</si>
  <si>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</si>
  <si>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</si>
  <si>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</si>
  <si>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</si>
  <si>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</si>
  <si>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</si>
  <si>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</si>
  <si>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</si>
  <si>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</si>
  <si>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</si>
  <si>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</si>
  <si>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</si>
  <si>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</si>
  <si>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</si>
  <si>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</si>
  <si>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</si>
  <si>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</si>
  <si>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</si>
  <si>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</si>
  <si>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</si>
  <si>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</si>
  <si>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</si>
  <si>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</si>
  <si>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</si>
  <si>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</si>
  <si>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</si>
  <si>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</si>
  <si>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</si>
  <si>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</si>
  <si>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</si>
  <si>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</si>
  <si>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</si>
  <si>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</si>
  <si>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</si>
  <si>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</si>
  <si>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</si>
  <si>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</si>
  <si>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</si>
  <si>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</si>
  <si>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</si>
  <si>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</si>
  <si>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</si>
  <si>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</si>
  <si>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</si>
  <si>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</si>
  <si>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</si>
  <si>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</si>
  <si>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</si>
  <si>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</si>
  <si>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</si>
  <si>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</si>
  <si>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</si>
  <si>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</si>
  <si>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</si>
  <si>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</si>
  <si>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</si>
  <si>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</si>
  <si>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</si>
  <si>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</si>
  <si>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</si>
  <si>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</si>
  <si>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</si>
  <si>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</si>
  <si>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</si>
  <si>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</si>
  <si>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</si>
  <si>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</si>
  <si>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</si>
  <si>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</si>
  <si>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</si>
  <si>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</si>
  <si>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</si>
  <si>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</si>
  <si>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</si>
  <si>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</si>
  <si>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</si>
  <si>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</si>
  <si>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</si>
  <si>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</si>
  <si>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</si>
  <si>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</si>
  <si>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</si>
  <si>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</si>
  <si>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</si>
  <si>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</si>
  <si>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</si>
  <si>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</si>
  <si>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</si>
  <si>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</si>
  <si>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</si>
  <si>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</si>
  <si>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</si>
  <si>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</si>
  <si>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</si>
  <si>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</si>
  <si>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</si>
  <si>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</si>
  <si>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</si>
  <si>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</si>
  <si>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</si>
  <si>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</si>
  <si>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</si>
  <si>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</si>
  <si>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</si>
  <si>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</si>
  <si>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</si>
  <si>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</si>
  <si>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</si>
  <si>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</si>
  <si>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</si>
  <si>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</si>
  <si>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</si>
  <si>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</si>
  <si>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</si>
  <si>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</si>
  <si>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</si>
  <si>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</si>
  <si>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</si>
  <si>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</si>
  <si>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</si>
  <si>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</si>
  <si>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</si>
  <si>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</si>
  <si>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</si>
  <si>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</si>
  <si>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</si>
  <si>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</si>
  <si>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</si>
  <si>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</si>
  <si>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</si>
  <si>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</si>
  <si>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</si>
  <si>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</si>
  <si>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</si>
  <si>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</si>
  <si>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</si>
  <si>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</si>
  <si>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</si>
  <si>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</si>
  <si>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</si>
  <si>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</si>
  <si>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</si>
  <si>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</si>
  <si>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</si>
  <si>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</si>
  <si>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</si>
  <si>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</si>
  <si>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</si>
  <si>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</si>
  <si>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</si>
  <si>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</si>
  <si>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</si>
  <si>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</si>
  <si>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</si>
  <si>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</si>
  <si>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</si>
  <si>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</si>
  <si>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</si>
  <si>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</si>
  <si>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</si>
  <si>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</si>
  <si>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</si>
  <si>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</si>
  <si>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</si>
  <si>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</si>
  <si>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</si>
  <si>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</si>
  <si>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</si>
  <si>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</si>
  <si>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</si>
  <si>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</si>
  <si>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</si>
  <si>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</si>
  <si>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</si>
  <si>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</si>
  <si>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</si>
  <si>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</si>
  <si>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</si>
  <si>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</si>
  <si>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</si>
  <si>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</si>
  <si>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</si>
  <si>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</si>
  <si>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</si>
  <si>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</si>
  <si>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</si>
  <si>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</si>
  <si>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</si>
  <si>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</si>
  <si>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</si>
  <si>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</si>
  <si>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</si>
  <si>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</si>
  <si>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</si>
  <si>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</si>
  <si>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</si>
  <si>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</si>
  <si>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</si>
  <si>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</si>
  <si>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</si>
  <si>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</si>
  <si>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</si>
  <si>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</si>
  <si>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</si>
  <si>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</si>
  <si>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</si>
  <si>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</si>
  <si>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</si>
  <si>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</si>
  <si>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</si>
  <si>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</si>
  <si>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</si>
  <si>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</si>
  <si>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</si>
  <si>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</si>
  <si>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</si>
  <si>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</si>
  <si>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</si>
  <si>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</si>
  <si>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</si>
  <si>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</si>
  <si>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</si>
  <si>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</si>
  <si>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</si>
  <si>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</si>
  <si>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</si>
  <si>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</si>
  <si>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</si>
  <si>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</si>
  <si>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</si>
  <si>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</si>
  <si>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</si>
  <si>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</si>
  <si>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</si>
  <si>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</si>
  <si>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</si>
  <si>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</si>
  <si>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</si>
  <si>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</si>
  <si>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</si>
  <si>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</si>
  <si>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</si>
  <si>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</si>
  <si>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</si>
  <si>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</si>
  <si>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</si>
  <si>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</si>
  <si>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</si>
  <si>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</si>
  <si>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</si>
  <si>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</si>
  <si>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</si>
  <si>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</si>
  <si>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</si>
  <si>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</si>
  <si>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</si>
  <si>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</si>
  <si>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</si>
  <si>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</si>
  <si>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</si>
  <si>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</si>
  <si>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</si>
  <si>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</si>
  <si>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</si>
  <si>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</si>
  <si>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</si>
  <si>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</si>
  <si>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</si>
  <si>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</si>
  <si>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</si>
  <si>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</si>
  <si>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</si>
  <si>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</si>
  <si>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</si>
  <si>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</si>
  <si>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</si>
  <si>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</si>
  <si>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</si>
  <si>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</si>
  <si>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</si>
  <si>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</si>
  <si>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</si>
  <si>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</si>
  <si>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</si>
  <si>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</si>
  <si>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</si>
  <si>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</si>
  <si>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</si>
  <si>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</si>
  <si>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</si>
  <si>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</si>
  <si>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</si>
  <si>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</si>
  <si>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</si>
  <si>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</si>
  <si>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</si>
  <si>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</si>
  <si>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</si>
  <si>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</si>
  <si>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</si>
  <si>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</si>
  <si>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</si>
  <si>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</si>
  <si>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</si>
  <si>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</si>
  <si>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</si>
  <si>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</si>
  <si>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</si>
  <si>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</si>
  <si>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</si>
  <si>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</si>
  <si>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</si>
  <si>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</si>
  <si>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</si>
  <si>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</si>
  <si>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</si>
  <si>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</si>
  <si>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</si>
  <si>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</si>
  <si>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</si>
  <si>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</si>
  <si>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</si>
  <si>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</si>
  <si>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</si>
  <si>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</si>
  <si>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</si>
  <si>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</si>
  <si>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</si>
  <si>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</si>
  <si>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</si>
  <si>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</si>
  <si>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</si>
  <si>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</si>
  <si>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</si>
  <si>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</si>
  <si>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</si>
  <si>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</si>
  <si>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</si>
  <si>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</si>
  <si>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</si>
  <si>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</si>
  <si>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</si>
  <si>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</si>
  <si>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</si>
  <si>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</si>
  <si>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</si>
  <si>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</si>
  <si>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</si>
  <si>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</si>
  <si>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</si>
  <si>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</si>
  <si>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</si>
  <si>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</si>
  <si>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</si>
  <si>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</si>
  <si>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</si>
  <si>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</si>
  <si>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</si>
  <si>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</si>
  <si>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</si>
  <si>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</si>
  <si>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</si>
  <si>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</si>
  <si>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</si>
  <si>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</si>
  <si>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</si>
  <si>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</si>
  <si>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</si>
  <si>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</si>
  <si>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</si>
  <si>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</si>
  <si>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</si>
  <si>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</si>
  <si>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</si>
  <si>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</si>
  <si>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</si>
  <si>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</si>
  <si>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</si>
  <si>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</si>
  <si>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</si>
  <si>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</si>
  <si>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</si>
  <si>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</si>
  <si>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</si>
  <si>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</si>
  <si>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</si>
  <si>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</si>
  <si>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</si>
  <si>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</si>
  <si>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</si>
  <si>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</si>
  <si>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</si>
  <si>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</si>
  <si>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</si>
  <si>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</si>
  <si>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</si>
  <si>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</si>
  <si>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</si>
  <si>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</si>
  <si>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</si>
  <si>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</si>
  <si>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</si>
  <si>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</si>
  <si>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</si>
  <si>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</si>
  <si>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</si>
  <si>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</si>
  <si>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</si>
  <si>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</si>
  <si>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</si>
  <si>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</si>
  <si>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</si>
  <si>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</si>
  <si>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</si>
  <si>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</si>
  <si>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</si>
  <si>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</si>
  <si>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</si>
  <si>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</si>
  <si>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</si>
  <si>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</si>
  <si>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</si>
  <si>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</si>
  <si>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</si>
  <si>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</si>
  <si>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</si>
  <si>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</si>
  <si>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</si>
  <si>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</si>
  <si>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</si>
  <si>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</si>
  <si>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</si>
  <si>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</si>
  <si>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</si>
  <si>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</si>
  <si>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</si>
  <si>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</si>
  <si>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</si>
  <si>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</si>
  <si>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</si>
  <si>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</si>
  <si>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</si>
  <si>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</si>
  <si>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</si>
  <si>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</si>
  <si>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</si>
  <si>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</si>
  <si>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</si>
  <si>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</si>
  <si>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</si>
  <si>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</si>
  <si>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</si>
  <si>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</si>
  <si>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</si>
  <si>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</si>
  <si>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</si>
  <si>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</si>
  <si>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</si>
  <si>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</si>
  <si>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</si>
  <si>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</si>
  <si>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</si>
  <si>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</si>
  <si>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</si>
  <si>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</si>
  <si>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</si>
  <si>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</si>
  <si>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</si>
  <si>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</si>
  <si>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</si>
  <si>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</si>
  <si>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</si>
  <si>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</si>
  <si>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</si>
  <si>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</si>
  <si>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</si>
  <si>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</si>
  <si>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</si>
  <si>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</si>
  <si>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</si>
  <si>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</si>
  <si>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</si>
  <si>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</si>
  <si>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</si>
  <si>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</si>
  <si>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</si>
  <si>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</si>
  <si>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</si>
  <si>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</si>
  <si>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</si>
  <si>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</si>
  <si>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</si>
  <si>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</si>
  <si>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</si>
  <si>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</si>
  <si>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</si>
  <si>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</si>
  <si>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</si>
  <si>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</si>
  <si>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</si>
  <si>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</si>
  <si>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</si>
  <si>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</si>
  <si>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</si>
  <si>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</si>
  <si>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</si>
  <si>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</si>
  <si>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</si>
  <si>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</si>
  <si>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</si>
  <si>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</si>
  <si>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</si>
  <si>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</si>
  <si>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</si>
  <si>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</si>
  <si>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</si>
  <si>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</si>
  <si>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</si>
  <si>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</si>
  <si>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</si>
  <si>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</si>
  <si>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</si>
  <si>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</si>
  <si>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</si>
  <si>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</si>
  <si>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</si>
  <si>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</si>
  <si>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</si>
  <si>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</si>
  <si>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</si>
  <si>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</si>
  <si>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</si>
  <si>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</si>
  <si>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</si>
  <si>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</si>
  <si>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</si>
  <si>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</si>
  <si>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</si>
  <si>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</si>
  <si>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</si>
  <si>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</si>
  <si>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</si>
  <si>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</si>
  <si>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</si>
  <si>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</si>
  <si>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</si>
  <si>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</si>
  <si>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</si>
  <si>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</si>
  <si>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</si>
  <si>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</si>
  <si>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</si>
  <si>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</si>
  <si>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</si>
  <si>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</si>
  <si>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</si>
  <si>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</si>
  <si>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</si>
  <si>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</si>
  <si>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</si>
  <si>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</si>
  <si>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</si>
  <si>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</si>
  <si>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</si>
  <si>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</si>
  <si>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</si>
  <si>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</si>
  <si>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</si>
  <si>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</si>
  <si>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</si>
  <si>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</si>
  <si>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</si>
  <si>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</si>
  <si>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</si>
  <si>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</si>
  <si>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</si>
  <si>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</si>
  <si>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</si>
  <si>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</si>
  <si>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</si>
  <si>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</si>
  <si>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</si>
  <si>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</si>
  <si>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</si>
  <si>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</si>
  <si>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</si>
  <si>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</si>
  <si>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</si>
  <si>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</si>
  <si>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</si>
  <si>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</si>
  <si>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</si>
  <si>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</si>
  <si>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</si>
  <si>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</si>
  <si>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</si>
  <si>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</si>
  <si>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</si>
  <si>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</si>
  <si>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</si>
  <si>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</si>
  <si>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</si>
  <si>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</si>
  <si>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</si>
  <si>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</si>
  <si>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</si>
  <si>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</si>
  <si>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</si>
  <si>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</si>
  <si>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</si>
  <si>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</si>
  <si>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</si>
  <si>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</si>
  <si>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</si>
  <si>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</si>
  <si>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</si>
  <si>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</si>
  <si>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</si>
  <si>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</si>
  <si>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</si>
  <si>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</si>
  <si>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</si>
  <si>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</si>
  <si>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</si>
  <si>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</si>
  <si>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</si>
  <si>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</si>
  <si>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</si>
  <si>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</si>
  <si>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</si>
  <si>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</si>
  <si>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</si>
  <si>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706</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</si>
</sst>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北京市大兴区芳源里1号楼7层706房地产抵押价值预评估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受贵公司委托，我公司对北京市大兴区芳源里1号楼7层706房地产抵押价值进行了预评估。</v>
      </c>
    </row>
    <row r="7" spans="1:2" s="1199" customFormat="1">
      <c r="A7" s="1197" t="s">
        <v>566</v>
      </c>
      <c r="B7" s="1198" t="str">
        <f>'预评函-1'!A7</f>
        <v>估价对象为北京市大兴区芳源里1号楼7层706房地产，为鲍建军所有。根据《国有土地使用证》[]，估价对象（分摊）出让国有建设用地使用权面积为0平方米，建筑面积为62.05平方米。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706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706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v>
      </c>
    </row>
    <row r="21" spans="1:2" s="1199" customFormat="1">
      <c r="A21" s="1197" t="s">
        <v>537</v>
      </c>
      <c r="B21" s="1198">
        <f ca="1">'预评函-2'!D7</f>
        <v>23395</v>
      </c>
    </row>
    <row r="22" spans="1:2" s="1199" customFormat="1">
      <c r="A22" s="1197" t="s">
        <v>538</v>
      </c>
      <c r="B22" s="1198" t="str">
        <f ca="1">'预评函-2'!D6</f>
        <v>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v>
      </c>
    </row>
    <row r="31" spans="1:2" s="1199" customFormat="1">
      <c r="A31" s="1197" t="s">
        <v>576</v>
      </c>
      <c r="B31" s="1198">
        <f ca="1">'预评函-2'!D15</f>
        <v>23395</v>
      </c>
    </row>
    <row r="32" spans="1:2" s="1199" customFormat="1">
      <c r="A32" s="1197" t="s">
        <v>543</v>
      </c>
      <c r="B32" s="1198" t="str">
        <f ca="1">'预评函-2'!D14</f>
        <v>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北京市大兴区芳源里1号楼7层706房地产</v>
      </c>
    </row>
    <row r="42" spans="1:2" s="1199" customFormat="1">
      <c r="A42" s="1197" t="s">
        <v>590</v>
      </c>
      <c r="B42" s="1198" t="str">
        <f>'预评函-3'!B2</f>
        <v>建筑面积</v>
      </c>
    </row>
    <row r="43" spans="1:2" s="1199" customFormat="1">
      <c r="A43" s="1197" t="s">
        <v>591</v>
      </c>
      <c r="B43" s="1198">
        <f>'预评函-3'!B4</f>
        <v>62.05</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706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80" zoomScaleNormal="100" zoomScaleSheetLayoutView="80" workbookViewId="0">
      <selection activeCell="E14" sqref="E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17" t="str">
        <f>IF(B10="北京市","北京市",C10)&amp;F10&amp;IF(结果表!G1="在建","出让国有建设用地使用权及在建建筑物",IF(结果表!G1="土地","出让国有建设用地使用权",))&amp;B9&amp;"预评估"</f>
        <v>北京市大兴区芳源里1号楼7层706房地产抵押价值预评估</v>
      </c>
      <c r="C1" s="3518"/>
      <c r="D1" s="3518"/>
      <c r="E1" s="3518"/>
      <c r="F1" s="3518"/>
      <c r="G1" s="3518"/>
      <c r="H1" s="3518"/>
      <c r="I1" s="3519"/>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北京市大兴区芳源里1号楼7层706房地产抵押价值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北京市大兴区芳源里1号楼7层706房地产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0"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1"/>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27" t="s">
        <v>3417</v>
      </c>
      <c r="C16" s="3528"/>
      <c r="D16" s="3529"/>
      <c r="E16" s="2407" t="s">
        <v>2194</v>
      </c>
      <c r="F16" s="3530"/>
      <c r="G16" s="3531"/>
      <c r="H16" s="3531"/>
      <c r="I16" s="3532"/>
      <c r="J16" s="2433"/>
      <c r="K16" s="2611"/>
      <c r="L16" s="2445"/>
      <c r="M16" s="2445"/>
      <c r="N16" s="2503"/>
      <c r="O16" s="2445"/>
      <c r="P16" s="2503"/>
      <c r="Q16" s="2433"/>
      <c r="R16" s="2433"/>
    </row>
    <row r="17" spans="1:28">
      <c r="A17" s="313" t="s">
        <v>2195</v>
      </c>
      <c r="B17" s="302" t="s">
        <v>2196</v>
      </c>
      <c r="C17" s="8">
        <f>'数据-汇总表'!E3</f>
        <v>62.05</v>
      </c>
      <c r="D17" s="2317" t="s">
        <v>2197</v>
      </c>
      <c r="E17" s="3533" t="s">
        <v>2198</v>
      </c>
      <c r="F17" s="3534"/>
      <c r="G17" s="3534"/>
      <c r="H17" s="3534"/>
      <c r="I17" s="3535"/>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36" t="s">
        <v>2202</v>
      </c>
      <c r="F18" s="3537"/>
      <c r="G18" s="3537"/>
      <c r="H18" s="3537"/>
      <c r="I18" s="3538"/>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23" t="s">
        <v>2206</v>
      </c>
      <c r="C20" s="3524"/>
      <c r="D20" s="3525" t="s">
        <v>2207</v>
      </c>
      <c r="E20" s="3526"/>
      <c r="F20" s="2641" t="s">
        <v>1056</v>
      </c>
      <c r="G20" s="2658"/>
      <c r="H20" s="2658"/>
      <c r="I20" s="2658"/>
      <c r="J20" s="2433"/>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0"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2218</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39" t="s">
        <v>2228</v>
      </c>
      <c r="T34" s="2422" t="str">
        <f>NUMBERSTRING(7-K34,1)&amp;"通"</f>
        <v>七通</v>
      </c>
      <c r="U34" s="2433"/>
      <c r="V34" s="2433"/>
    </row>
    <row r="35" spans="1:30">
      <c r="A35" s="2423"/>
      <c r="B35" s="3546" t="s">
        <v>2229</v>
      </c>
      <c r="C35" s="3546"/>
      <c r="D35" s="3546"/>
      <c r="E35" s="3546"/>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706</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706</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706</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706</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62.05</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145</v>
      </c>
      <c r="C5" s="2506">
        <f ca="1">IF(B5=D14,结果表!H102,ROUND(B5*10000/$B$1,0))</f>
        <v>23395</v>
      </c>
      <c r="D5" s="2506" t="e">
        <f ca="1">ROUND(B5*10000/$B$2,0)</f>
        <v>#DIV/0!</v>
      </c>
      <c r="E5" s="2680"/>
      <c r="F5" s="2681"/>
      <c r="G5" s="2681"/>
      <c r="H5" s="2682"/>
      <c r="I5" s="2682"/>
      <c r="J5" s="2682"/>
      <c r="K5" s="2682"/>
    </row>
    <row r="6" spans="1:11" ht="16.5">
      <c r="A6" s="2506" t="s">
        <v>656</v>
      </c>
      <c r="B6" s="2506">
        <f>SUM(G14:G23)</f>
        <v>0</v>
      </c>
      <c r="C6" s="2506">
        <f ca="1">IF(B6=G14,结果表!H108,ROUND(B6*10000/$B$1,0))</f>
        <v>23395</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62.05</v>
      </c>
      <c r="C14" s="2512"/>
      <c r="D14" s="2512">
        <f ca="1">结果表!H118</f>
        <v>145</v>
      </c>
      <c r="E14" s="2512">
        <f ca="1">结果表!I118</f>
        <v>23395</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5" sqref="F25"/>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706</v>
      </c>
      <c r="D1" s="1743"/>
      <c r="E1" s="1743"/>
      <c r="F1" s="1745" t="s">
        <v>1263</v>
      </c>
      <c r="G1" s="1557" t="s">
        <v>3391</v>
      </c>
      <c r="H1" s="1746" t="str">
        <f>IF(G1="现房","——","估价对象范围")</f>
        <v>——</v>
      </c>
      <c r="I1" s="1747"/>
    </row>
    <row r="2" spans="1:12" ht="21.75" customHeight="1" thickBot="1">
      <c r="A2" s="3633" t="str">
        <f>项目基本情况!S2</f>
        <v>北京市大兴区芳源里1号楼7层706房地产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0" t="s">
        <v>1265</v>
      </c>
      <c r="B4" s="1751" t="s">
        <v>1266</v>
      </c>
      <c r="C4" s="1752" t="s">
        <v>3488</v>
      </c>
      <c r="D4" s="1752" t="s">
        <v>3399</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3"/>
      <c r="G5" s="1753"/>
      <c r="H5" s="1753"/>
      <c r="I5" s="1369"/>
    </row>
    <row r="6" spans="1:12" ht="12.75">
      <c r="A6" s="3581"/>
      <c r="B6" s="3636"/>
      <c r="C6" s="3641"/>
      <c r="D6" s="3627"/>
      <c r="E6" s="131" t="s">
        <v>1270</v>
      </c>
      <c r="F6" s="1753"/>
      <c r="G6" s="1753"/>
      <c r="H6" s="1753"/>
      <c r="I6" s="1369"/>
    </row>
    <row r="7" spans="1:12" ht="12.75">
      <c r="A7" s="3581"/>
      <c r="B7" s="3636"/>
      <c r="C7" s="3640"/>
      <c r="D7" s="3627"/>
      <c r="E7" s="131" t="s">
        <v>1271</v>
      </c>
      <c r="F7" s="1753"/>
      <c r="G7" s="1753"/>
      <c r="H7" s="1753"/>
      <c r="I7" s="1369"/>
    </row>
    <row r="8" spans="1:12" ht="12.75">
      <c r="A8" s="3581" t="s">
        <v>1272</v>
      </c>
      <c r="B8" s="3636">
        <v>15</v>
      </c>
      <c r="C8" s="3639"/>
      <c r="D8" s="3627"/>
      <c r="E8" s="131" t="s">
        <v>1273</v>
      </c>
      <c r="F8" s="1753"/>
      <c r="G8" s="1753"/>
      <c r="H8" s="1753"/>
      <c r="I8" s="1369"/>
    </row>
    <row r="9" spans="1:12" ht="12.75">
      <c r="A9" s="3581"/>
      <c r="B9" s="3636"/>
      <c r="C9" s="3640"/>
      <c r="D9" s="3627"/>
      <c r="E9" s="131" t="s">
        <v>1274</v>
      </c>
      <c r="F9" s="1753"/>
      <c r="G9" s="1753"/>
      <c r="H9" s="1753"/>
      <c r="I9" s="1369"/>
    </row>
    <row r="10" spans="1:12" ht="12.75">
      <c r="A10" s="3581" t="s">
        <v>1275</v>
      </c>
      <c r="B10" s="3636">
        <v>15</v>
      </c>
      <c r="C10" s="3639"/>
      <c r="D10" s="3627"/>
      <c r="E10" s="131" t="s">
        <v>1276</v>
      </c>
      <c r="F10" s="1753"/>
      <c r="G10" s="1753"/>
      <c r="H10" s="1753"/>
      <c r="I10" s="1369"/>
    </row>
    <row r="11" spans="1:12" ht="12.75">
      <c r="A11" s="3581"/>
      <c r="B11" s="3636"/>
      <c r="C11" s="3640"/>
      <c r="D11" s="3627"/>
      <c r="E11" s="131" t="s">
        <v>1277</v>
      </c>
      <c r="F11" s="1753"/>
      <c r="G11" s="1753"/>
      <c r="H11" s="1753"/>
      <c r="I11" s="1369"/>
    </row>
    <row r="12" spans="1:12" ht="12.75">
      <c r="A12" s="3581" t="s">
        <v>1278</v>
      </c>
      <c r="B12" s="3636">
        <v>15</v>
      </c>
      <c r="C12" s="3639"/>
      <c r="D12" s="3627"/>
      <c r="E12" s="131" t="s">
        <v>1279</v>
      </c>
      <c r="F12" s="1753"/>
      <c r="G12" s="1753"/>
      <c r="H12" s="1753"/>
      <c r="I12" s="1369"/>
    </row>
    <row r="13" spans="1:12" ht="12.75">
      <c r="A13" s="3581"/>
      <c r="B13" s="3636"/>
      <c r="C13" s="3640"/>
      <c r="D13" s="3627"/>
      <c r="E13" s="131" t="s">
        <v>1280</v>
      </c>
      <c r="F13" s="1753"/>
      <c r="G13" s="1753"/>
      <c r="H13" s="1753"/>
      <c r="I13" s="1369"/>
    </row>
    <row r="14" spans="1:12" ht="12.75">
      <c r="A14" s="3581" t="s">
        <v>1281</v>
      </c>
      <c r="B14" s="3636">
        <v>30</v>
      </c>
      <c r="C14" s="3639">
        <v>8</v>
      </c>
      <c r="D14" s="3627">
        <v>2</v>
      </c>
      <c r="E14" s="131" t="s">
        <v>1282</v>
      </c>
      <c r="F14" s="1753"/>
      <c r="G14" s="1753"/>
      <c r="H14" s="1753"/>
      <c r="I14" s="1369"/>
    </row>
    <row r="15" spans="1:12" ht="12.75">
      <c r="A15" s="3581"/>
      <c r="B15" s="3636"/>
      <c r="C15" s="3641"/>
      <c r="D15" s="3627"/>
      <c r="E15" s="131" t="s">
        <v>1283</v>
      </c>
      <c r="F15" s="1753"/>
      <c r="G15" s="1753"/>
      <c r="H15" s="1753"/>
      <c r="I15" s="1369"/>
    </row>
    <row r="16" spans="1:12" ht="12.75">
      <c r="A16" s="3581"/>
      <c r="B16" s="3636"/>
      <c r="C16" s="3640"/>
      <c r="D16" s="3627"/>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658" t="s">
        <v>2131</v>
      </c>
      <c r="F18" s="3659"/>
      <c r="G18" s="3659"/>
      <c r="H18" s="3659"/>
      <c r="I18" s="3659"/>
      <c r="K18" s="302" t="s">
        <v>1289</v>
      </c>
      <c r="L18" s="302">
        <f>IF(C1="",'数据-汇总表'!E3,SUMIF(项目类型,C1,'数据-汇总表'!E17:E26)+SUMIF(项目类型,C1,'数据-汇总表'!I17:I26))</f>
        <v>62.05</v>
      </c>
      <c r="M18" s="302">
        <f>IF(C1="",'数据-汇总表'!E3,SUMIF(项目类型,C1,'数据-汇总表'!E17:E26))</f>
        <v>62.05</v>
      </c>
    </row>
    <row r="19" spans="1:36" ht="15">
      <c r="A19" s="1757" t="s">
        <v>1290</v>
      </c>
      <c r="B19" s="1758" t="s">
        <v>1291</v>
      </c>
      <c r="C19" s="134">
        <f ca="1">SUMIF(INDIRECT("'"&amp;C4&amp;"'"&amp;"!A:A"),结果表!B19,INDIRECT("'"&amp;C4&amp;"'"&amp;"!B:B"))</f>
        <v>154.399</v>
      </c>
      <c r="D19" s="135">
        <f ca="1">SUMIF(INDIRECT("'"&amp;D4&amp;"'"&amp;"!A:A"),结果表!B19,INDIRECT("'"&amp;D4&amp;"'"&amp;"!B:B"))</f>
        <v>108.22029999999999</v>
      </c>
      <c r="E19" s="1757" t="s">
        <v>1292</v>
      </c>
      <c r="F19" s="1758" t="s">
        <v>1291</v>
      </c>
      <c r="G19" s="136">
        <f ca="1">ROUND(C19*$C$18+D19*$D$18,0)</f>
        <v>145</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24883</v>
      </c>
      <c r="D20" s="138">
        <f ca="1">SUMIF(INDIRECT("'"&amp;D4&amp;"'"&amp;"!A:A"),结果表!B20,INDIRECT("'"&amp;D4&amp;"'"&amp;"!B:B"))</f>
        <v>17441</v>
      </c>
      <c r="E20" s="1760"/>
      <c r="F20" s="1022" t="s">
        <v>1295</v>
      </c>
      <c r="G20" s="139">
        <f ca="1">ROUND(C20*$C$18+D20*$D$18,0)</f>
        <v>23395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0.42671014587836109</v>
      </c>
      <c r="E22" s="129"/>
      <c r="F22" s="129"/>
      <c r="G22" s="129"/>
      <c r="H22" s="129"/>
      <c r="I22" s="129"/>
    </row>
    <row r="23" spans="1:36" ht="13.5" thickBot="1">
      <c r="A23" s="1743"/>
      <c r="B23" s="1743"/>
      <c r="C23" s="1743"/>
      <c r="D23" s="1743"/>
      <c r="E23" s="129"/>
      <c r="F23" s="129"/>
      <c r="G23" s="129"/>
      <c r="H23" s="129"/>
      <c r="I23" s="129"/>
    </row>
    <row r="24" spans="1:36" ht="14.25">
      <c r="A24" s="3651" t="s">
        <v>1299</v>
      </c>
      <c r="B24" s="1758" t="s">
        <v>1291</v>
      </c>
      <c r="C24" s="136">
        <f>IF(B30=0,0,D30)</f>
        <v>0</v>
      </c>
      <c r="D24" s="1765"/>
      <c r="E24" s="129"/>
      <c r="F24" s="129"/>
      <c r="G24" s="129"/>
      <c r="H24" s="129"/>
      <c r="I24" s="129"/>
    </row>
    <row r="25" spans="1:36" ht="14.25">
      <c r="A25" s="3652"/>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23395</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628" t="s">
        <v>1312</v>
      </c>
      <c r="B36" s="1783" t="s">
        <v>1313</v>
      </c>
      <c r="C36" s="145"/>
      <c r="D36" s="1784"/>
      <c r="E36" s="1785"/>
      <c r="F36" s="1786"/>
      <c r="G36" s="129"/>
      <c r="H36" s="129"/>
      <c r="I36" s="129"/>
    </row>
    <row r="37" spans="1:15" ht="15.75" thickBot="1">
      <c r="A37" s="3629"/>
      <c r="B37" s="1670" t="s">
        <v>1314</v>
      </c>
      <c r="C37" s="147"/>
      <c r="D37" s="1135"/>
      <c r="E37" s="1135"/>
      <c r="F37" s="1786"/>
      <c r="G37" s="129"/>
      <c r="H37" s="129"/>
      <c r="I37" s="129"/>
    </row>
    <row r="38" spans="1:15" ht="15.75" thickBot="1">
      <c r="A38" s="3630"/>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8" t="s">
        <v>1326</v>
      </c>
      <c r="B45" s="3649"/>
      <c r="C45" s="3650"/>
      <c r="D45" s="155">
        <f ca="1">ROUND(H101*F45,0)</f>
        <v>145</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2"/>
      <c r="I46" s="159"/>
      <c r="J46" s="2517">
        <v>1</v>
      </c>
      <c r="K46" s="3569" t="s">
        <v>1331</v>
      </c>
      <c r="L46" s="3569"/>
      <c r="M46" s="3570"/>
      <c r="N46" s="3570"/>
      <c r="O46" s="3570"/>
    </row>
    <row r="47" spans="1:15" ht="12" customHeight="1">
      <c r="A47" s="160" t="s">
        <v>1332</v>
      </c>
      <c r="B47" s="161"/>
      <c r="C47" s="162"/>
      <c r="D47" s="1083" t="s">
        <v>1333</v>
      </c>
      <c r="E47" s="302" t="s">
        <v>1334</v>
      </c>
      <c r="F47" s="163" t="s">
        <v>1335</v>
      </c>
      <c r="G47" s="2540" t="s">
        <v>1336</v>
      </c>
      <c r="H47" s="2541"/>
      <c r="I47" s="159"/>
      <c r="J47" s="2517">
        <v>2</v>
      </c>
      <c r="K47" s="3569" t="s">
        <v>1337</v>
      </c>
      <c r="L47" s="3569"/>
      <c r="M47" s="3571">
        <f>'数据-取费表'!B2</f>
        <v>45435</v>
      </c>
      <c r="N47" s="3571"/>
      <c r="O47" s="3571"/>
    </row>
    <row r="48" spans="1:15" ht="25.5">
      <c r="A48" s="3631" t="s">
        <v>1338</v>
      </c>
      <c r="B48" s="3632"/>
      <c r="C48" s="363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569" t="s">
        <v>1340</v>
      </c>
      <c r="L48" s="3569"/>
      <c r="M48" s="3572">
        <f ca="1">H101</f>
        <v>145</v>
      </c>
      <c r="N48" s="3572"/>
      <c r="O48" s="3572"/>
    </row>
    <row r="49" spans="1:35" ht="25.5" customHeight="1">
      <c r="A49" s="2328" t="s">
        <v>1341</v>
      </c>
      <c r="B49" s="3617" t="s">
        <v>1342</v>
      </c>
      <c r="C49" s="3617"/>
      <c r="D49" s="1586">
        <v>0</v>
      </c>
      <c r="E49" s="324" t="s">
        <v>1343</v>
      </c>
      <c r="F49" s="2418" t="s">
        <v>28</v>
      </c>
      <c r="G49" s="3600"/>
      <c r="H49" s="2305" t="s">
        <v>2134</v>
      </c>
      <c r="I49" s="2306"/>
      <c r="J49" s="2517">
        <v>4</v>
      </c>
      <c r="K49" s="3569" t="str">
        <f>IF(项目基本情况!E8="房地产抵押价值","房地产抵押价值","抵押担保权已注销时的房地产抵押价值")</f>
        <v>房地产抵押价值</v>
      </c>
      <c r="L49" s="3569"/>
      <c r="M49" s="3572">
        <f ca="1">IF(项目基本情况!E8="房地产抵押价值",H107,H109)</f>
        <v>145</v>
      </c>
      <c r="N49" s="3572"/>
      <c r="O49" s="3572"/>
    </row>
    <row r="50" spans="1:35" ht="25.5" customHeight="1">
      <c r="A50" s="2545"/>
      <c r="B50" s="3617" t="s">
        <v>1344</v>
      </c>
      <c r="C50" s="3617"/>
      <c r="D50" s="2546"/>
      <c r="E50" s="332"/>
      <c r="F50" s="2418"/>
      <c r="G50" s="3601"/>
      <c r="H50" s="2307" t="s">
        <v>2135</v>
      </c>
      <c r="I50" s="2306"/>
      <c r="J50" s="3568" t="s">
        <v>1345</v>
      </c>
      <c r="K50" s="3568"/>
      <c r="L50" s="3568"/>
      <c r="M50" s="3568"/>
      <c r="N50" s="3568"/>
      <c r="O50" s="3568"/>
    </row>
    <row r="51" spans="1:35" ht="20.45" customHeight="1">
      <c r="A51" s="2547"/>
      <c r="B51" s="3617" t="s">
        <v>1346</v>
      </c>
      <c r="C51" s="3617"/>
      <c r="D51" s="1083"/>
      <c r="E51" s="327"/>
      <c r="F51" s="2418"/>
      <c r="G51" s="3602"/>
      <c r="H51" s="2307" t="s">
        <v>2136</v>
      </c>
      <c r="I51" s="2306"/>
      <c r="J51" s="2518" t="s">
        <v>1347</v>
      </c>
      <c r="K51" s="3569" t="s">
        <v>1348</v>
      </c>
      <c r="L51" s="3569"/>
      <c r="M51" s="2518" t="s">
        <v>1349</v>
      </c>
      <c r="N51" s="2518" t="s">
        <v>1350</v>
      </c>
      <c r="O51" s="2518" t="s">
        <v>1351</v>
      </c>
    </row>
    <row r="52" spans="1:35" ht="24" customHeight="1">
      <c r="A52" s="2330" t="s">
        <v>1352</v>
      </c>
      <c r="B52" s="3617" t="s">
        <v>1353</v>
      </c>
      <c r="C52" s="3617"/>
      <c r="D52" s="1083">
        <f ca="1">ROUND(D45*'数据-取费表'!B41/(1+'数据-取费表'!C42),0)</f>
        <v>8</v>
      </c>
      <c r="E52" s="2329" t="s">
        <v>1354</v>
      </c>
      <c r="F52" s="2548">
        <f>'数据-取费表'!B41</f>
        <v>5.5000000000000007E-2</v>
      </c>
      <c r="G52" s="2549"/>
      <c r="H52" s="2538"/>
      <c r="I52" s="1803"/>
      <c r="J52" s="2517">
        <v>1</v>
      </c>
      <c r="K52" s="3594" t="s">
        <v>1355</v>
      </c>
      <c r="L52" s="3594"/>
      <c r="M52" s="2519" t="b">
        <f>D48</f>
        <v>0</v>
      </c>
      <c r="N52" s="2517" t="str">
        <f>E48</f>
        <v>销售额×税（费）率</v>
      </c>
      <c r="O52" s="2520">
        <f>F48</f>
        <v>5.5000000000000007E-2</v>
      </c>
    </row>
    <row r="53" spans="1:35" ht="12" customHeight="1">
      <c r="A53" s="2330" t="s">
        <v>1356</v>
      </c>
      <c r="B53" s="3618" t="s">
        <v>2291</v>
      </c>
      <c r="C53" s="3619"/>
      <c r="D53" s="1083">
        <f ca="1">ROUND(D45*'数据-取费表'!B41/(1+'数据-取费表'!C42),0)</f>
        <v>8</v>
      </c>
      <c r="E53" s="2329" t="s">
        <v>1354</v>
      </c>
      <c r="F53" s="2548">
        <f>'数据-取费表'!B41</f>
        <v>5.5000000000000007E-2</v>
      </c>
      <c r="G53" s="2549"/>
      <c r="H53" s="2538"/>
      <c r="I53" s="1803"/>
      <c r="J53" s="2517">
        <v>2</v>
      </c>
      <c r="K53" s="3594" t="s">
        <v>1357</v>
      </c>
      <c r="L53" s="3594"/>
      <c r="M53" s="2519">
        <f t="shared" ref="M53:O54" ca="1" si="0">D55</f>
        <v>0</v>
      </c>
      <c r="N53" s="2517" t="str">
        <f t="shared" si="0"/>
        <v>销售额×税（费）率</v>
      </c>
      <c r="O53" s="2520" t="str">
        <f t="shared" si="0"/>
        <v>免征</v>
      </c>
    </row>
    <row r="54" spans="1:35" ht="12" customHeight="1">
      <c r="A54" s="2330" t="s">
        <v>1358</v>
      </c>
      <c r="B54" s="3618" t="s">
        <v>2292</v>
      </c>
      <c r="C54" s="3619"/>
      <c r="D54" s="1083">
        <f ca="1">C68</f>
        <v>8</v>
      </c>
      <c r="E54" s="327" t="s">
        <v>1359</v>
      </c>
      <c r="F54" s="2548">
        <f>'数据-取费表'!B41</f>
        <v>5.5000000000000007E-2</v>
      </c>
      <c r="G54" s="2549"/>
      <c r="H54" s="2550"/>
      <c r="I54" s="1803"/>
      <c r="J54" s="2517">
        <v>3</v>
      </c>
      <c r="K54" s="3594" t="s">
        <v>1360</v>
      </c>
      <c r="L54" s="3594"/>
      <c r="M54" s="2519">
        <f t="shared" ca="1" si="0"/>
        <v>82</v>
      </c>
      <c r="N54" s="2517" t="str">
        <f t="shared" si="0"/>
        <v>增值额×税（费）率</v>
      </c>
      <c r="O54" s="2521" t="str">
        <f t="shared" si="0"/>
        <v>免征</v>
      </c>
    </row>
    <row r="55" spans="1:35" ht="24" customHeight="1">
      <c r="A55" s="3654" t="s">
        <v>1361</v>
      </c>
      <c r="B55" s="3632"/>
      <c r="C55" s="3632"/>
      <c r="D55" s="2319">
        <f ca="1">IF(H55="个人住宅",0,ROUND(D45*I55,0))</f>
        <v>0</v>
      </c>
      <c r="E55" s="2329" t="s">
        <v>1362</v>
      </c>
      <c r="F55" s="2548" t="str">
        <f>IF(H55="正常",I55,"免征")</f>
        <v>免征</v>
      </c>
      <c r="G55" s="2549"/>
      <c r="H55" s="2544"/>
      <c r="I55" s="165">
        <f>'数据-取费表'!B49</f>
        <v>5.0000000000000001E-4</v>
      </c>
      <c r="J55" s="2517">
        <f>IF(H59="非个人房产","",4)</f>
        <v>4</v>
      </c>
      <c r="K55" s="3594" t="str">
        <f>IF(H59="非个人房产","——","个人所得税")</f>
        <v>个人所得税</v>
      </c>
      <c r="L55" s="3594"/>
      <c r="M55" s="2522">
        <f ca="1">D59</f>
        <v>1</v>
      </c>
      <c r="N55" s="2035" t="str">
        <f>E59</f>
        <v>差额计税</v>
      </c>
      <c r="O55" s="2523">
        <f>F59</f>
        <v>0.01</v>
      </c>
    </row>
    <row r="56" spans="1:35" ht="24.75">
      <c r="A56" s="3654" t="s">
        <v>1363</v>
      </c>
      <c r="B56" s="3632"/>
      <c r="C56" s="3632"/>
      <c r="D56" s="2319">
        <f ca="1">IF(H56="个人住宅",D57,D58)</f>
        <v>82</v>
      </c>
      <c r="E56" s="2329" t="s">
        <v>1364</v>
      </c>
      <c r="F56" s="2548" t="str">
        <f>IF(H56="正常",F58,"免征")</f>
        <v>免征</v>
      </c>
      <c r="G56" s="2551" t="s">
        <v>1365</v>
      </c>
      <c r="H56" s="2552"/>
      <c r="I56" s="1804"/>
      <c r="J56" s="2517" t="str">
        <f>IF(项目基本情况!K6="上海银行",IF(J55="",4,J55+1),"")</f>
        <v/>
      </c>
      <c r="K56" s="3575" t="str">
        <f>IF(项目基本情况!K6="上海银行","其他处置费用","")</f>
        <v/>
      </c>
      <c r="L56" s="3576"/>
      <c r="M56" s="2519" t="str">
        <f>IF(项目基本情况!K6="上海银行",M69,"")</f>
        <v/>
      </c>
      <c r="N56" s="3575" t="str">
        <f>IF(项目基本情况!K6="上海银行","包含处置中涉及的律师、诉讼、拍卖、评估等费用","")</f>
        <v/>
      </c>
      <c r="O56" s="3578"/>
    </row>
    <row r="57" spans="1:35" ht="12.75">
      <c r="A57" s="2330" t="s">
        <v>1341</v>
      </c>
      <c r="B57" s="3618" t="s">
        <v>1366</v>
      </c>
      <c r="C57" s="3619"/>
      <c r="D57" s="1586">
        <v>0</v>
      </c>
      <c r="E57" s="324" t="s">
        <v>1343</v>
      </c>
      <c r="F57" s="302"/>
      <c r="G57" s="2549"/>
      <c r="H57" s="2553"/>
      <c r="I57" s="1804"/>
      <c r="J57" s="3594">
        <f>IF(AND(J55="",J56=""),4,IF(项目基本情况!K6="上海银行",结果表!J56+1,结果表!J55+1))</f>
        <v>5</v>
      </c>
      <c r="K57" s="3594" t="s">
        <v>1367</v>
      </c>
      <c r="L57" s="2524" t="s">
        <v>1368</v>
      </c>
      <c r="M57" s="2525"/>
      <c r="N57" s="2526">
        <f ca="1">SUMIF(M52:M56,"&lt;9e307")</f>
        <v>83</v>
      </c>
      <c r="O57" s="2527"/>
      <c r="P57" s="2684">
        <f ca="1">N57/M49</f>
        <v>0.57241379310344831</v>
      </c>
    </row>
    <row r="58" spans="1:35" ht="24.75">
      <c r="A58" s="2330" t="s">
        <v>1352</v>
      </c>
      <c r="B58" s="3618" t="s">
        <v>1369</v>
      </c>
      <c r="C58" s="3617"/>
      <c r="D58" s="2319">
        <f ca="1">IF(H58="转让取得",C81,C97)</f>
        <v>82</v>
      </c>
      <c r="E58" s="2329" t="s">
        <v>1364</v>
      </c>
      <c r="F58" s="302" t="s">
        <v>28</v>
      </c>
      <c r="G58" s="2549"/>
      <c r="H58" s="2552"/>
      <c r="I58" s="1804"/>
      <c r="J58" s="3594"/>
      <c r="K58" s="3594"/>
      <c r="L58" s="2524" t="s">
        <v>1370</v>
      </c>
      <c r="M58" s="2528"/>
      <c r="N58" s="2529" t="str">
        <f ca="1">NUMBERSTRING(INT(N57*10000),2)&amp;"元整"</f>
        <v>捌拾叁万元整</v>
      </c>
      <c r="O58" s="2530"/>
    </row>
    <row r="59" spans="1:35" ht="24.75" thickBot="1">
      <c r="A59" s="3598" t="s">
        <v>1371</v>
      </c>
      <c r="B59" s="3599"/>
      <c r="C59" s="3599"/>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596">
        <f>J57+1</f>
        <v>6</v>
      </c>
      <c r="K59" s="3594" t="s">
        <v>1372</v>
      </c>
      <c r="L59" s="2517" t="s">
        <v>1368</v>
      </c>
      <c r="M59" s="2531"/>
      <c r="N59" s="2532">
        <f ca="1">M49-N57</f>
        <v>62</v>
      </c>
      <c r="O59" s="2533"/>
    </row>
    <row r="60" spans="1:35" ht="12" customHeight="1">
      <c r="A60" s="1805"/>
      <c r="B60" s="1743"/>
      <c r="C60" s="1743"/>
      <c r="D60" s="1743"/>
      <c r="E60" s="1574"/>
      <c r="F60" s="1804"/>
      <c r="G60" s="1804"/>
      <c r="H60" s="1806"/>
      <c r="I60" s="129"/>
      <c r="J60" s="3597"/>
      <c r="K60" s="3594"/>
      <c r="L60" s="2524" t="s">
        <v>1370</v>
      </c>
      <c r="M60" s="2528"/>
      <c r="N60" s="2529" t="str">
        <f ca="1">NUMBERSTRING(INT(N59*10000),2)&amp;"元整"</f>
        <v>陆拾贰万元整</v>
      </c>
      <c r="O60" s="2530"/>
    </row>
    <row r="61" spans="1:35" ht="13.5" thickBot="1">
      <c r="A61" s="3653" t="s">
        <v>1373</v>
      </c>
      <c r="B61" s="3653"/>
      <c r="C61" s="3653"/>
      <c r="D61" s="3653"/>
      <c r="E61" s="3653"/>
      <c r="F61" s="1804"/>
      <c r="G61" s="1804"/>
      <c r="H61" s="1806"/>
      <c r="I61" s="129"/>
      <c r="J61" s="2517">
        <f>J59+1</f>
        <v>7</v>
      </c>
      <c r="K61" s="3594" t="s">
        <v>1374</v>
      </c>
      <c r="L61" s="3594"/>
      <c r="M61" s="2534"/>
      <c r="N61" s="2535">
        <f ca="1">ROUND(N59*10000/'数据-汇总表'!E3,0)</f>
        <v>9992</v>
      </c>
      <c r="O61" s="2536"/>
    </row>
    <row r="62" spans="1:35" ht="12.75">
      <c r="A62" s="3613" t="s">
        <v>1375</v>
      </c>
      <c r="B62" s="3614"/>
      <c r="C62" s="2016"/>
      <c r="D62" s="2016" t="s">
        <v>1376</v>
      </c>
      <c r="E62" s="166" t="s">
        <v>1377</v>
      </c>
      <c r="F62" s="1804"/>
      <c r="G62" s="1804"/>
      <c r="H62" s="1806"/>
      <c r="I62" s="129"/>
    </row>
    <row r="63" spans="1:35" ht="12.75">
      <c r="A63" s="173" t="s">
        <v>330</v>
      </c>
      <c r="B63" s="167" t="s">
        <v>1378</v>
      </c>
      <c r="C63" s="2558">
        <f ca="1">ROUND((C64+C65)/(1+'数据-取费表'!C42),0)</f>
        <v>138</v>
      </c>
      <c r="D63" s="167"/>
      <c r="E63" s="168"/>
      <c r="F63" s="1804"/>
      <c r="G63" s="1804"/>
      <c r="H63" s="1806"/>
      <c r="I63" s="129"/>
      <c r="J63" s="3577" t="s">
        <v>1379</v>
      </c>
      <c r="K63" s="1328" t="s">
        <v>1380</v>
      </c>
      <c r="L63" s="1328">
        <f ca="1">IF(M49&gt;10000,M49*0.5%,IF(AND(M49&gt;1000,M49&lt;=10000),M49*1%,IF(AND(M49&gt;100,M49&lt;=1000),M49*3%,IF(AND(M49&gt;10,M49&lt;=100),M49*5%,M49*8%))))</f>
        <v>4.3499999999999996</v>
      </c>
      <c r="M63" s="302">
        <f ca="1">ROUND(L63,1)</f>
        <v>4.4000000000000004</v>
      </c>
      <c r="N63" s="2537"/>
      <c r="Z63" s="1748"/>
      <c r="AI63" s="1749"/>
    </row>
    <row r="64" spans="1:35" ht="14.25" customHeight="1">
      <c r="A64" s="169" t="s">
        <v>325</v>
      </c>
      <c r="B64" s="170" t="s">
        <v>1381</v>
      </c>
      <c r="C64" s="2559">
        <f ca="1">D45</f>
        <v>145</v>
      </c>
      <c r="D64" s="170" t="s">
        <v>26</v>
      </c>
      <c r="E64" s="172"/>
      <c r="F64" s="1804"/>
      <c r="G64" s="1804"/>
      <c r="H64" s="1806"/>
      <c r="I64" s="129"/>
      <c r="J64" s="3577"/>
      <c r="K64" s="1328" t="s">
        <v>1382</v>
      </c>
      <c r="L64" s="1328">
        <f ca="1">IF(M49&gt;2000,M49*0.5%,IF(AND(M49&gt;1000,M49&lt;=2000),M49*0.6%,IF(AND(M49&gt;500,M49&lt;=1000),M49*0.7%,IF(AND(M49&gt;200,M49&lt;=500),M49*0.8%,IF(AND(M49&gt;100,M49&lt;=200),M49*0.9%,IF(AND(M49&gt;50,M49&lt;=100),M49*1%,IF(AND(M49&gt;20,M49&lt;=50),M49*1.5%,IF(AND(M49&gt;10,M49&lt;=20),M49*2%,IF(AND(M49&gt;1,M49&lt;=10),M49*2.5%)))))))))</f>
        <v>1.3050000000000002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577"/>
      <c r="K65" s="1328" t="s">
        <v>1385</v>
      </c>
      <c r="L65" s="1328">
        <f ca="1">IF(M49&gt;1000,M49*0.1%,IF(AND(M49&gt;500,M49&lt;=1000),M49*0.5%,IF(AND(M49&gt;50,M49&lt;=500),M49*1%,IF(AND(M49&gt;1,M49&lt;=50),M49*1.5%))))</f>
        <v>1.45</v>
      </c>
      <c r="M65" s="302">
        <f t="shared" ca="1" si="1"/>
        <v>1.5</v>
      </c>
      <c r="N65" s="2538" t="s">
        <v>1383</v>
      </c>
      <c r="Z65" s="1748"/>
      <c r="AI65" s="1749"/>
    </row>
    <row r="66" spans="1:35" ht="14.25" customHeight="1">
      <c r="A66" s="173" t="s">
        <v>327</v>
      </c>
      <c r="B66" s="174" t="s">
        <v>1386</v>
      </c>
      <c r="C66" s="2561"/>
      <c r="D66" s="174" t="s">
        <v>26</v>
      </c>
      <c r="E66" s="1334" t="s">
        <v>671</v>
      </c>
      <c r="F66" s="1804"/>
      <c r="G66" s="1804"/>
      <c r="H66" s="1806"/>
      <c r="I66" s="129"/>
      <c r="J66" s="3577"/>
      <c r="K66" s="1328" t="s">
        <v>1387</v>
      </c>
      <c r="L66" s="1328">
        <f ca="1">M49*0.5%</f>
        <v>0.72499999999999998</v>
      </c>
      <c r="M66" s="302">
        <f ca="1">IF(L66&gt;0.5,0.5,ROUND(L66,0))</f>
        <v>0.5</v>
      </c>
      <c r="N66" s="2538" t="s">
        <v>1388</v>
      </c>
      <c r="Z66" s="1748"/>
      <c r="AI66" s="1749"/>
    </row>
    <row r="67" spans="1:35" ht="14.25" customHeight="1">
      <c r="A67" s="173" t="s">
        <v>328</v>
      </c>
      <c r="B67" s="174" t="s">
        <v>1389</v>
      </c>
      <c r="C67" s="2562">
        <f ca="1">C63-C66</f>
        <v>138</v>
      </c>
      <c r="D67" s="170" t="s">
        <v>26</v>
      </c>
      <c r="E67" s="172"/>
      <c r="F67" s="1804"/>
      <c r="G67" s="1804"/>
      <c r="H67" s="1806"/>
      <c r="I67" s="129"/>
      <c r="J67" s="3577"/>
      <c r="K67" s="1328" t="s">
        <v>1390</v>
      </c>
      <c r="L67" s="1328">
        <f ca="1">IF(M49&gt;=10000,(8.25+(M49-10000)*0.01%),IF(AND(M49&gt;=8000,M49&lt;10000),(7.85+(M49-8000)*0.02%),IF(AND(M49&gt;=5000,M49&lt;8000),(6.65+(M49-5000)*0.04%),IF(AND(M49&gt;=2000,M49&lt;5000),(4.25+(PM49-2000)*0.08%),IF(AND(M49&gt;=1000,M49&lt;2000),(2.75+(M49-1000)*0.15%),IF(AND(M49&gt;=100,M49&lt;1000),(0.5+(M49-100)*0.25%),IF(AND(M49&gt;0,M49&lt;100),M49*0.5%)))))))</f>
        <v>0.61250000000000004</v>
      </c>
      <c r="M67" s="302">
        <f ca="1">ROUND(L67*0.9,1)</f>
        <v>0.6</v>
      </c>
      <c r="N67" s="2537"/>
      <c r="Z67" s="1748"/>
      <c r="AI67" s="1749"/>
    </row>
    <row r="68" spans="1:35" ht="14.25" customHeight="1" thickBot="1">
      <c r="A68" s="176" t="s">
        <v>329</v>
      </c>
      <c r="B68" s="177" t="s">
        <v>1391</v>
      </c>
      <c r="C68" s="2563">
        <f ca="1">IF(C67&lt;=0,0,ROUND(C67*D68,0))</f>
        <v>8</v>
      </c>
      <c r="D68" s="2564">
        <f>'数据-取费表'!B41</f>
        <v>5.5000000000000007E-2</v>
      </c>
      <c r="E68" s="178"/>
      <c r="F68" s="1804"/>
      <c r="G68" s="1804"/>
      <c r="H68" s="1806"/>
      <c r="I68" s="129"/>
      <c r="J68" s="3577"/>
      <c r="K68" s="1328" t="s">
        <v>1392</v>
      </c>
      <c r="L68" s="1328">
        <f ca="1">IF(M49&gt;10000,M49*0.5%,IF(AND(M49&gt;5000,M49&lt;=10000),M49*1%,IF(AND(M49&gt;1000,M49&lt;=5000),M49*2%,IF(AND(M49&gt;200,M49&lt;=1000),M49*3%,M49*5%))))</f>
        <v>7.25</v>
      </c>
      <c r="M68" s="302">
        <f ca="1">ROUND(L68,1)</f>
        <v>7.3</v>
      </c>
      <c r="N68" s="2537"/>
      <c r="Z68" s="1748"/>
      <c r="AI68" s="1749"/>
    </row>
    <row r="69" spans="1:35" s="1768" customFormat="1" ht="16.5" customHeight="1">
      <c r="A69" s="1807"/>
      <c r="B69" s="1808"/>
      <c r="C69" s="1809"/>
      <c r="D69" s="1810"/>
      <c r="E69" s="1811"/>
      <c r="F69" s="1574"/>
      <c r="G69" s="1574"/>
      <c r="H69" s="1573"/>
      <c r="I69" s="1743"/>
      <c r="J69" s="3577"/>
      <c r="K69" s="1328" t="s">
        <v>1393</v>
      </c>
      <c r="L69" s="1328"/>
      <c r="M69" s="302">
        <f ca="1">ROUND(SUM(M63:M68),0)</f>
        <v>16</v>
      </c>
      <c r="N69" s="2539">
        <f ca="1">M69/M49</f>
        <v>0.1103448275862069</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21" t="s">
        <v>1394</v>
      </c>
      <c r="B70" s="3622"/>
      <c r="C70" s="3622"/>
      <c r="D70" s="3622"/>
      <c r="E70" s="3622"/>
      <c r="F70" s="3622"/>
      <c r="G70" s="3622"/>
      <c r="H70" s="362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3" t="s">
        <v>1375</v>
      </c>
      <c r="B71" s="3614"/>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138</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618" t="s">
        <v>1402</v>
      </c>
      <c r="F76" s="3617"/>
      <c r="G76" s="3617"/>
      <c r="H76" s="362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610" t="s">
        <v>1406</v>
      </c>
      <c r="F78" s="3611"/>
      <c r="G78" s="3611"/>
      <c r="H78" s="361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137</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82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21" t="s">
        <v>1410</v>
      </c>
      <c r="B83" s="3622"/>
      <c r="C83" s="3622"/>
      <c r="D83" s="3622"/>
      <c r="E83" s="3622"/>
      <c r="F83" s="3622"/>
      <c r="G83" s="3622"/>
      <c r="H83" s="362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3" t="s">
        <v>1375</v>
      </c>
      <c r="B84" s="3614"/>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138</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579" t="s">
        <v>2129</v>
      </c>
      <c r="H90" s="3580"/>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610" t="s">
        <v>1419</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610" t="s">
        <v>1422</v>
      </c>
      <c r="F92" s="3611"/>
      <c r="G92" s="3611"/>
      <c r="H92" s="3612"/>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610" t="s">
        <v>1406</v>
      </c>
      <c r="F93" s="3611"/>
      <c r="G93" s="3611"/>
      <c r="H93" s="361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655" t="s">
        <v>1426</v>
      </c>
      <c r="F94" s="3656"/>
      <c r="G94" s="3656"/>
      <c r="H94" s="365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137</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137</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82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95"/>
      <c r="E100" s="3559" t="s">
        <v>1429</v>
      </c>
      <c r="F100" s="3559"/>
      <c r="G100" s="3559"/>
      <c r="H100" s="3595"/>
      <c r="I100" s="129"/>
    </row>
    <row r="101" spans="1:35" ht="18.75" customHeight="1">
      <c r="A101" s="3603" t="s">
        <v>1430</v>
      </c>
      <c r="B101" s="3604"/>
      <c r="C101" s="2579" t="str">
        <f>C4</f>
        <v xml:space="preserve">比较法-办公售价 </v>
      </c>
      <c r="D101" s="2580" t="str">
        <f>D4</f>
        <v>收益法 (元)</v>
      </c>
      <c r="E101" s="3573" t="s">
        <v>1431</v>
      </c>
      <c r="F101" s="3574"/>
      <c r="G101" s="1823" t="s">
        <v>1432</v>
      </c>
      <c r="H101" s="2589">
        <f ca="1">H118</f>
        <v>145</v>
      </c>
      <c r="I101" s="129"/>
    </row>
    <row r="102" spans="1:35" ht="18.75" customHeight="1">
      <c r="A102" s="3605" t="s">
        <v>1433</v>
      </c>
      <c r="B102" s="2578" t="s">
        <v>1432</v>
      </c>
      <c r="C102" s="2579">
        <f ca="1">IF(D32="楼面单价",ROUND(C19,0),C19)</f>
        <v>154</v>
      </c>
      <c r="D102" s="2580">
        <f ca="1">IF(D32="楼面单价",ROUND(D19,0),D19)</f>
        <v>108</v>
      </c>
      <c r="E102" s="3573"/>
      <c r="F102" s="3574"/>
      <c r="G102" s="1823" t="s">
        <v>1434</v>
      </c>
      <c r="H102" s="2549">
        <f ca="1">I118</f>
        <v>23395</v>
      </c>
      <c r="I102" s="129"/>
    </row>
    <row r="103" spans="1:35" ht="42.75" customHeight="1">
      <c r="A103" s="3605"/>
      <c r="B103" s="2578" t="s">
        <v>1434</v>
      </c>
      <c r="C103" s="2581">
        <f ca="1">C20</f>
        <v>24883</v>
      </c>
      <c r="D103" s="2582">
        <f ca="1">D20</f>
        <v>17441</v>
      </c>
      <c r="E103" s="3566" t="s">
        <v>1435</v>
      </c>
      <c r="F103" s="3567"/>
      <c r="G103" s="1824" t="s">
        <v>1436</v>
      </c>
      <c r="H103" s="2589">
        <f>IF(D36="正常操作",H104+H105+H106,H105+H106)</f>
        <v>0</v>
      </c>
      <c r="I103" s="129"/>
    </row>
    <row r="104" spans="1:35" ht="18.75" customHeight="1">
      <c r="A104" s="3605" t="s">
        <v>1437</v>
      </c>
      <c r="B104" s="2583" t="s">
        <v>1432</v>
      </c>
      <c r="C104" s="2584">
        <f ca="1">H118</f>
        <v>145</v>
      </c>
      <c r="D104" s="2585"/>
      <c r="E104" s="1670" t="s">
        <v>1438</v>
      </c>
      <c r="F104" s="1662"/>
      <c r="G104" s="1824" t="s">
        <v>1436</v>
      </c>
      <c r="H104" s="2590">
        <f>IF(D36="同一抵押权人同一抵押物续贷",C36&amp;"（续贷，未扣减，详见特别提示）",C36)</f>
        <v>0</v>
      </c>
      <c r="I104" s="129"/>
    </row>
    <row r="105" spans="1:35" ht="18.75" customHeight="1" thickBot="1">
      <c r="A105" s="3615"/>
      <c r="B105" s="2586" t="s">
        <v>1434</v>
      </c>
      <c r="C105" s="2587">
        <f ca="1">I118</f>
        <v>23395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6" t="str">
        <f>IF(项目基本情况!E8="已注销","——","3.房地产抵押价值")</f>
        <v>3.房地产抵押价值</v>
      </c>
      <c r="F107" s="3574"/>
      <c r="G107" s="1823" t="s">
        <v>1432</v>
      </c>
      <c r="H107" s="2589">
        <f ca="1">IF(E107="——","——",H101-H103)</f>
        <v>145</v>
      </c>
      <c r="I107" s="129"/>
    </row>
    <row r="108" spans="1:35" ht="18.75" customHeight="1">
      <c r="A108" s="129"/>
      <c r="B108" s="129"/>
      <c r="C108" s="129"/>
      <c r="D108" s="129"/>
      <c r="E108" s="3606"/>
      <c r="F108" s="3574"/>
      <c r="G108" s="1823" t="s">
        <v>1434</v>
      </c>
      <c r="H108" s="2549">
        <f ca="1">IF(H107=H101,H102,ROUND(H107*10000/'数据-汇总表'!E3,0))</f>
        <v>23395</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3" t="s">
        <v>1432</v>
      </c>
      <c r="H109" s="2592" t="str">
        <f>IF(E109="——","——",H101-H105-H106)</f>
        <v>——</v>
      </c>
      <c r="I109" s="129"/>
    </row>
    <row r="110" spans="1:35" ht="18.75" customHeight="1">
      <c r="A110" s="129"/>
      <c r="B110" s="129"/>
      <c r="C110" s="129"/>
      <c r="D110" s="129"/>
      <c r="E110" s="3606"/>
      <c r="F110" s="3574"/>
      <c r="G110" s="1823" t="s">
        <v>1434</v>
      </c>
      <c r="H110" s="2549"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3" t="s">
        <v>1432</v>
      </c>
      <c r="H111" s="2589" t="str">
        <f>IF(E111="——","——",N59)</f>
        <v>——</v>
      </c>
      <c r="I111" s="129"/>
    </row>
    <row r="112" spans="1:35" ht="18.75" customHeight="1" thickBot="1">
      <c r="A112" s="129"/>
      <c r="B112" s="129"/>
      <c r="C112" s="129"/>
      <c r="D112" s="129"/>
      <c r="E112" s="3608"/>
      <c r="F112" s="3609"/>
      <c r="G112" s="1826" t="s">
        <v>1434</v>
      </c>
      <c r="H112" s="2593" t="str">
        <f>IF(E111="——","——",N61)</f>
        <v>——</v>
      </c>
      <c r="I112" s="129"/>
    </row>
    <row r="113" spans="1:27" ht="18.75" customHeight="1">
      <c r="A113" s="129"/>
      <c r="B113" s="129"/>
      <c r="C113" s="129"/>
      <c r="D113" s="129"/>
      <c r="E113" s="3616" t="s">
        <v>1440</v>
      </c>
      <c r="F113" s="3616"/>
      <c r="G113" s="3616"/>
      <c r="H113" s="3616"/>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北京市大兴区芳源里1号楼7层706房地产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145</v>
      </c>
      <c r="I118" s="2324">
        <f ca="1">ROUND(IF(D32="楼面单价",C32,H118*10000/B118),0)</f>
        <v>23395</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壹佰肆拾伍万元整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f ca="1">H107</f>
        <v>145</v>
      </c>
      <c r="E122" s="3583"/>
      <c r="F122" s="3583"/>
      <c r="G122" s="3583"/>
      <c r="H122" s="3583"/>
      <c r="I122" s="3584"/>
      <c r="AA122" s="723"/>
    </row>
    <row r="123" spans="1:27" ht="18.75" customHeight="1">
      <c r="A123" s="3581" t="s">
        <v>1452</v>
      </c>
      <c r="B123" s="3581"/>
      <c r="C123" s="3581"/>
      <c r="D123" s="3587" t="str">
        <f ca="1">NUMBERSTRING(INT(D122*10000),2)&amp;"元整"</f>
        <v>壹佰肆拾伍万元整</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北京市大兴区芳源里1号楼7层706房地产抵押价值预评估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16" zoomScale="70" zoomScaleNormal="70" zoomScaleSheetLayoutView="70" workbookViewId="0">
      <selection activeCell="F51" sqref="F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706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154.399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24883</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3501</v>
      </c>
      <c r="F5" s="3680"/>
      <c r="G5" s="3679" t="str">
        <f>E5</f>
        <v>泰禾中央广场</v>
      </c>
      <c r="H5" s="3680"/>
      <c r="I5" s="3679" t="str">
        <f>G5</f>
        <v>泰禾中央广场</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97" t="s">
        <v>1691</v>
      </c>
      <c r="Q15" s="3456" t="str">
        <f t="shared" si="6"/>
        <v>办公集聚程度</v>
      </c>
      <c r="R15" s="703" t="s">
        <v>14</v>
      </c>
      <c r="S15" s="704">
        <f t="shared" si="0"/>
        <v>98</v>
      </c>
      <c r="T15" s="703" t="s">
        <v>14</v>
      </c>
      <c r="U15" s="704">
        <f t="shared" si="1"/>
        <v>98</v>
      </c>
      <c r="V15" s="703" t="s">
        <v>14</v>
      </c>
      <c r="W15" s="704">
        <f t="shared" si="2"/>
        <v>98</v>
      </c>
      <c r="X15" s="3458"/>
      <c r="Y15" s="3699"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98"/>
      <c r="Q19" s="3456" t="str">
        <f>B19</f>
        <v>公共配套设施</v>
      </c>
      <c r="R19" s="703" t="s">
        <v>14</v>
      </c>
      <c r="S19" s="704">
        <f>F19</f>
        <v>100</v>
      </c>
      <c r="T19" s="703" t="s">
        <v>14</v>
      </c>
      <c r="U19" s="704">
        <f>H19</f>
        <v>100</v>
      </c>
      <c r="V19" s="703" t="s">
        <v>14</v>
      </c>
      <c r="W19" s="704">
        <f>J19</f>
        <v>100</v>
      </c>
      <c r="X19" s="3458"/>
      <c r="Y19" s="3700"/>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98"/>
      <c r="Q23" s="3456" t="str">
        <f>B23</f>
        <v>环境质量</v>
      </c>
      <c r="R23" s="703" t="s">
        <v>14</v>
      </c>
      <c r="S23" s="704">
        <f>F23</f>
        <v>100</v>
      </c>
      <c r="T23" s="703" t="s">
        <v>14</v>
      </c>
      <c r="U23" s="704">
        <f>H23</f>
        <v>100</v>
      </c>
      <c r="V23" s="703" t="s">
        <v>14</v>
      </c>
      <c r="W23" s="704">
        <f>J23</f>
        <v>100</v>
      </c>
      <c r="X23" s="3458"/>
      <c r="Y23" s="3700"/>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98"/>
      <c r="Q27" s="3456" t="str">
        <f t="shared" ref="Q27:Q47" si="11">B27</f>
        <v>楼层</v>
      </c>
      <c r="R27" s="703" t="s">
        <v>14</v>
      </c>
      <c r="S27" s="704">
        <f>F27</f>
        <v>99</v>
      </c>
      <c r="T27" s="703" t="s">
        <v>14</v>
      </c>
      <c r="U27" s="704">
        <f>H27</f>
        <v>98</v>
      </c>
      <c r="V27" s="703" t="s">
        <v>14</v>
      </c>
      <c r="W27" s="704">
        <f>J27</f>
        <v>98</v>
      </c>
      <c r="X27" s="3458"/>
      <c r="Y27" s="3700"/>
      <c r="Z27" s="3459" t="str">
        <f>Q27</f>
        <v>楼层</v>
      </c>
      <c r="AA27" s="3457">
        <f t="shared" si="3"/>
        <v>1.0101010101010102</v>
      </c>
      <c r="AB27" s="3457">
        <f t="shared" si="4"/>
        <v>1.0204081632653061</v>
      </c>
      <c r="AC27" s="1957">
        <f t="shared" si="5"/>
        <v>1.0204081632653061</v>
      </c>
    </row>
    <row r="28" spans="1:29" s="108" customFormat="1" ht="15.75"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98"/>
      <c r="Q28" s="3454" t="str">
        <f t="shared" si="11"/>
        <v>朝向</v>
      </c>
      <c r="R28" s="699" t="s">
        <v>14</v>
      </c>
      <c r="S28" s="700">
        <f>F28</f>
        <v>99.5</v>
      </c>
      <c r="T28" s="699" t="s">
        <v>14</v>
      </c>
      <c r="U28" s="700">
        <f>H28</f>
        <v>98</v>
      </c>
      <c r="V28" s="699" t="s">
        <v>14</v>
      </c>
      <c r="W28" s="700">
        <f>J28</f>
        <v>98</v>
      </c>
      <c r="X28" s="701"/>
      <c r="Y28" s="3700"/>
      <c r="Z28" s="3453" t="str">
        <f>Q28</f>
        <v>朝向</v>
      </c>
      <c r="AA28" s="3457">
        <f>D28/F28</f>
        <v>1.0050251256281406</v>
      </c>
      <c r="AB28" s="3457">
        <f>D28/H28</f>
        <v>1.0204081632653061</v>
      </c>
      <c r="AC28" s="1957">
        <f>D28/J28</f>
        <v>1.0204081632653061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702"/>
      <c r="Q37" s="3456" t="str">
        <f t="shared" si="11"/>
        <v>成新度</v>
      </c>
      <c r="R37" s="703" t="s">
        <v>14</v>
      </c>
      <c r="S37" s="704">
        <f t="shared" si="12"/>
        <v>103</v>
      </c>
      <c r="T37" s="703" t="s">
        <v>14</v>
      </c>
      <c r="U37" s="704">
        <f t="shared" si="13"/>
        <v>103</v>
      </c>
      <c r="V37" s="703" t="s">
        <v>14</v>
      </c>
      <c r="W37" s="704">
        <f t="shared" si="14"/>
        <v>103</v>
      </c>
      <c r="X37" s="3458"/>
      <c r="Y37" s="3704"/>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702" t="s">
        <v>1696</v>
      </c>
      <c r="Q39" s="3456" t="str">
        <f t="shared" si="11"/>
        <v>物业管理</v>
      </c>
      <c r="R39" s="703" t="s">
        <v>14</v>
      </c>
      <c r="S39" s="704">
        <f t="shared" si="12"/>
        <v>100</v>
      </c>
      <c r="T39" s="703" t="s">
        <v>14</v>
      </c>
      <c r="U39" s="704">
        <f t="shared" si="13"/>
        <v>100</v>
      </c>
      <c r="V39" s="703" t="s">
        <v>14</v>
      </c>
      <c r="W39" s="704">
        <f t="shared" si="14"/>
        <v>100</v>
      </c>
      <c r="X39" s="3458"/>
      <c r="Y39" s="3704"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702"/>
      <c r="Q40" s="3456" t="str">
        <f t="shared" si="11"/>
        <v>市政基础设施</v>
      </c>
      <c r="R40" s="703" t="s">
        <v>14</v>
      </c>
      <c r="S40" s="704">
        <f t="shared" si="12"/>
        <v>98</v>
      </c>
      <c r="T40" s="703" t="s">
        <v>14</v>
      </c>
      <c r="U40" s="704">
        <f t="shared" si="13"/>
        <v>98</v>
      </c>
      <c r="V40" s="703" t="s">
        <v>14</v>
      </c>
      <c r="W40" s="704">
        <f t="shared" si="14"/>
        <v>98</v>
      </c>
      <c r="X40" s="3458"/>
      <c r="Y40" s="3704"/>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702"/>
      <c r="Q41" s="3456" t="str">
        <f t="shared" si="11"/>
        <v>层高</v>
      </c>
      <c r="R41" s="703" t="s">
        <v>14</v>
      </c>
      <c r="S41" s="704">
        <f t="shared" si="12"/>
        <v>92</v>
      </c>
      <c r="T41" s="703" t="s">
        <v>14</v>
      </c>
      <c r="U41" s="704">
        <f t="shared" si="13"/>
        <v>92</v>
      </c>
      <c r="V41" s="703" t="s">
        <v>14</v>
      </c>
      <c r="W41" s="704">
        <f t="shared" si="14"/>
        <v>92</v>
      </c>
      <c r="X41" s="3458"/>
      <c r="Y41" s="3704"/>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702"/>
      <c r="Q43" s="3456" t="str">
        <f t="shared" si="11"/>
        <v>内部装修</v>
      </c>
      <c r="R43" s="703" t="s">
        <v>14</v>
      </c>
      <c r="S43" s="704">
        <f t="shared" si="12"/>
        <v>103</v>
      </c>
      <c r="T43" s="703" t="s">
        <v>14</v>
      </c>
      <c r="U43" s="704">
        <f t="shared" si="13"/>
        <v>103</v>
      </c>
      <c r="V43" s="703" t="s">
        <v>14</v>
      </c>
      <c r="W43" s="704">
        <f t="shared" si="14"/>
        <v>103</v>
      </c>
      <c r="X43" s="3458"/>
      <c r="Y43" s="3704"/>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96" t="str">
        <f>A48</f>
        <v>成交单价（元/平方米）</v>
      </c>
      <c r="Q48" s="3706"/>
      <c r="R48" s="3707">
        <f>E48</f>
        <v>23072</v>
      </c>
      <c r="S48" s="3707"/>
      <c r="T48" s="3707">
        <f>G48</f>
        <v>24885</v>
      </c>
      <c r="U48" s="3707"/>
      <c r="V48" s="3707">
        <f>I48</f>
        <v>23183</v>
      </c>
      <c r="W48" s="3707"/>
      <c r="X48" s="397"/>
      <c r="Y48" s="710"/>
      <c r="Z48" s="397"/>
      <c r="AA48" s="397"/>
      <c r="AB48" s="397"/>
      <c r="AC48" s="578"/>
    </row>
    <row r="49" spans="1:29" ht="15.75" thickBot="1">
      <c r="A49" s="437" t="s">
        <v>1709</v>
      </c>
      <c r="B49" s="438"/>
      <c r="C49" s="1156">
        <f>R50</f>
        <v>24883</v>
      </c>
      <c r="D49" s="2312" t="s">
        <v>2138</v>
      </c>
      <c r="E49" s="1157">
        <f>R49</f>
        <v>23797</v>
      </c>
      <c r="F49" s="2313"/>
      <c r="G49" s="1156">
        <f>T49</f>
        <v>26326</v>
      </c>
      <c r="H49" s="2313"/>
      <c r="I49" s="1157">
        <f>V49</f>
        <v>24525</v>
      </c>
      <c r="J49" s="2313"/>
      <c r="K49" s="2315">
        <f>F49+H49+J49</f>
        <v>0</v>
      </c>
      <c r="L49" s="2718"/>
      <c r="M49" s="2710"/>
      <c r="N49" s="2710"/>
      <c r="O49" s="2710"/>
      <c r="P49" s="3696" t="str">
        <f>A49</f>
        <v>比较价值（元/平方米）</v>
      </c>
      <c r="Q49" s="3706"/>
      <c r="R49" s="3707">
        <f>IF(F1="售价",ROUND(PRODUCT(R48,AA7:AA47),0),ROUND(PRODUCT(R48,AA7:AA47),1))</f>
        <v>23797</v>
      </c>
      <c r="S49" s="3707"/>
      <c r="T49" s="3707">
        <f>IF(F1="售价",ROUND(PRODUCT(T48,AB7:AB47),0),ROUND(PRODUCT(T48,AB7:AB47),1))</f>
        <v>26326</v>
      </c>
      <c r="U49" s="3707"/>
      <c r="V49" s="3707">
        <f>IF(F1="售价",ROUND(PRODUCT(V48,AC7:AC47),0),ROUND(PRODUCT(V48,AC7:AC47),1))</f>
        <v>24525</v>
      </c>
      <c r="W49" s="3707"/>
      <c r="X49" s="397"/>
      <c r="Y49" s="397"/>
      <c r="Z49" s="397"/>
      <c r="AA49" s="397"/>
      <c r="AB49" s="397"/>
      <c r="AC49" s="578"/>
    </row>
    <row r="50" spans="1:29" ht="15.75" thickBot="1">
      <c r="A50" s="441" t="s">
        <v>1710</v>
      </c>
      <c r="B50" s="442"/>
      <c r="C50" s="1159">
        <f>R50</f>
        <v>24883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24883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3.1423370319001442E-2</v>
      </c>
      <c r="F53" s="449" t="str">
        <f>IF(OR(E53&gt;=0.3,E53&lt;=-0.3),"超过30%","")</f>
        <v/>
      </c>
      <c r="G53" s="448">
        <f>IF(G48&lt;G49,G49/G48-1,G48/G49-1)</f>
        <v>5.7906369298774463E-2</v>
      </c>
      <c r="H53" s="449" t="str">
        <f>IF(OR(G53&gt;=0.3,G53&lt;=-0.3),"超过30%","")</f>
        <v/>
      </c>
      <c r="I53" s="448">
        <f>IF(I48&lt;I49,I49/I48-1,I48/I49-1)</f>
        <v>5.7887244963982232E-2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0.10627390007143767</v>
      </c>
      <c r="F54" s="449" t="str">
        <f>IF(OR(E54&gt;=0.2,E54&lt;=-0.2),"超过20%","")</f>
        <v/>
      </c>
      <c r="G54" s="448">
        <f>IF(G49&lt;I49,I49/G49-1,G49/I49-1)</f>
        <v>7.3435270132517827E-2</v>
      </c>
      <c r="H54" s="449" t="str">
        <f>IF(OR(G54&gt;=0.2,G54&lt;=-0.2),"超过20%","")</f>
        <v/>
      </c>
      <c r="I54" s="448">
        <f>IF(I49&lt;E49,E49/I49-1,I49/E49-1)</f>
        <v>3.0592091440097446E-2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706</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5"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5"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75"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5"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5" thickBot="1">
      <c r="A69" s="947"/>
      <c r="B69" s="948"/>
      <c r="C69" s="306"/>
      <c r="D69" s="966" t="s">
        <v>762</v>
      </c>
      <c r="E69" s="946" t="s">
        <v>763</v>
      </c>
      <c r="F69" s="333">
        <f ca="1">F41</f>
        <v>28.79</v>
      </c>
      <c r="O69" s="1424" t="s">
        <v>411</v>
      </c>
      <c r="P69" s="1463" t="s">
        <v>872</v>
      </c>
      <c r="Q69" s="1416">
        <f ca="1">C39</f>
        <v>53327</v>
      </c>
      <c r="R69" s="1416" t="s">
        <v>818</v>
      </c>
    </row>
    <row r="70" spans="1:18" s="1380" customFormat="1" ht="13.5" thickBot="1">
      <c r="A70" s="950"/>
      <c r="B70" s="951"/>
      <c r="C70" s="310"/>
      <c r="D70" s="962"/>
      <c r="E70" s="946" t="s">
        <v>766</v>
      </c>
      <c r="F70" s="1050"/>
      <c r="O70" s="1424" t="s">
        <v>412</v>
      </c>
      <c r="P70" s="1463" t="s">
        <v>873</v>
      </c>
      <c r="Q70" s="1416">
        <f ca="1">C13</f>
        <v>201557</v>
      </c>
      <c r="R70" s="1416" t="s">
        <v>818</v>
      </c>
    </row>
    <row r="71" spans="1:18" s="1380" customFormat="1" ht="13.5"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M96" sqref="M9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3487</v>
      </c>
      <c r="F5" s="3680"/>
      <c r="G5" s="3679" t="str">
        <f>E5</f>
        <v>兴创国际中心</v>
      </c>
      <c r="H5" s="3680"/>
      <c r="I5" s="3679" t="str">
        <f>E5</f>
        <v>兴创国际中心</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97" t="s">
        <v>1691</v>
      </c>
      <c r="Q15" s="3456" t="str">
        <f t="shared" si="6"/>
        <v>办公集聚程度</v>
      </c>
      <c r="R15" s="703" t="s">
        <v>14</v>
      </c>
      <c r="S15" s="704">
        <f t="shared" si="0"/>
        <v>104</v>
      </c>
      <c r="T15" s="703" t="s">
        <v>14</v>
      </c>
      <c r="U15" s="704">
        <f t="shared" si="1"/>
        <v>104</v>
      </c>
      <c r="V15" s="703" t="s">
        <v>14</v>
      </c>
      <c r="W15" s="704">
        <f t="shared" si="2"/>
        <v>104</v>
      </c>
      <c r="X15" s="3458"/>
      <c r="Y15" s="3699"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98"/>
      <c r="Q19" s="3456" t="str">
        <f>B19</f>
        <v>公共配套设施</v>
      </c>
      <c r="R19" s="703" t="s">
        <v>14</v>
      </c>
      <c r="S19" s="704">
        <f>F19</f>
        <v>101</v>
      </c>
      <c r="T19" s="703" t="s">
        <v>14</v>
      </c>
      <c r="U19" s="704">
        <f>H19</f>
        <v>101</v>
      </c>
      <c r="V19" s="703" t="s">
        <v>14</v>
      </c>
      <c r="W19" s="704">
        <f>J19</f>
        <v>101</v>
      </c>
      <c r="X19" s="3458"/>
      <c r="Y19" s="3700"/>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98"/>
      <c r="Q23" s="3456" t="str">
        <f>B23</f>
        <v>环境质量</v>
      </c>
      <c r="R23" s="703" t="s">
        <v>14</v>
      </c>
      <c r="S23" s="704">
        <f>F23</f>
        <v>102</v>
      </c>
      <c r="T23" s="703" t="s">
        <v>14</v>
      </c>
      <c r="U23" s="704">
        <f>H23</f>
        <v>102</v>
      </c>
      <c r="V23" s="703" t="s">
        <v>14</v>
      </c>
      <c r="W23" s="704">
        <f>J23</f>
        <v>102</v>
      </c>
      <c r="X23" s="3458"/>
      <c r="Y23" s="3700"/>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98"/>
      <c r="Q27" s="3456" t="str">
        <f t="shared" ref="Q27:Q47" si="11">B27</f>
        <v>楼层</v>
      </c>
      <c r="R27" s="703" t="s">
        <v>14</v>
      </c>
      <c r="S27" s="704">
        <f>F27</f>
        <v>100</v>
      </c>
      <c r="T27" s="703" t="s">
        <v>14</v>
      </c>
      <c r="U27" s="704">
        <f>H27</f>
        <v>100</v>
      </c>
      <c r="V27" s="703" t="s">
        <v>14</v>
      </c>
      <c r="W27" s="704">
        <f>J27</f>
        <v>100</v>
      </c>
      <c r="X27" s="3458"/>
      <c r="Y27" s="3700"/>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98"/>
      <c r="Q28" s="3454" t="str">
        <f t="shared" si="11"/>
        <v>朝向</v>
      </c>
      <c r="R28" s="699" t="s">
        <v>14</v>
      </c>
      <c r="S28" s="700">
        <f>F28</f>
        <v>100</v>
      </c>
      <c r="T28" s="699" t="s">
        <v>14</v>
      </c>
      <c r="U28" s="700">
        <f>H28</f>
        <v>100</v>
      </c>
      <c r="V28" s="699" t="s">
        <v>14</v>
      </c>
      <c r="W28" s="700">
        <f>J28</f>
        <v>100</v>
      </c>
      <c r="X28" s="701"/>
      <c r="Y28" s="3700"/>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702"/>
      <c r="Q34" s="705" t="str">
        <f t="shared" si="11"/>
        <v>项目建筑规模</v>
      </c>
      <c r="R34" s="706" t="s">
        <v>14</v>
      </c>
      <c r="S34" s="707">
        <f t="shared" si="12"/>
        <v>102</v>
      </c>
      <c r="T34" s="706" t="s">
        <v>14</v>
      </c>
      <c r="U34" s="707">
        <f t="shared" si="13"/>
        <v>102</v>
      </c>
      <c r="V34" s="706" t="s">
        <v>14</v>
      </c>
      <c r="W34" s="707">
        <f t="shared" si="14"/>
        <v>102</v>
      </c>
      <c r="X34" s="708"/>
      <c r="Y34" s="3704"/>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702"/>
      <c r="Q37" s="3456" t="str">
        <f t="shared" si="11"/>
        <v>成新度</v>
      </c>
      <c r="R37" s="703" t="s">
        <v>14</v>
      </c>
      <c r="S37" s="704">
        <f t="shared" si="12"/>
        <v>104</v>
      </c>
      <c r="T37" s="703" t="s">
        <v>14</v>
      </c>
      <c r="U37" s="704">
        <f t="shared" si="13"/>
        <v>104</v>
      </c>
      <c r="V37" s="703" t="s">
        <v>14</v>
      </c>
      <c r="W37" s="704">
        <f t="shared" si="14"/>
        <v>104</v>
      </c>
      <c r="X37" s="3458"/>
      <c r="Y37" s="3704"/>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702"/>
      <c r="Q38" s="3454" t="str">
        <f t="shared" si="11"/>
        <v>写字楼等级</v>
      </c>
      <c r="R38" s="699" t="s">
        <v>14</v>
      </c>
      <c r="S38" s="700">
        <f t="shared" si="12"/>
        <v>106</v>
      </c>
      <c r="T38" s="699" t="s">
        <v>14</v>
      </c>
      <c r="U38" s="700">
        <f t="shared" si="13"/>
        <v>106</v>
      </c>
      <c r="V38" s="699" t="s">
        <v>14</v>
      </c>
      <c r="W38" s="700">
        <f t="shared" si="14"/>
        <v>106</v>
      </c>
      <c r="X38" s="701"/>
      <c r="Y38" s="3704"/>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702" t="s">
        <v>1696</v>
      </c>
      <c r="Q39" s="3456" t="str">
        <f t="shared" si="11"/>
        <v>物业管理</v>
      </c>
      <c r="R39" s="703" t="s">
        <v>14</v>
      </c>
      <c r="S39" s="704">
        <f t="shared" si="12"/>
        <v>102</v>
      </c>
      <c r="T39" s="703" t="s">
        <v>14</v>
      </c>
      <c r="U39" s="704">
        <f t="shared" si="13"/>
        <v>102</v>
      </c>
      <c r="V39" s="703" t="s">
        <v>14</v>
      </c>
      <c r="W39" s="704">
        <f t="shared" si="14"/>
        <v>102</v>
      </c>
      <c r="X39" s="3458"/>
      <c r="Y39" s="3704"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702"/>
      <c r="Q40" s="3456" t="str">
        <f t="shared" si="11"/>
        <v>市政基础设施</v>
      </c>
      <c r="R40" s="703" t="s">
        <v>14</v>
      </c>
      <c r="S40" s="704">
        <f t="shared" si="12"/>
        <v>99</v>
      </c>
      <c r="T40" s="703" t="s">
        <v>14</v>
      </c>
      <c r="U40" s="704">
        <f t="shared" si="13"/>
        <v>99</v>
      </c>
      <c r="V40" s="703" t="s">
        <v>14</v>
      </c>
      <c r="W40" s="704">
        <f t="shared" si="14"/>
        <v>99</v>
      </c>
      <c r="X40" s="3458"/>
      <c r="Y40" s="3704"/>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702"/>
      <c r="Q41" s="3456" t="str">
        <f t="shared" si="11"/>
        <v>层高</v>
      </c>
      <c r="R41" s="703" t="s">
        <v>14</v>
      </c>
      <c r="S41" s="704">
        <f t="shared" si="12"/>
        <v>98</v>
      </c>
      <c r="T41" s="703" t="s">
        <v>14</v>
      </c>
      <c r="U41" s="704">
        <f t="shared" si="13"/>
        <v>98</v>
      </c>
      <c r="V41" s="703" t="s">
        <v>14</v>
      </c>
      <c r="W41" s="704">
        <f t="shared" si="14"/>
        <v>98</v>
      </c>
      <c r="X41" s="3458"/>
      <c r="Y41" s="3704"/>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702"/>
      <c r="Q43" s="3456" t="str">
        <f t="shared" si="11"/>
        <v>内部装修</v>
      </c>
      <c r="R43" s="703" t="s">
        <v>14</v>
      </c>
      <c r="S43" s="704">
        <f t="shared" si="12"/>
        <v>102</v>
      </c>
      <c r="T43" s="703" t="s">
        <v>14</v>
      </c>
      <c r="U43" s="704">
        <f t="shared" si="13"/>
        <v>102</v>
      </c>
      <c r="V43" s="703" t="s">
        <v>14</v>
      </c>
      <c r="W43" s="704">
        <f t="shared" si="14"/>
        <v>102</v>
      </c>
      <c r="X43" s="3458"/>
      <c r="Y43" s="3704"/>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96" t="str">
        <f>A48</f>
        <v>成交单价（元/平方米）</v>
      </c>
      <c r="Q48" s="3706"/>
      <c r="R48" s="3707">
        <f>E48</f>
        <v>3.5</v>
      </c>
      <c r="S48" s="3707"/>
      <c r="T48" s="3707">
        <f>G48</f>
        <v>3.3</v>
      </c>
      <c r="U48" s="3707"/>
      <c r="V48" s="3707">
        <f>I48</f>
        <v>3.3</v>
      </c>
      <c r="W48" s="3707"/>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96" t="str">
        <f>A49</f>
        <v>比较价值（元/平方米）</v>
      </c>
      <c r="Q49" s="3706"/>
      <c r="R49" s="3707">
        <f>IF(F1="售价",ROUND(PRODUCT(R48,AA7:AA47),0),ROUND(PRODUCT(R48,AA7:AA47),1))</f>
        <v>3</v>
      </c>
      <c r="S49" s="3707"/>
      <c r="T49" s="3707">
        <f>IF(F1="售价",ROUND(PRODUCT(T48,AB7:AB47),0),ROUND(PRODUCT(T48,AB7:AB47),1))</f>
        <v>3</v>
      </c>
      <c r="U49" s="3707"/>
      <c r="V49" s="3707">
        <f>IF(F1="售价",ROUND(PRODUCT(V48,AC7:AC47),0),ROUND(PRODUCT(V48,AC7:AC47),1))</f>
        <v>3</v>
      </c>
      <c r="W49" s="3707"/>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19" t="s">
        <v>2321</v>
      </c>
      <c r="K2" s="3720"/>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1" t="s">
        <v>2331</v>
      </c>
      <c r="K3" s="3722"/>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1" t="s">
        <v>2333</v>
      </c>
      <c r="K4" s="3722"/>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23" t="s">
        <v>2337</v>
      </c>
      <c r="B6" s="3724"/>
      <c r="C6" s="3725"/>
      <c r="D6" s="2864"/>
      <c r="E6" s="2865"/>
      <c r="F6" s="2866"/>
      <c r="G6" s="2867"/>
      <c r="H6" s="2842"/>
      <c r="I6" s="2843"/>
      <c r="J6" s="3726">
        <v>1</v>
      </c>
      <c r="K6" s="3727"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26"/>
      <c r="K7" s="3728"/>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0" t="s">
        <v>2351</v>
      </c>
      <c r="C8" s="3731"/>
      <c r="D8" s="2883" t="s">
        <v>2352</v>
      </c>
      <c r="E8" s="2884" t="s">
        <v>2353</v>
      </c>
      <c r="F8" s="2885" t="s">
        <v>2354</v>
      </c>
      <c r="G8" s="2886"/>
      <c r="H8" s="2842"/>
      <c r="I8" s="2843"/>
      <c r="J8" s="3726"/>
      <c r="K8" s="3728"/>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0" t="s">
        <v>2357</v>
      </c>
      <c r="C9" s="3731"/>
      <c r="D9" s="2883">
        <f>ROUND(D6*E9,0)</f>
        <v>0</v>
      </c>
      <c r="E9" s="2887"/>
      <c r="F9" s="2888" t="s">
        <v>2358</v>
      </c>
      <c r="G9" s="2867"/>
      <c r="H9" s="2842"/>
      <c r="I9" s="2843"/>
      <c r="J9" s="3726"/>
      <c r="K9" s="3728"/>
      <c r="L9" s="2877" t="s">
        <v>2359</v>
      </c>
      <c r="M9" s="2878"/>
      <c r="N9" s="2854"/>
      <c r="O9" s="2879"/>
      <c r="P9" s="2879"/>
      <c r="Q9" s="2880">
        <v>365</v>
      </c>
      <c r="R9" s="2881">
        <f t="shared" si="0"/>
        <v>0</v>
      </c>
      <c r="S9" s="2835"/>
      <c r="T9" s="2835"/>
      <c r="U9" s="2835"/>
      <c r="V9" s="2843"/>
    </row>
    <row r="10" spans="1:22" s="2847" customFormat="1" ht="13.15" customHeight="1">
      <c r="A10" s="2882">
        <v>2</v>
      </c>
      <c r="B10" s="3730" t="s">
        <v>2360</v>
      </c>
      <c r="C10" s="3731"/>
      <c r="D10" s="2883">
        <f>ROUND(D6*E10,0)</f>
        <v>0</v>
      </c>
      <c r="E10" s="2887"/>
      <c r="F10" s="2888" t="s">
        <v>2361</v>
      </c>
      <c r="G10" s="2867"/>
      <c r="H10" s="2842"/>
      <c r="I10" s="2843"/>
      <c r="J10" s="3726"/>
      <c r="K10" s="3728"/>
      <c r="L10" s="2877" t="s">
        <v>2362</v>
      </c>
      <c r="M10" s="2878"/>
      <c r="N10" s="2854"/>
      <c r="O10" s="2879"/>
      <c r="P10" s="2879"/>
      <c r="Q10" s="2880">
        <v>365</v>
      </c>
      <c r="R10" s="2881">
        <f t="shared" si="0"/>
        <v>0</v>
      </c>
      <c r="S10" s="2835"/>
      <c r="T10" s="2835"/>
      <c r="U10" s="2835"/>
      <c r="V10" s="2843"/>
    </row>
    <row r="11" spans="1:22" s="2847" customFormat="1" ht="13.15" customHeight="1">
      <c r="A11" s="2882">
        <v>3</v>
      </c>
      <c r="B11" s="3730" t="s">
        <v>2363</v>
      </c>
      <c r="C11" s="3731"/>
      <c r="D11" s="2883">
        <f>D12+D14+D15+D16</f>
        <v>0</v>
      </c>
      <c r="E11" s="2889" t="e">
        <f>D11/D6</f>
        <v>#DIV/0!</v>
      </c>
      <c r="F11" s="2885"/>
      <c r="G11" s="2886"/>
      <c r="H11" s="2842"/>
      <c r="I11" s="2843"/>
      <c r="J11" s="3726"/>
      <c r="K11" s="3728"/>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32" t="s">
        <v>2366</v>
      </c>
      <c r="C12" s="3733"/>
      <c r="D12" s="2891">
        <f>ROUND(D13*1.2%*(1-30%),0)</f>
        <v>0</v>
      </c>
      <c r="E12" s="2892">
        <v>1.2E-2</v>
      </c>
      <c r="F12" s="2885" t="s">
        <v>2367</v>
      </c>
      <c r="G12" s="2886"/>
      <c r="H12" s="2842"/>
      <c r="I12" s="2843"/>
      <c r="J12" s="3726"/>
      <c r="K12" s="3728"/>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26"/>
      <c r="K13" s="3728"/>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32" t="s">
        <v>2372</v>
      </c>
      <c r="C14" s="3733"/>
      <c r="D14" s="2891">
        <f>ROUND(E14*B5/10000,0)</f>
        <v>0</v>
      </c>
      <c r="E14" s="2880"/>
      <c r="F14" s="2885" t="s">
        <v>2373</v>
      </c>
      <c r="G14" s="2886"/>
      <c r="H14" s="2842"/>
      <c r="I14" s="2843"/>
      <c r="J14" s="3726"/>
      <c r="K14" s="3729"/>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32" t="s">
        <v>2376</v>
      </c>
      <c r="C15" s="3733"/>
      <c r="D15" s="2891">
        <f>ROUND(D6*E15,0)</f>
        <v>0</v>
      </c>
      <c r="E15" s="2892">
        <v>5.5E-2</v>
      </c>
      <c r="F15" s="2885" t="s">
        <v>2377</v>
      </c>
      <c r="G15" s="2867"/>
      <c r="H15" s="2842"/>
      <c r="I15" s="2843"/>
      <c r="J15" s="3726">
        <v>2</v>
      </c>
      <c r="K15" s="3727"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32" t="s">
        <v>2385</v>
      </c>
      <c r="C16" s="3733"/>
      <c r="D16" s="2902">
        <f>D6*E16</f>
        <v>0</v>
      </c>
      <c r="E16" s="2903"/>
      <c r="F16" s="2888" t="s">
        <v>2386</v>
      </c>
      <c r="G16" s="2867"/>
      <c r="H16" s="2842"/>
      <c r="I16" s="2843"/>
      <c r="J16" s="3726"/>
      <c r="K16" s="3728"/>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4" t="s">
        <v>2388</v>
      </c>
      <c r="C17" s="3735"/>
      <c r="D17" s="2905">
        <f>ROUND(D6*E17,0)</f>
        <v>0</v>
      </c>
      <c r="E17" s="2906"/>
      <c r="F17" s="2907" t="s">
        <v>2389</v>
      </c>
      <c r="G17" s="2867"/>
      <c r="H17" s="2842"/>
      <c r="I17" s="2843"/>
      <c r="J17" s="3726"/>
      <c r="K17" s="3728"/>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26"/>
      <c r="K18" s="3728"/>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26"/>
      <c r="K19" s="3729"/>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6">
        <v>3</v>
      </c>
      <c r="K20" s="3727"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26"/>
      <c r="K21" s="3728"/>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26"/>
      <c r="K22" s="3728"/>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26"/>
      <c r="K23" s="3728"/>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26"/>
      <c r="K24" s="3729"/>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36">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19" t="s">
        <v>2321</v>
      </c>
      <c r="K32" s="3720"/>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1" t="s">
        <v>2331</v>
      </c>
      <c r="K33" s="3722"/>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1" t="s">
        <v>2333</v>
      </c>
      <c r="K34" s="372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26">
        <v>1</v>
      </c>
      <c r="K36" s="3727"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26"/>
      <c r="K40" s="3729"/>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6">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75">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受贵公司委托，我公司对北京市大兴区芳源里1号楼7层706房地产抵押价值进行了预评估。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估价对象为北京市大兴区芳源里1号楼7层706房地产，为鲍建军所有。根据《国有土地使用证》[]，估价对象（分摊）出让国有建设用地使用权面积为0平方米，建筑面积为62.05平方米。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706房地产,属鲍建军开发建设的办公项目，该项目尚在开发建设中。根据《国有土地使用证》[]，估价对象（分摊）出让国有建设用地使用权面积为0平方米，规划建筑面积为62.05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7层706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63" t="s">
        <v>1667</v>
      </c>
      <c r="D4" s="3664"/>
      <c r="E4" s="3665" t="s">
        <v>1668</v>
      </c>
      <c r="F4" s="3666"/>
      <c r="G4" s="3663" t="s">
        <v>1669</v>
      </c>
      <c r="H4" s="3664"/>
      <c r="I4" s="3663" t="s">
        <v>1670</v>
      </c>
      <c r="J4" s="3664"/>
      <c r="K4" s="1885" t="s">
        <v>1671</v>
      </c>
      <c r="L4" s="2709"/>
      <c r="M4" s="2710"/>
      <c r="N4" s="2710"/>
      <c r="O4" s="2710"/>
      <c r="P4" s="3745" t="s">
        <v>1672</v>
      </c>
      <c r="Q4" s="3746"/>
      <c r="R4" s="3741" t="s">
        <v>1668</v>
      </c>
      <c r="S4" s="3742"/>
      <c r="T4" s="3741" t="s">
        <v>1669</v>
      </c>
      <c r="U4" s="3742"/>
      <c r="V4" s="3688" t="s">
        <v>1670</v>
      </c>
      <c r="W4" s="3688"/>
      <c r="X4" s="1351"/>
      <c r="Y4" s="3741" t="s">
        <v>1672</v>
      </c>
      <c r="Z4" s="3742"/>
      <c r="AA4" s="3740" t="s">
        <v>1668</v>
      </c>
      <c r="AB4" s="3740" t="s">
        <v>1669</v>
      </c>
      <c r="AC4" s="3740" t="s">
        <v>1670</v>
      </c>
    </row>
    <row r="5" spans="1:29" ht="15">
      <c r="A5" s="358"/>
      <c r="B5" s="359"/>
      <c r="C5" s="3744" t="s">
        <v>1673</v>
      </c>
      <c r="D5" s="3678"/>
      <c r="E5" s="3743" t="s">
        <v>1674</v>
      </c>
      <c r="F5" s="3680"/>
      <c r="G5" s="3744" t="s">
        <v>1675</v>
      </c>
      <c r="H5" s="3678"/>
      <c r="I5" s="3744" t="s">
        <v>1676</v>
      </c>
      <c r="J5" s="3678"/>
      <c r="K5" s="1886"/>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1886"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95" t="s">
        <v>1680</v>
      </c>
      <c r="Q7" s="3693"/>
      <c r="R7" s="699" t="s">
        <v>20</v>
      </c>
      <c r="S7" s="700">
        <f t="shared" ref="S7:S15" si="0">F7</f>
        <v>0</v>
      </c>
      <c r="T7" s="699" t="s">
        <v>20</v>
      </c>
      <c r="U7" s="700">
        <f t="shared" ref="U7:U15" si="1">H7</f>
        <v>0</v>
      </c>
      <c r="V7" s="699" t="s">
        <v>20</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95" t="s">
        <v>1683</v>
      </c>
      <c r="Q8" s="3694"/>
      <c r="R8" s="699" t="s">
        <v>20</v>
      </c>
      <c r="S8" s="700">
        <f t="shared" si="0"/>
        <v>100</v>
      </c>
      <c r="T8" s="699" t="s">
        <v>20</v>
      </c>
      <c r="U8" s="700">
        <f t="shared" si="1"/>
        <v>100</v>
      </c>
      <c r="V8" s="699" t="s">
        <v>20</v>
      </c>
      <c r="W8" s="700">
        <f t="shared" si="2"/>
        <v>100</v>
      </c>
      <c r="X8" s="701"/>
      <c r="Y8" s="3695" t="s">
        <v>1683</v>
      </c>
      <c r="Z8" s="369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39"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96"/>
      <c r="Q12" s="1339">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96"/>
      <c r="Q13" s="1339">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96"/>
      <c r="Q14" s="1339">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7" t="s">
        <v>1691</v>
      </c>
      <c r="Q15" s="1348" t="str">
        <f t="shared" si="6"/>
        <v>居住社区成熟度</v>
      </c>
      <c r="R15" s="703" t="s">
        <v>18</v>
      </c>
      <c r="S15" s="704">
        <f t="shared" si="0"/>
        <v>100</v>
      </c>
      <c r="T15" s="703" t="s">
        <v>18</v>
      </c>
      <c r="U15" s="704">
        <f t="shared" si="1"/>
        <v>100</v>
      </c>
      <c r="V15" s="703" t="s">
        <v>18</v>
      </c>
      <c r="W15" s="704">
        <f t="shared" si="2"/>
        <v>100</v>
      </c>
      <c r="X15" s="1351"/>
      <c r="Y15" s="369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98"/>
      <c r="Q16" s="1348"/>
      <c r="R16" s="703"/>
      <c r="S16" s="704"/>
      <c r="T16" s="703"/>
      <c r="U16" s="704"/>
      <c r="V16" s="703"/>
      <c r="W16" s="704"/>
      <c r="X16" s="1351"/>
      <c r="Y16" s="3700"/>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8"/>
      <c r="Q17" s="1348" t="str">
        <f>B17</f>
        <v>交通便捷度</v>
      </c>
      <c r="R17" s="703" t="s">
        <v>18</v>
      </c>
      <c r="S17" s="704">
        <f>F17</f>
        <v>100</v>
      </c>
      <c r="T17" s="703" t="s">
        <v>18</v>
      </c>
      <c r="U17" s="704">
        <f>H17</f>
        <v>100</v>
      </c>
      <c r="V17" s="703" t="s">
        <v>18</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8"/>
      <c r="Q19" s="1348" t="str">
        <f>B19</f>
        <v>公共配套设施</v>
      </c>
      <c r="R19" s="703" t="s">
        <v>18</v>
      </c>
      <c r="S19" s="704">
        <f>F19</f>
        <v>100</v>
      </c>
      <c r="T19" s="703" t="s">
        <v>18</v>
      </c>
      <c r="U19" s="704">
        <f>H19</f>
        <v>100</v>
      </c>
      <c r="V19" s="703" t="s">
        <v>18</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98"/>
      <c r="Q22" s="1348"/>
      <c r="R22" s="703"/>
      <c r="S22" s="704"/>
      <c r="T22" s="703"/>
      <c r="U22" s="704"/>
      <c r="V22" s="703"/>
      <c r="W22" s="704"/>
      <c r="X22" s="1351"/>
      <c r="Y22" s="3700"/>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8"/>
      <c r="Q23" s="1348" t="str">
        <f>B23</f>
        <v>自然及人文环境</v>
      </c>
      <c r="R23" s="703" t="s">
        <v>18</v>
      </c>
      <c r="S23" s="704">
        <f>F23</f>
        <v>100</v>
      </c>
      <c r="T23" s="703" t="s">
        <v>18</v>
      </c>
      <c r="U23" s="704">
        <f>H23</f>
        <v>100</v>
      </c>
      <c r="V23" s="703" t="s">
        <v>18</v>
      </c>
      <c r="W23" s="704">
        <f>J23</f>
        <v>100</v>
      </c>
      <c r="X23" s="1351"/>
      <c r="Y23" s="370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9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98"/>
      <c r="Q26" s="1348" t="str">
        <f t="shared" si="11"/>
        <v>朝向</v>
      </c>
      <c r="R26" s="703" t="s">
        <v>18</v>
      </c>
      <c r="S26" s="704">
        <f t="shared" si="12"/>
        <v>100</v>
      </c>
      <c r="T26" s="703" t="s">
        <v>18</v>
      </c>
      <c r="U26" s="704">
        <f t="shared" si="13"/>
        <v>100</v>
      </c>
      <c r="V26" s="703" t="s">
        <v>18</v>
      </c>
      <c r="W26" s="704">
        <f t="shared" si="14"/>
        <v>100</v>
      </c>
      <c r="X26" s="1351"/>
      <c r="Y26" s="370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98"/>
      <c r="Q27" s="1339">
        <f t="shared" si="11"/>
        <v>111</v>
      </c>
      <c r="R27" s="699" t="s">
        <v>18</v>
      </c>
      <c r="S27" s="700">
        <f t="shared" si="12"/>
        <v>100</v>
      </c>
      <c r="T27" s="699" t="s">
        <v>18</v>
      </c>
      <c r="U27" s="700">
        <f t="shared" si="13"/>
        <v>100</v>
      </c>
      <c r="V27" s="699" t="s">
        <v>18</v>
      </c>
      <c r="W27" s="700">
        <f t="shared" si="14"/>
        <v>100</v>
      </c>
      <c r="X27" s="701"/>
      <c r="Y27" s="370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98"/>
      <c r="Q28" s="1348">
        <f t="shared" si="11"/>
        <v>111</v>
      </c>
      <c r="R28" s="703" t="s">
        <v>18</v>
      </c>
      <c r="S28" s="704">
        <f t="shared" si="12"/>
        <v>100</v>
      </c>
      <c r="T28" s="703" t="s">
        <v>18</v>
      </c>
      <c r="U28" s="704">
        <f t="shared" si="13"/>
        <v>100</v>
      </c>
      <c r="V28" s="703" t="s">
        <v>18</v>
      </c>
      <c r="W28" s="704">
        <f t="shared" si="14"/>
        <v>100</v>
      </c>
      <c r="X28" s="1351"/>
      <c r="Y28" s="370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98"/>
      <c r="Q29" s="1348">
        <f t="shared" si="11"/>
        <v>111</v>
      </c>
      <c r="R29" s="703" t="s">
        <v>18</v>
      </c>
      <c r="S29" s="704">
        <f t="shared" si="12"/>
        <v>100</v>
      </c>
      <c r="T29" s="703" t="s">
        <v>18</v>
      </c>
      <c r="U29" s="704">
        <f t="shared" si="13"/>
        <v>100</v>
      </c>
      <c r="V29" s="703" t="s">
        <v>18</v>
      </c>
      <c r="W29" s="704">
        <f t="shared" si="14"/>
        <v>100</v>
      </c>
      <c r="X29" s="1351"/>
      <c r="Y29" s="370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98"/>
      <c r="Q30" s="1348">
        <f t="shared" si="11"/>
        <v>111</v>
      </c>
      <c r="R30" s="703" t="s">
        <v>18</v>
      </c>
      <c r="S30" s="704">
        <f t="shared" si="12"/>
        <v>100</v>
      </c>
      <c r="T30" s="703" t="s">
        <v>18</v>
      </c>
      <c r="U30" s="704">
        <f t="shared" si="13"/>
        <v>100</v>
      </c>
      <c r="V30" s="703" t="s">
        <v>18</v>
      </c>
      <c r="W30" s="704">
        <f t="shared" si="14"/>
        <v>100</v>
      </c>
      <c r="X30" s="1351"/>
      <c r="Y30" s="370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98"/>
      <c r="Q31" s="1348">
        <f t="shared" si="11"/>
        <v>111</v>
      </c>
      <c r="R31" s="703" t="s">
        <v>18</v>
      </c>
      <c r="S31" s="704">
        <f t="shared" si="12"/>
        <v>100</v>
      </c>
      <c r="T31" s="703" t="s">
        <v>18</v>
      </c>
      <c r="U31" s="704">
        <f t="shared" si="13"/>
        <v>100</v>
      </c>
      <c r="V31" s="703" t="s">
        <v>18</v>
      </c>
      <c r="W31" s="704">
        <f t="shared" si="14"/>
        <v>100</v>
      </c>
      <c r="X31" s="1351"/>
      <c r="Y31" s="370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701" t="s">
        <v>1696</v>
      </c>
      <c r="Q32" s="1348" t="str">
        <f t="shared" si="11"/>
        <v>建筑类型</v>
      </c>
      <c r="R32" s="703" t="s">
        <v>18</v>
      </c>
      <c r="S32" s="704">
        <f t="shared" si="12"/>
        <v>100</v>
      </c>
      <c r="T32" s="703" t="s">
        <v>18</v>
      </c>
      <c r="U32" s="704">
        <f t="shared" si="13"/>
        <v>100</v>
      </c>
      <c r="V32" s="703" t="s">
        <v>18</v>
      </c>
      <c r="W32" s="704">
        <f t="shared" si="14"/>
        <v>100</v>
      </c>
      <c r="X32" s="1351"/>
      <c r="Y32" s="370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702"/>
      <c r="Q34" s="1348" t="str">
        <f t="shared" si="11"/>
        <v>建筑结构</v>
      </c>
      <c r="R34" s="703" t="s">
        <v>18</v>
      </c>
      <c r="S34" s="704">
        <f t="shared" si="12"/>
        <v>100</v>
      </c>
      <c r="T34" s="703" t="s">
        <v>18</v>
      </c>
      <c r="U34" s="704">
        <f t="shared" si="13"/>
        <v>100</v>
      </c>
      <c r="V34" s="703" t="s">
        <v>18</v>
      </c>
      <c r="W34" s="704">
        <f t="shared" si="14"/>
        <v>100</v>
      </c>
      <c r="X34" s="1351"/>
      <c r="Y34" s="370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702"/>
      <c r="Q35" s="1348" t="str">
        <f t="shared" si="11"/>
        <v>建筑品质</v>
      </c>
      <c r="R35" s="703" t="s">
        <v>18</v>
      </c>
      <c r="S35" s="704">
        <f t="shared" si="12"/>
        <v>100</v>
      </c>
      <c r="T35" s="703" t="s">
        <v>18</v>
      </c>
      <c r="U35" s="704">
        <f t="shared" si="13"/>
        <v>100</v>
      </c>
      <c r="V35" s="703" t="s">
        <v>18</v>
      </c>
      <c r="W35" s="704">
        <f t="shared" si="14"/>
        <v>100</v>
      </c>
      <c r="X35" s="1351"/>
      <c r="Y35" s="370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702"/>
      <c r="Q36" s="1348" t="str">
        <f t="shared" si="11"/>
        <v>公共部分装修</v>
      </c>
      <c r="R36" s="703" t="s">
        <v>18</v>
      </c>
      <c r="S36" s="704">
        <f t="shared" si="12"/>
        <v>100</v>
      </c>
      <c r="T36" s="703" t="s">
        <v>18</v>
      </c>
      <c r="U36" s="704">
        <f t="shared" si="13"/>
        <v>100</v>
      </c>
      <c r="V36" s="703" t="s">
        <v>18</v>
      </c>
      <c r="W36" s="704">
        <f t="shared" si="14"/>
        <v>100</v>
      </c>
      <c r="X36" s="1351"/>
      <c r="Y36" s="370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2"/>
      <c r="Q37" s="1339"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702" t="s">
        <v>1696</v>
      </c>
      <c r="Q38" s="1348" t="str">
        <f t="shared" si="11"/>
        <v>物业管理</v>
      </c>
      <c r="R38" s="703" t="s">
        <v>18</v>
      </c>
      <c r="S38" s="704">
        <f t="shared" si="12"/>
        <v>100</v>
      </c>
      <c r="T38" s="703" t="s">
        <v>18</v>
      </c>
      <c r="U38" s="704">
        <f t="shared" si="13"/>
        <v>100</v>
      </c>
      <c r="V38" s="703" t="s">
        <v>18</v>
      </c>
      <c r="W38" s="704">
        <f t="shared" si="14"/>
        <v>100</v>
      </c>
      <c r="X38" s="1351"/>
      <c r="Y38" s="370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702"/>
      <c r="Q39" s="1348" t="str">
        <f t="shared" si="11"/>
        <v>市政基础设施</v>
      </c>
      <c r="R39" s="703" t="s">
        <v>18</v>
      </c>
      <c r="S39" s="704">
        <f t="shared" si="12"/>
        <v>100</v>
      </c>
      <c r="T39" s="703" t="s">
        <v>18</v>
      </c>
      <c r="U39" s="704">
        <f t="shared" si="13"/>
        <v>100</v>
      </c>
      <c r="V39" s="703" t="s">
        <v>18</v>
      </c>
      <c r="W39" s="704">
        <f t="shared" si="14"/>
        <v>100</v>
      </c>
      <c r="X39" s="1351"/>
      <c r="Y39" s="370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702"/>
      <c r="Q40" s="1348" t="str">
        <f t="shared" si="11"/>
        <v>房型</v>
      </c>
      <c r="R40" s="703" t="s">
        <v>18</v>
      </c>
      <c r="S40" s="704">
        <f t="shared" si="12"/>
        <v>100</v>
      </c>
      <c r="T40" s="703" t="s">
        <v>18</v>
      </c>
      <c r="U40" s="704">
        <f t="shared" si="13"/>
        <v>100</v>
      </c>
      <c r="V40" s="703" t="s">
        <v>18</v>
      </c>
      <c r="W40" s="704">
        <f t="shared" si="14"/>
        <v>100</v>
      </c>
      <c r="X40" s="1351"/>
      <c r="Y40" s="3704"/>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702"/>
      <c r="Q42" s="1348" t="str">
        <f t="shared" si="11"/>
        <v>内部装修</v>
      </c>
      <c r="R42" s="703" t="s">
        <v>18</v>
      </c>
      <c r="S42" s="704">
        <f t="shared" si="12"/>
        <v>100</v>
      </c>
      <c r="T42" s="703" t="s">
        <v>18</v>
      </c>
      <c r="U42" s="704">
        <f t="shared" si="13"/>
        <v>100</v>
      </c>
      <c r="V42" s="703" t="s">
        <v>18</v>
      </c>
      <c r="W42" s="704">
        <f t="shared" si="14"/>
        <v>100</v>
      </c>
      <c r="X42" s="1351"/>
      <c r="Y42" s="3704"/>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702"/>
      <c r="Q43" s="1348" t="str">
        <f t="shared" si="11"/>
        <v>内部装修维护情况</v>
      </c>
      <c r="R43" s="703" t="s">
        <v>18</v>
      </c>
      <c r="S43" s="704">
        <f t="shared" si="12"/>
        <v>100</v>
      </c>
      <c r="T43" s="703" t="s">
        <v>18</v>
      </c>
      <c r="U43" s="704">
        <f t="shared" si="13"/>
        <v>100</v>
      </c>
      <c r="V43" s="703" t="s">
        <v>18</v>
      </c>
      <c r="W43" s="704">
        <f t="shared" si="14"/>
        <v>100</v>
      </c>
      <c r="X43" s="1351"/>
      <c r="Y43" s="370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702"/>
      <c r="Q44" s="1339">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702"/>
      <c r="Q45" s="1348">
        <f t="shared" si="11"/>
        <v>111</v>
      </c>
      <c r="R45" s="703" t="s">
        <v>18</v>
      </c>
      <c r="S45" s="704">
        <f t="shared" si="12"/>
        <v>100</v>
      </c>
      <c r="T45" s="703" t="s">
        <v>18</v>
      </c>
      <c r="U45" s="704">
        <f t="shared" si="13"/>
        <v>100</v>
      </c>
      <c r="V45" s="703" t="s">
        <v>18</v>
      </c>
      <c r="W45" s="704">
        <f t="shared" si="14"/>
        <v>100</v>
      </c>
      <c r="X45" s="1351"/>
      <c r="Y45" s="370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703"/>
      <c r="Q46" s="1348">
        <f t="shared" si="11"/>
        <v>111</v>
      </c>
      <c r="R46" s="703" t="s">
        <v>17</v>
      </c>
      <c r="S46" s="704">
        <f t="shared" si="12"/>
        <v>100</v>
      </c>
      <c r="T46" s="703" t="s">
        <v>17</v>
      </c>
      <c r="U46" s="704">
        <f t="shared" si="13"/>
        <v>100</v>
      </c>
      <c r="V46" s="703" t="s">
        <v>17</v>
      </c>
      <c r="W46" s="704">
        <f t="shared" si="14"/>
        <v>100</v>
      </c>
      <c r="X46" s="1351"/>
      <c r="Y46" s="3705"/>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88"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88"/>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88"/>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7" t="s">
        <v>1691</v>
      </c>
      <c r="Q15" s="1348" t="str">
        <f t="shared" si="6"/>
        <v>商业繁华度</v>
      </c>
      <c r="R15" s="703" t="s">
        <v>14</v>
      </c>
      <c r="S15" s="704">
        <f t="shared" si="0"/>
        <v>100</v>
      </c>
      <c r="T15" s="703" t="s">
        <v>14</v>
      </c>
      <c r="U15" s="704">
        <f t="shared" si="1"/>
        <v>100</v>
      </c>
      <c r="V15" s="703" t="s">
        <v>14</v>
      </c>
      <c r="W15" s="704">
        <f t="shared" si="2"/>
        <v>100</v>
      </c>
      <c r="X15" s="1351"/>
      <c r="Y15" s="369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98"/>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8"/>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8"/>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98"/>
      <c r="Q22" s="1348"/>
      <c r="R22" s="703"/>
      <c r="S22" s="704"/>
      <c r="T22" s="703"/>
      <c r="U22" s="704"/>
      <c r="V22" s="703"/>
      <c r="W22" s="704"/>
      <c r="X22" s="1351"/>
      <c r="Y22" s="3700"/>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8"/>
      <c r="Q23" s="1348" t="str">
        <f>B23</f>
        <v>自然及人文环境</v>
      </c>
      <c r="R23" s="703" t="s">
        <v>14</v>
      </c>
      <c r="S23" s="704">
        <f>F23</f>
        <v>100</v>
      </c>
      <c r="T23" s="703" t="s">
        <v>14</v>
      </c>
      <c r="U23" s="704">
        <f>H23</f>
        <v>100</v>
      </c>
      <c r="V23" s="703" t="s">
        <v>14</v>
      </c>
      <c r="W23" s="704">
        <f>J23</f>
        <v>100</v>
      </c>
      <c r="X23" s="1351"/>
      <c r="Y23" s="370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8"/>
      <c r="Q25" s="1348" t="str">
        <f t="shared" ref="Q25:Q46" si="11">B25</f>
        <v>临街状况</v>
      </c>
      <c r="R25" s="703" t="s">
        <v>14</v>
      </c>
      <c r="S25" s="704">
        <f>F25</f>
        <v>100</v>
      </c>
      <c r="T25" s="703" t="s">
        <v>14</v>
      </c>
      <c r="U25" s="704">
        <f>H25</f>
        <v>100</v>
      </c>
      <c r="V25" s="703" t="s">
        <v>14</v>
      </c>
      <c r="W25" s="704">
        <f>J25</f>
        <v>100</v>
      </c>
      <c r="X25" s="1351"/>
      <c r="Y25" s="370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8"/>
      <c r="Q26" s="1348" t="str">
        <f t="shared" si="11"/>
        <v>平面位置/可视性</v>
      </c>
      <c r="R26" s="703" t="s">
        <v>14</v>
      </c>
      <c r="S26" s="704">
        <f>F26</f>
        <v>100</v>
      </c>
      <c r="T26" s="703" t="s">
        <v>14</v>
      </c>
      <c r="U26" s="704">
        <f>H26</f>
        <v>100</v>
      </c>
      <c r="V26" s="703" t="s">
        <v>14</v>
      </c>
      <c r="W26" s="704">
        <f>J26</f>
        <v>100</v>
      </c>
      <c r="X26" s="1351"/>
      <c r="Y26" s="370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98"/>
      <c r="Q27" s="1339" t="str">
        <f t="shared" si="11"/>
        <v>人流量</v>
      </c>
      <c r="R27" s="699" t="s">
        <v>14</v>
      </c>
      <c r="S27" s="700">
        <f>F27</f>
        <v>100</v>
      </c>
      <c r="T27" s="699" t="s">
        <v>14</v>
      </c>
      <c r="U27" s="700">
        <f>H27</f>
        <v>100</v>
      </c>
      <c r="V27" s="699" t="s">
        <v>14</v>
      </c>
      <c r="W27" s="700">
        <f>J27</f>
        <v>100</v>
      </c>
      <c r="X27" s="701"/>
      <c r="Y27" s="370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8"/>
      <c r="Q29" s="1348">
        <f t="shared" si="11"/>
        <v>111</v>
      </c>
      <c r="R29" s="703" t="s">
        <v>14</v>
      </c>
      <c r="S29" s="704">
        <f t="shared" si="12"/>
        <v>100</v>
      </c>
      <c r="T29" s="703" t="s">
        <v>14</v>
      </c>
      <c r="U29" s="704">
        <f t="shared" si="13"/>
        <v>100</v>
      </c>
      <c r="V29" s="703" t="s">
        <v>14</v>
      </c>
      <c r="W29" s="704">
        <f t="shared" si="14"/>
        <v>100</v>
      </c>
      <c r="X29" s="1351"/>
      <c r="Y29" s="370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8"/>
      <c r="Q30" s="1348">
        <f t="shared" si="11"/>
        <v>111</v>
      </c>
      <c r="R30" s="703" t="s">
        <v>14</v>
      </c>
      <c r="S30" s="704">
        <f t="shared" si="12"/>
        <v>100</v>
      </c>
      <c r="T30" s="703" t="s">
        <v>14</v>
      </c>
      <c r="U30" s="704">
        <f t="shared" si="13"/>
        <v>100</v>
      </c>
      <c r="V30" s="703" t="s">
        <v>14</v>
      </c>
      <c r="W30" s="704">
        <f t="shared" si="14"/>
        <v>100</v>
      </c>
      <c r="X30" s="1351"/>
      <c r="Y30" s="370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8"/>
      <c r="Q31" s="1348">
        <f t="shared" si="11"/>
        <v>111</v>
      </c>
      <c r="R31" s="703" t="s">
        <v>14</v>
      </c>
      <c r="S31" s="704">
        <f t="shared" si="12"/>
        <v>100</v>
      </c>
      <c r="T31" s="703" t="s">
        <v>14</v>
      </c>
      <c r="U31" s="704">
        <f t="shared" si="13"/>
        <v>100</v>
      </c>
      <c r="V31" s="703" t="s">
        <v>14</v>
      </c>
      <c r="W31" s="704">
        <f t="shared" si="14"/>
        <v>100</v>
      </c>
      <c r="X31" s="1351"/>
      <c r="Y31" s="370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701" t="s">
        <v>1696</v>
      </c>
      <c r="Q32" s="1348" t="str">
        <f t="shared" si="11"/>
        <v>商业类型</v>
      </c>
      <c r="R32" s="703" t="s">
        <v>14</v>
      </c>
      <c r="S32" s="704">
        <f t="shared" si="12"/>
        <v>100</v>
      </c>
      <c r="T32" s="703" t="s">
        <v>14</v>
      </c>
      <c r="U32" s="704">
        <f t="shared" si="13"/>
        <v>100</v>
      </c>
      <c r="V32" s="703" t="s">
        <v>14</v>
      </c>
      <c r="W32" s="704">
        <f t="shared" si="14"/>
        <v>100</v>
      </c>
      <c r="X32" s="1351"/>
      <c r="Y32" s="370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702"/>
      <c r="Q34" s="1348" t="str">
        <f t="shared" si="11"/>
        <v>建筑结构</v>
      </c>
      <c r="R34" s="703" t="s">
        <v>14</v>
      </c>
      <c r="S34" s="704">
        <f t="shared" si="12"/>
        <v>100</v>
      </c>
      <c r="T34" s="703" t="s">
        <v>14</v>
      </c>
      <c r="U34" s="704">
        <f t="shared" si="13"/>
        <v>100</v>
      </c>
      <c r="V34" s="703" t="s">
        <v>14</v>
      </c>
      <c r="W34" s="704">
        <f t="shared" si="14"/>
        <v>100</v>
      </c>
      <c r="X34" s="1351"/>
      <c r="Y34" s="370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702"/>
      <c r="Q35" s="1348" t="str">
        <f t="shared" si="11"/>
        <v>公共部分装修</v>
      </c>
      <c r="R35" s="703" t="s">
        <v>14</v>
      </c>
      <c r="S35" s="704">
        <f t="shared" si="12"/>
        <v>100</v>
      </c>
      <c r="T35" s="703" t="s">
        <v>14</v>
      </c>
      <c r="U35" s="704">
        <f t="shared" si="13"/>
        <v>100</v>
      </c>
      <c r="V35" s="703" t="s">
        <v>14</v>
      </c>
      <c r="W35" s="704">
        <f t="shared" si="14"/>
        <v>100</v>
      </c>
      <c r="X35" s="1351"/>
      <c r="Y35" s="370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2"/>
      <c r="Q36" s="1348" t="str">
        <f t="shared" si="11"/>
        <v>成新度</v>
      </c>
      <c r="R36" s="703" t="s">
        <v>14</v>
      </c>
      <c r="S36" s="704" t="e">
        <f t="shared" si="12"/>
        <v>#N/A</v>
      </c>
      <c r="T36" s="703" t="s">
        <v>14</v>
      </c>
      <c r="U36" s="704" t="e">
        <f t="shared" si="13"/>
        <v>#N/A</v>
      </c>
      <c r="V36" s="703" t="s">
        <v>14</v>
      </c>
      <c r="W36" s="704" t="e">
        <f t="shared" si="14"/>
        <v>#N/A</v>
      </c>
      <c r="X36" s="1351"/>
      <c r="Y36" s="370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702"/>
      <c r="Q37" s="1339"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702" t="s">
        <v>1696</v>
      </c>
      <c r="Q38" s="1348" t="str">
        <f t="shared" si="11"/>
        <v>业态</v>
      </c>
      <c r="R38" s="703" t="s">
        <v>14</v>
      </c>
      <c r="S38" s="704">
        <f t="shared" si="12"/>
        <v>100</v>
      </c>
      <c r="T38" s="703" t="s">
        <v>14</v>
      </c>
      <c r="U38" s="704">
        <f t="shared" si="13"/>
        <v>100</v>
      </c>
      <c r="V38" s="703" t="s">
        <v>14</v>
      </c>
      <c r="W38" s="704">
        <f t="shared" si="14"/>
        <v>100</v>
      </c>
      <c r="X38" s="1351"/>
      <c r="Y38" s="370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702"/>
      <c r="Q39" s="1348" t="str">
        <f t="shared" si="11"/>
        <v>层高</v>
      </c>
      <c r="R39" s="703" t="s">
        <v>14</v>
      </c>
      <c r="S39" s="704">
        <f t="shared" si="12"/>
        <v>100</v>
      </c>
      <c r="T39" s="703" t="s">
        <v>14</v>
      </c>
      <c r="U39" s="704">
        <f t="shared" si="13"/>
        <v>100</v>
      </c>
      <c r="V39" s="703" t="s">
        <v>14</v>
      </c>
      <c r="W39" s="704">
        <f t="shared" si="14"/>
        <v>100</v>
      </c>
      <c r="X39" s="1351"/>
      <c r="Y39" s="370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2"/>
      <c r="Q40" s="1348" t="str">
        <f t="shared" si="11"/>
        <v>单套建筑面积</v>
      </c>
      <c r="R40" s="703" t="s">
        <v>14</v>
      </c>
      <c r="S40" s="704">
        <f t="shared" si="12"/>
        <v>100</v>
      </c>
      <c r="T40" s="703" t="s">
        <v>14</v>
      </c>
      <c r="U40" s="704">
        <f t="shared" si="13"/>
        <v>100</v>
      </c>
      <c r="V40" s="703" t="s">
        <v>14</v>
      </c>
      <c r="W40" s="704">
        <f t="shared" si="14"/>
        <v>100</v>
      </c>
      <c r="X40" s="1351"/>
      <c r="Y40" s="370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702"/>
      <c r="Q42" s="1348" t="str">
        <f t="shared" si="11"/>
        <v>内部装修</v>
      </c>
      <c r="R42" s="703" t="s">
        <v>14</v>
      </c>
      <c r="S42" s="704">
        <f t="shared" si="12"/>
        <v>100</v>
      </c>
      <c r="T42" s="703" t="s">
        <v>14</v>
      </c>
      <c r="U42" s="704">
        <f t="shared" si="13"/>
        <v>100</v>
      </c>
      <c r="V42" s="703" t="s">
        <v>14</v>
      </c>
      <c r="W42" s="704">
        <f t="shared" si="14"/>
        <v>100</v>
      </c>
      <c r="X42" s="1351"/>
      <c r="Y42" s="3704"/>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702"/>
      <c r="Q43" s="1348" t="str">
        <f t="shared" si="11"/>
        <v>内部装修维护情况</v>
      </c>
      <c r="R43" s="703" t="s">
        <v>14</v>
      </c>
      <c r="S43" s="704">
        <f t="shared" si="12"/>
        <v>100</v>
      </c>
      <c r="T43" s="703" t="s">
        <v>14</v>
      </c>
      <c r="U43" s="704">
        <f t="shared" si="13"/>
        <v>100</v>
      </c>
      <c r="V43" s="703" t="s">
        <v>14</v>
      </c>
      <c r="W43" s="704">
        <f t="shared" si="14"/>
        <v>100</v>
      </c>
      <c r="X43" s="1351"/>
      <c r="Y43" s="370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2"/>
      <c r="Q44" s="1339">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2"/>
      <c r="Q45" s="1348">
        <f t="shared" si="11"/>
        <v>111</v>
      </c>
      <c r="R45" s="703" t="s">
        <v>14</v>
      </c>
      <c r="S45" s="704">
        <f t="shared" si="12"/>
        <v>100</v>
      </c>
      <c r="T45" s="703" t="s">
        <v>14</v>
      </c>
      <c r="U45" s="704">
        <f t="shared" si="13"/>
        <v>100</v>
      </c>
      <c r="V45" s="703" t="s">
        <v>14</v>
      </c>
      <c r="W45" s="704">
        <f t="shared" si="14"/>
        <v>100</v>
      </c>
      <c r="X45" s="1351"/>
      <c r="Y45" s="370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706" t="str">
        <f>A47</f>
        <v>成交单价（元/平方米）</v>
      </c>
      <c r="Q47" s="3706"/>
      <c r="R47" s="3688">
        <f>E47</f>
        <v>0</v>
      </c>
      <c r="S47" s="3688"/>
      <c r="T47" s="3688">
        <f>G47</f>
        <v>0</v>
      </c>
      <c r="U47" s="3688"/>
      <c r="V47" s="3688">
        <f>I47</f>
        <v>0</v>
      </c>
      <c r="W47" s="3688"/>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909"/>
      <c r="M4" s="910"/>
      <c r="N4" s="910"/>
      <c r="O4" s="9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909"/>
      <c r="M5" s="910"/>
      <c r="N5" s="910"/>
      <c r="O5" s="9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909"/>
      <c r="M6" s="910"/>
      <c r="N6" s="910"/>
      <c r="O6" s="9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1683</v>
      </c>
      <c r="Q8" s="3694"/>
      <c r="R8" s="699" t="s">
        <v>14</v>
      </c>
      <c r="S8" s="700">
        <f t="shared" si="0"/>
        <v>100</v>
      </c>
      <c r="T8" s="699" t="s">
        <v>14</v>
      </c>
      <c r="U8" s="700">
        <f t="shared" si="1"/>
        <v>100</v>
      </c>
      <c r="V8" s="699" t="s">
        <v>14</v>
      </c>
      <c r="W8" s="700">
        <f t="shared" si="2"/>
        <v>100</v>
      </c>
      <c r="X8" s="701"/>
      <c r="Y8" s="3695" t="s">
        <v>1683</v>
      </c>
      <c r="Z8" s="369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6"/>
      <c r="Q11" s="1339"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0"/>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0"/>
      <c r="Q18" s="1348"/>
      <c r="R18" s="703"/>
      <c r="S18" s="704"/>
      <c r="T18" s="703"/>
      <c r="U18" s="704"/>
      <c r="V18" s="703"/>
      <c r="W18" s="704"/>
      <c r="X18" s="1351"/>
      <c r="Y18" s="3700"/>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0"/>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0"/>
      <c r="Q20" s="1348"/>
      <c r="R20" s="703"/>
      <c r="S20" s="704"/>
      <c r="T20" s="703"/>
      <c r="U20" s="704"/>
      <c r="V20" s="703"/>
      <c r="W20" s="704"/>
      <c r="X20" s="1351"/>
      <c r="Y20" s="3700"/>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0"/>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0"/>
      <c r="Q22" s="1348"/>
      <c r="R22" s="703"/>
      <c r="S22" s="704"/>
      <c r="T22" s="703"/>
      <c r="U22" s="704"/>
      <c r="V22" s="703"/>
      <c r="W22" s="704"/>
      <c r="X22" s="1351"/>
      <c r="Y22" s="3700"/>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0"/>
      <c r="Q23" s="1348" t="str">
        <f>B23</f>
        <v>环境质量</v>
      </c>
      <c r="R23" s="703" t="s">
        <v>14</v>
      </c>
      <c r="S23" s="704">
        <f>F23</f>
        <v>100</v>
      </c>
      <c r="T23" s="703" t="s">
        <v>14</v>
      </c>
      <c r="U23" s="704">
        <f>H23</f>
        <v>100</v>
      </c>
      <c r="V23" s="703" t="s">
        <v>14</v>
      </c>
      <c r="W23" s="704">
        <f>J23</f>
        <v>100</v>
      </c>
      <c r="X23" s="1351"/>
      <c r="Y23" s="370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0"/>
      <c r="Q24" s="1348"/>
      <c r="R24" s="703"/>
      <c r="S24" s="704"/>
      <c r="T24" s="703"/>
      <c r="U24" s="704"/>
      <c r="V24" s="703"/>
      <c r="W24" s="704"/>
      <c r="X24" s="1351"/>
      <c r="Y24" s="370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0"/>
      <c r="Q25" s="1348">
        <f>B25</f>
        <v>111</v>
      </c>
      <c r="R25" s="703" t="s">
        <v>14</v>
      </c>
      <c r="S25" s="704">
        <f>F25</f>
        <v>100</v>
      </c>
      <c r="T25" s="703" t="s">
        <v>14</v>
      </c>
      <c r="U25" s="704">
        <f>H25</f>
        <v>100</v>
      </c>
      <c r="V25" s="703" t="s">
        <v>14</v>
      </c>
      <c r="W25" s="704">
        <f>J25</f>
        <v>100</v>
      </c>
      <c r="X25" s="1351"/>
      <c r="Y25" s="370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0"/>
      <c r="Q26" s="1348">
        <f t="shared" ref="Q26:Q40" si="11">B26</f>
        <v>111</v>
      </c>
      <c r="R26" s="703" t="s">
        <v>14</v>
      </c>
      <c r="S26" s="704">
        <f>F26</f>
        <v>100</v>
      </c>
      <c r="T26" s="703" t="s">
        <v>14</v>
      </c>
      <c r="U26" s="704">
        <f>H26</f>
        <v>100</v>
      </c>
      <c r="V26" s="703" t="s">
        <v>14</v>
      </c>
      <c r="W26" s="704">
        <f>J26</f>
        <v>100</v>
      </c>
      <c r="X26" s="1351"/>
      <c r="Y26" s="370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0"/>
      <c r="Q27" s="1339">
        <f t="shared" si="11"/>
        <v>111</v>
      </c>
      <c r="R27" s="699" t="s">
        <v>14</v>
      </c>
      <c r="S27" s="700">
        <f>F27</f>
        <v>100</v>
      </c>
      <c r="T27" s="699" t="s">
        <v>14</v>
      </c>
      <c r="U27" s="700">
        <f>H27</f>
        <v>100</v>
      </c>
      <c r="V27" s="699" t="s">
        <v>14</v>
      </c>
      <c r="W27" s="700">
        <f>J27</f>
        <v>100</v>
      </c>
      <c r="X27" s="701"/>
      <c r="Y27" s="370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0"/>
      <c r="Q28" s="1348">
        <f t="shared" si="11"/>
        <v>111</v>
      </c>
      <c r="R28" s="703" t="s">
        <v>14</v>
      </c>
      <c r="S28" s="704">
        <f t="shared" ref="S28:S40" si="12">F28</f>
        <v>100</v>
      </c>
      <c r="T28" s="703" t="s">
        <v>14</v>
      </c>
      <c r="U28" s="704">
        <f t="shared" ref="U28:U40" si="13">H28</f>
        <v>100</v>
      </c>
      <c r="V28" s="703" t="s">
        <v>14</v>
      </c>
      <c r="W28" s="704">
        <f t="shared" ref="W28:W40" si="14">J28</f>
        <v>100</v>
      </c>
      <c r="X28" s="1351"/>
      <c r="Y28" s="3700"/>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70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4"/>
      <c r="Q31" s="1348" t="str">
        <f t="shared" si="11"/>
        <v>建筑结构</v>
      </c>
      <c r="R31" s="703" t="s">
        <v>14</v>
      </c>
      <c r="S31" s="704">
        <f t="shared" si="12"/>
        <v>100</v>
      </c>
      <c r="T31" s="703" t="s">
        <v>14</v>
      </c>
      <c r="U31" s="704">
        <f t="shared" si="13"/>
        <v>100</v>
      </c>
      <c r="V31" s="703" t="s">
        <v>14</v>
      </c>
      <c r="W31" s="704">
        <f t="shared" si="14"/>
        <v>100</v>
      </c>
      <c r="X31" s="1351"/>
      <c r="Y31" s="370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4"/>
      <c r="Q32" s="1348" t="str">
        <f t="shared" si="11"/>
        <v>公共部分装修</v>
      </c>
      <c r="R32" s="703" t="s">
        <v>14</v>
      </c>
      <c r="S32" s="704">
        <f t="shared" si="12"/>
        <v>100</v>
      </c>
      <c r="T32" s="703" t="s">
        <v>14</v>
      </c>
      <c r="U32" s="704">
        <f t="shared" si="13"/>
        <v>100</v>
      </c>
      <c r="V32" s="703" t="s">
        <v>14</v>
      </c>
      <c r="W32" s="704">
        <f t="shared" si="14"/>
        <v>100</v>
      </c>
      <c r="X32" s="1351"/>
      <c r="Y32" s="3704"/>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4"/>
      <c r="Q33" s="1348" t="str">
        <f t="shared" si="11"/>
        <v>成新度</v>
      </c>
      <c r="R33" s="703" t="s">
        <v>14</v>
      </c>
      <c r="S33" s="704" t="e">
        <f t="shared" si="12"/>
        <v>#N/A</v>
      </c>
      <c r="T33" s="703" t="s">
        <v>14</v>
      </c>
      <c r="U33" s="704" t="e">
        <f t="shared" si="13"/>
        <v>#N/A</v>
      </c>
      <c r="V33" s="703" t="s">
        <v>14</v>
      </c>
      <c r="W33" s="704" t="e">
        <f t="shared" si="14"/>
        <v>#N/A</v>
      </c>
      <c r="X33" s="1351"/>
      <c r="Y33" s="3704"/>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4"/>
      <c r="Q34" s="1339"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4" t="s">
        <v>1696</v>
      </c>
      <c r="Q35" s="1348" t="str">
        <f t="shared" si="11"/>
        <v>市政基础设施</v>
      </c>
      <c r="R35" s="703" t="s">
        <v>14</v>
      </c>
      <c r="S35" s="704">
        <f t="shared" si="12"/>
        <v>100</v>
      </c>
      <c r="T35" s="703" t="s">
        <v>14</v>
      </c>
      <c r="U35" s="704">
        <f t="shared" si="13"/>
        <v>100</v>
      </c>
      <c r="V35" s="703" t="s">
        <v>14</v>
      </c>
      <c r="W35" s="704">
        <f t="shared" si="14"/>
        <v>100</v>
      </c>
      <c r="X35" s="1351"/>
      <c r="Y35" s="370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4"/>
      <c r="Q36" s="1348" t="str">
        <f t="shared" si="11"/>
        <v>内部装修</v>
      </c>
      <c r="R36" s="703" t="s">
        <v>14</v>
      </c>
      <c r="S36" s="704">
        <f t="shared" si="12"/>
        <v>100</v>
      </c>
      <c r="T36" s="703" t="s">
        <v>14</v>
      </c>
      <c r="U36" s="704">
        <f t="shared" si="13"/>
        <v>100</v>
      </c>
      <c r="V36" s="703" t="s">
        <v>14</v>
      </c>
      <c r="W36" s="704">
        <f t="shared" si="14"/>
        <v>100</v>
      </c>
      <c r="X36" s="1351"/>
      <c r="Y36" s="3704"/>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4"/>
      <c r="Q37" s="1348" t="str">
        <f t="shared" si="11"/>
        <v>内部装修状况</v>
      </c>
      <c r="R37" s="703" t="s">
        <v>14</v>
      </c>
      <c r="S37" s="704">
        <f t="shared" si="12"/>
        <v>100</v>
      </c>
      <c r="T37" s="703" t="s">
        <v>14</v>
      </c>
      <c r="U37" s="704">
        <f t="shared" si="13"/>
        <v>100</v>
      </c>
      <c r="V37" s="703" t="s">
        <v>14</v>
      </c>
      <c r="W37" s="704">
        <f t="shared" si="14"/>
        <v>100</v>
      </c>
      <c r="X37" s="1351"/>
      <c r="Y37" s="370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4"/>
      <c r="Q39" s="1348">
        <f t="shared" si="11"/>
        <v>111</v>
      </c>
      <c r="R39" s="703" t="s">
        <v>14</v>
      </c>
      <c r="S39" s="704">
        <f t="shared" si="12"/>
        <v>100</v>
      </c>
      <c r="T39" s="703" t="s">
        <v>14</v>
      </c>
      <c r="U39" s="704">
        <f t="shared" si="13"/>
        <v>100</v>
      </c>
      <c r="V39" s="703" t="s">
        <v>14</v>
      </c>
      <c r="W39" s="704">
        <f t="shared" si="14"/>
        <v>100</v>
      </c>
      <c r="X39" s="1351"/>
      <c r="Y39" s="370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5"/>
      <c r="Q40" s="1348">
        <f t="shared" si="11"/>
        <v>111</v>
      </c>
      <c r="R40" s="703" t="s">
        <v>14</v>
      </c>
      <c r="S40" s="704">
        <f t="shared" si="12"/>
        <v>100</v>
      </c>
      <c r="T40" s="703" t="s">
        <v>14</v>
      </c>
      <c r="U40" s="704">
        <f t="shared" si="13"/>
        <v>100</v>
      </c>
      <c r="V40" s="703" t="s">
        <v>14</v>
      </c>
      <c r="W40" s="704">
        <f t="shared" si="14"/>
        <v>100</v>
      </c>
      <c r="X40" s="1351"/>
      <c r="Y40" s="3705"/>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700"/>
      <c r="Q15" s="1348"/>
      <c r="R15" s="703"/>
      <c r="S15" s="704"/>
      <c r="T15" s="703"/>
      <c r="U15" s="704"/>
      <c r="V15" s="703"/>
      <c r="W15" s="704"/>
      <c r="X15" s="1351"/>
      <c r="Y15" s="3700"/>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700"/>
      <c r="Q17" s="1348"/>
      <c r="R17" s="703"/>
      <c r="S17" s="704"/>
      <c r="T17" s="703"/>
      <c r="U17" s="704"/>
      <c r="V17" s="703"/>
      <c r="W17" s="704"/>
      <c r="X17" s="1351"/>
      <c r="Y17" s="3700"/>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700"/>
      <c r="Q19" s="1348"/>
      <c r="R19" s="703"/>
      <c r="S19" s="704"/>
      <c r="T19" s="703"/>
      <c r="U19" s="704"/>
      <c r="V19" s="703"/>
      <c r="W19" s="704"/>
      <c r="X19" s="1351"/>
      <c r="Y19" s="3700"/>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700"/>
      <c r="Q21" s="1348"/>
      <c r="R21" s="703"/>
      <c r="S21" s="704"/>
      <c r="T21" s="703"/>
      <c r="U21" s="704"/>
      <c r="V21" s="703"/>
      <c r="W21" s="704"/>
      <c r="X21" s="1351"/>
      <c r="Y21" s="370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0"/>
      <c r="Q24" s="1348">
        <f t="shared" ref="Q24:Q36"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4"/>
      <c r="Q28" s="1348" t="str">
        <f t="shared" si="11"/>
        <v>公共部分装修</v>
      </c>
      <c r="R28" s="703" t="s">
        <v>14</v>
      </c>
      <c r="S28" s="704">
        <f t="shared" si="12"/>
        <v>100</v>
      </c>
      <c r="T28" s="703" t="s">
        <v>14</v>
      </c>
      <c r="U28" s="704">
        <f t="shared" si="13"/>
        <v>100</v>
      </c>
      <c r="V28" s="703" t="s">
        <v>14</v>
      </c>
      <c r="W28" s="704">
        <f t="shared" si="14"/>
        <v>100</v>
      </c>
      <c r="X28" s="1351"/>
      <c r="Y28" s="370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4"/>
      <c r="Q29" s="1348" t="str">
        <f t="shared" si="11"/>
        <v>成新率</v>
      </c>
      <c r="R29" s="703" t="s">
        <v>14</v>
      </c>
      <c r="S29" s="704" t="e">
        <f t="shared" si="12"/>
        <v>#N/A</v>
      </c>
      <c r="T29" s="703" t="s">
        <v>14</v>
      </c>
      <c r="U29" s="704" t="e">
        <f t="shared" si="13"/>
        <v>#N/A</v>
      </c>
      <c r="V29" s="703" t="s">
        <v>14</v>
      </c>
      <c r="W29" s="704" t="e">
        <f t="shared" si="14"/>
        <v>#N/A</v>
      </c>
      <c r="X29" s="1351"/>
      <c r="Y29" s="370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4"/>
      <c r="Q30" s="1348" t="str">
        <f t="shared" si="11"/>
        <v>物业等级</v>
      </c>
      <c r="R30" s="703" t="s">
        <v>14</v>
      </c>
      <c r="S30" s="704">
        <f t="shared" si="12"/>
        <v>100</v>
      </c>
      <c r="T30" s="703" t="s">
        <v>14</v>
      </c>
      <c r="U30" s="704">
        <f t="shared" si="13"/>
        <v>100</v>
      </c>
      <c r="V30" s="703" t="s">
        <v>14</v>
      </c>
      <c r="W30" s="704">
        <f t="shared" si="14"/>
        <v>100</v>
      </c>
      <c r="X30" s="1351"/>
      <c r="Y30" s="370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4"/>
      <c r="Q31" s="1339"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4" t="s">
        <v>1696</v>
      </c>
      <c r="Q32" s="1348" t="str">
        <f t="shared" si="11"/>
        <v>车位类型</v>
      </c>
      <c r="R32" s="703" t="s">
        <v>14</v>
      </c>
      <c r="S32" s="704">
        <f t="shared" si="12"/>
        <v>100</v>
      </c>
      <c r="T32" s="703" t="s">
        <v>14</v>
      </c>
      <c r="U32" s="704">
        <f t="shared" si="13"/>
        <v>100</v>
      </c>
      <c r="V32" s="703" t="s">
        <v>14</v>
      </c>
      <c r="W32" s="704">
        <f t="shared" si="14"/>
        <v>100</v>
      </c>
      <c r="X32" s="1351"/>
      <c r="Y32" s="370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4"/>
      <c r="Q33" s="1348" t="str">
        <f t="shared" si="11"/>
        <v>是否直接入户</v>
      </c>
      <c r="R33" s="703" t="s">
        <v>14</v>
      </c>
      <c r="S33" s="704">
        <f t="shared" si="12"/>
        <v>100</v>
      </c>
      <c r="T33" s="703" t="s">
        <v>14</v>
      </c>
      <c r="U33" s="704">
        <f t="shared" si="13"/>
        <v>100</v>
      </c>
      <c r="V33" s="703" t="s">
        <v>14</v>
      </c>
      <c r="W33" s="704">
        <f t="shared" si="14"/>
        <v>100</v>
      </c>
      <c r="X33" s="1351"/>
      <c r="Y33" s="370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4"/>
      <c r="Q36" s="1348">
        <f t="shared" si="11"/>
        <v>111</v>
      </c>
      <c r="R36" s="703" t="s">
        <v>14</v>
      </c>
      <c r="S36" s="704">
        <f t="shared" si="12"/>
        <v>100</v>
      </c>
      <c r="T36" s="703" t="s">
        <v>14</v>
      </c>
      <c r="U36" s="704">
        <f t="shared" si="13"/>
        <v>100</v>
      </c>
      <c r="V36" s="703" t="s">
        <v>14</v>
      </c>
      <c r="W36" s="704">
        <f t="shared" si="14"/>
        <v>100</v>
      </c>
      <c r="X36" s="1351"/>
      <c r="Y36" s="3704"/>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700"/>
      <c r="Q15" s="1348"/>
      <c r="R15" s="703"/>
      <c r="S15" s="704"/>
      <c r="T15" s="703"/>
      <c r="U15" s="704"/>
      <c r="V15" s="703"/>
      <c r="W15" s="704"/>
      <c r="X15" s="1351"/>
      <c r="Y15" s="3700"/>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700"/>
      <c r="Q17" s="1348"/>
      <c r="R17" s="703"/>
      <c r="S17" s="704"/>
      <c r="T17" s="703"/>
      <c r="U17" s="704"/>
      <c r="V17" s="703"/>
      <c r="W17" s="704"/>
      <c r="X17" s="1351"/>
      <c r="Y17" s="3700"/>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700"/>
      <c r="Q19" s="1348"/>
      <c r="R19" s="703"/>
      <c r="S19" s="704"/>
      <c r="T19" s="703"/>
      <c r="U19" s="704"/>
      <c r="V19" s="703"/>
      <c r="W19" s="704"/>
      <c r="X19" s="1351"/>
      <c r="Y19" s="3700"/>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700"/>
      <c r="Q21" s="1348"/>
      <c r="R21" s="703"/>
      <c r="S21" s="704"/>
      <c r="T21" s="703"/>
      <c r="U21" s="704"/>
      <c r="V21" s="703"/>
      <c r="W21" s="704"/>
      <c r="X21" s="1351"/>
      <c r="Y21" s="370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0"/>
      <c r="Q24" s="1348">
        <f t="shared" ref="Q24:Q34"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4"/>
      <c r="Q28" s="1348" t="str">
        <f t="shared" si="11"/>
        <v>物业等级</v>
      </c>
      <c r="R28" s="703" t="s">
        <v>14</v>
      </c>
      <c r="S28" s="704">
        <f t="shared" si="12"/>
        <v>100</v>
      </c>
      <c r="T28" s="703" t="s">
        <v>14</v>
      </c>
      <c r="U28" s="704">
        <f t="shared" si="13"/>
        <v>100</v>
      </c>
      <c r="V28" s="703" t="s">
        <v>14</v>
      </c>
      <c r="W28" s="704">
        <f t="shared" si="14"/>
        <v>100</v>
      </c>
      <c r="X28" s="1351"/>
      <c r="Y28" s="370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4"/>
      <c r="Q29" s="1348" t="str">
        <f t="shared" si="11"/>
        <v>有无电梯</v>
      </c>
      <c r="R29" s="703" t="s">
        <v>14</v>
      </c>
      <c r="S29" s="704">
        <f t="shared" si="12"/>
        <v>100</v>
      </c>
      <c r="T29" s="703" t="s">
        <v>14</v>
      </c>
      <c r="U29" s="704">
        <f t="shared" si="13"/>
        <v>100</v>
      </c>
      <c r="V29" s="703" t="s">
        <v>14</v>
      </c>
      <c r="W29" s="704">
        <f t="shared" si="14"/>
        <v>100</v>
      </c>
      <c r="X29" s="1351"/>
      <c r="Y29" s="370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4"/>
      <c r="Q30" s="1348" t="str">
        <f t="shared" si="11"/>
        <v>建筑面积</v>
      </c>
      <c r="R30" s="703" t="s">
        <v>14</v>
      </c>
      <c r="S30" s="704" t="e">
        <f t="shared" si="12"/>
        <v>#N/A</v>
      </c>
      <c r="T30" s="703" t="s">
        <v>14</v>
      </c>
      <c r="U30" s="704" t="e">
        <f t="shared" si="13"/>
        <v>#N/A</v>
      </c>
      <c r="V30" s="703" t="s">
        <v>14</v>
      </c>
      <c r="W30" s="704" t="e">
        <f t="shared" si="14"/>
        <v>#N/A</v>
      </c>
      <c r="X30" s="1351"/>
      <c r="Y30" s="370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4"/>
      <c r="Q31" s="1339"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4" t="s">
        <v>1696</v>
      </c>
      <c r="Q32" s="1348">
        <f t="shared" si="11"/>
        <v>111</v>
      </c>
      <c r="R32" s="703" t="s">
        <v>14</v>
      </c>
      <c r="S32" s="704">
        <f t="shared" si="12"/>
        <v>100</v>
      </c>
      <c r="T32" s="703" t="s">
        <v>14</v>
      </c>
      <c r="U32" s="704">
        <f t="shared" si="13"/>
        <v>100</v>
      </c>
      <c r="V32" s="703" t="s">
        <v>14</v>
      </c>
      <c r="W32" s="704">
        <f t="shared" si="14"/>
        <v>100</v>
      </c>
      <c r="X32" s="1351"/>
      <c r="Y32" s="370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4"/>
      <c r="Q33" s="1348">
        <f t="shared" si="11"/>
        <v>111</v>
      </c>
      <c r="R33" s="703" t="s">
        <v>14</v>
      </c>
      <c r="S33" s="704">
        <f t="shared" si="12"/>
        <v>100</v>
      </c>
      <c r="T33" s="703" t="s">
        <v>14</v>
      </c>
      <c r="U33" s="704">
        <f t="shared" si="13"/>
        <v>100</v>
      </c>
      <c r="V33" s="703" t="s">
        <v>14</v>
      </c>
      <c r="W33" s="704">
        <f t="shared" si="14"/>
        <v>100</v>
      </c>
      <c r="X33" s="1351"/>
      <c r="Y33" s="3704"/>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30"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30"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39"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9" t="s">
        <v>1691</v>
      </c>
      <c r="Q15" s="1348" t="str">
        <f t="shared" si="6"/>
        <v>居住社区成熟度</v>
      </c>
      <c r="R15" s="703" t="s">
        <v>14</v>
      </c>
      <c r="S15" s="704">
        <f t="shared" si="0"/>
        <v>100</v>
      </c>
      <c r="T15" s="703" t="s">
        <v>14</v>
      </c>
      <c r="U15" s="704">
        <f t="shared" si="1"/>
        <v>100</v>
      </c>
      <c r="V15" s="703" t="s">
        <v>14</v>
      </c>
      <c r="W15" s="704">
        <f t="shared" si="2"/>
        <v>100</v>
      </c>
      <c r="X15" s="1351"/>
      <c r="Y15" s="369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0"/>
      <c r="Q17" s="1348" t="str">
        <f>B17</f>
        <v>商业繁华度</v>
      </c>
      <c r="R17" s="703" t="s">
        <v>14</v>
      </c>
      <c r="S17" s="704">
        <f>F17</f>
        <v>100</v>
      </c>
      <c r="T17" s="703" t="s">
        <v>14</v>
      </c>
      <c r="U17" s="704">
        <f>H17</f>
        <v>100</v>
      </c>
      <c r="V17" s="703" t="s">
        <v>14</v>
      </c>
      <c r="W17" s="704">
        <f>J17</f>
        <v>100</v>
      </c>
      <c r="X17" s="1351"/>
      <c r="Y17" s="370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0"/>
      <c r="Q19" s="1348" t="str">
        <f>B19</f>
        <v>办公集聚程度</v>
      </c>
      <c r="R19" s="703" t="s">
        <v>14</v>
      </c>
      <c r="S19" s="704">
        <f>F19</f>
        <v>100</v>
      </c>
      <c r="T19" s="703" t="s">
        <v>14</v>
      </c>
      <c r="U19" s="704">
        <f>H19</f>
        <v>100</v>
      </c>
      <c r="V19" s="703" t="s">
        <v>14</v>
      </c>
      <c r="W19" s="704">
        <f>J19</f>
        <v>100</v>
      </c>
      <c r="X19" s="1351"/>
      <c r="Y19" s="370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700"/>
      <c r="Q20" s="1348"/>
      <c r="R20" s="703"/>
      <c r="S20" s="704"/>
      <c r="T20" s="703"/>
      <c r="U20" s="704"/>
      <c r="V20" s="703"/>
      <c r="W20" s="704"/>
      <c r="X20" s="1351"/>
      <c r="Y20" s="3700"/>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0"/>
      <c r="Q21" s="1348" t="str">
        <f>B21</f>
        <v>交通便捷度</v>
      </c>
      <c r="R21" s="703" t="s">
        <v>14</v>
      </c>
      <c r="S21" s="704">
        <f>F21</f>
        <v>100</v>
      </c>
      <c r="T21" s="703" t="s">
        <v>14</v>
      </c>
      <c r="U21" s="704">
        <f>H21</f>
        <v>100</v>
      </c>
      <c r="V21" s="703" t="s">
        <v>14</v>
      </c>
      <c r="W21" s="704">
        <f>J21</f>
        <v>100</v>
      </c>
      <c r="X21" s="1351"/>
      <c r="Y21" s="370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0"/>
      <c r="Q23" s="1348" t="str">
        <f t="shared" ref="Q23:Q37" si="8">B23</f>
        <v>区域土地利用方向</v>
      </c>
      <c r="R23" s="703" t="s">
        <v>14</v>
      </c>
      <c r="S23" s="704">
        <f>F23</f>
        <v>100</v>
      </c>
      <c r="T23" s="703" t="s">
        <v>14</v>
      </c>
      <c r="U23" s="704">
        <f>H23</f>
        <v>100</v>
      </c>
      <c r="V23" s="703" t="s">
        <v>14</v>
      </c>
      <c r="W23" s="704">
        <f>J23</f>
        <v>100</v>
      </c>
      <c r="X23" s="1351"/>
      <c r="Y23" s="370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700"/>
      <c r="Q24" s="1348"/>
      <c r="R24" s="703"/>
      <c r="S24" s="704"/>
      <c r="T24" s="703"/>
      <c r="U24" s="704"/>
      <c r="V24" s="703"/>
      <c r="W24" s="704"/>
      <c r="X24" s="1351"/>
      <c r="Y24" s="3700"/>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0"/>
      <c r="Q25" s="1348" t="str">
        <f t="shared" si="8"/>
        <v>自然及人文环境状况</v>
      </c>
      <c r="R25" s="703" t="s">
        <v>14</v>
      </c>
      <c r="S25" s="704">
        <f>F25</f>
        <v>100</v>
      </c>
      <c r="T25" s="703" t="s">
        <v>14</v>
      </c>
      <c r="U25" s="704">
        <f>H25</f>
        <v>100</v>
      </c>
      <c r="V25" s="703" t="s">
        <v>14</v>
      </c>
      <c r="W25" s="704">
        <f>J25</f>
        <v>100</v>
      </c>
      <c r="X25" s="1351"/>
      <c r="Y25" s="370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700"/>
      <c r="Q26" s="1348"/>
      <c r="R26" s="703"/>
      <c r="S26" s="704"/>
      <c r="T26" s="703"/>
      <c r="U26" s="704"/>
      <c r="V26" s="703"/>
      <c r="W26" s="704"/>
      <c r="X26" s="1351"/>
      <c r="Y26" s="3700"/>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0"/>
      <c r="Q27" s="1339" t="str">
        <f t="shared" si="8"/>
        <v>公共配套设施</v>
      </c>
      <c r="R27" s="699" t="s">
        <v>14</v>
      </c>
      <c r="S27" s="700">
        <f>F27</f>
        <v>100</v>
      </c>
      <c r="T27" s="699" t="s">
        <v>14</v>
      </c>
      <c r="U27" s="700">
        <f>H27</f>
        <v>100</v>
      </c>
      <c r="V27" s="699" t="s">
        <v>14</v>
      </c>
      <c r="W27" s="700">
        <f>J27</f>
        <v>100</v>
      </c>
      <c r="X27" s="701"/>
      <c r="Y27" s="3700"/>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700"/>
      <c r="Q28" s="1339"/>
      <c r="R28" s="699"/>
      <c r="S28" s="700"/>
      <c r="T28" s="699"/>
      <c r="U28" s="700"/>
      <c r="V28" s="699"/>
      <c r="W28" s="700"/>
      <c r="X28" s="701"/>
      <c r="Y28" s="3700"/>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0"/>
      <c r="Q29" s="1339" t="str">
        <f t="shared" ref="Q29" si="9">B29</f>
        <v>基础设施水平</v>
      </c>
      <c r="R29" s="699" t="s">
        <v>14</v>
      </c>
      <c r="S29" s="700">
        <f>F29</f>
        <v>100</v>
      </c>
      <c r="T29" s="699" t="s">
        <v>14</v>
      </c>
      <c r="U29" s="700">
        <f>H29</f>
        <v>100</v>
      </c>
      <c r="V29" s="699" t="s">
        <v>14</v>
      </c>
      <c r="W29" s="700">
        <f>J29</f>
        <v>100</v>
      </c>
      <c r="X29" s="701"/>
      <c r="Y29" s="3700"/>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700"/>
      <c r="Q30" s="1339"/>
      <c r="R30" s="699"/>
      <c r="S30" s="700"/>
      <c r="T30" s="699"/>
      <c r="U30" s="700"/>
      <c r="V30" s="699"/>
      <c r="W30" s="700"/>
      <c r="X30" s="701"/>
      <c r="Y30" s="370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0"/>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0"/>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0"/>
      <c r="Q32" s="1348" t="str">
        <f t="shared" si="8"/>
        <v>毗邻道路的类型与等级</v>
      </c>
      <c r="R32" s="703" t="s">
        <v>14</v>
      </c>
      <c r="S32" s="704">
        <f t="shared" si="10"/>
        <v>100</v>
      </c>
      <c r="T32" s="703" t="s">
        <v>14</v>
      </c>
      <c r="U32" s="704">
        <f t="shared" si="11"/>
        <v>100</v>
      </c>
      <c r="V32" s="703" t="s">
        <v>14</v>
      </c>
      <c r="W32" s="704">
        <f t="shared" si="12"/>
        <v>100</v>
      </c>
      <c r="X32" s="1351"/>
      <c r="Y32" s="370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700"/>
      <c r="Q33" s="1348"/>
      <c r="R33" s="703"/>
      <c r="S33" s="704"/>
      <c r="T33" s="703"/>
      <c r="U33" s="704"/>
      <c r="V33" s="703"/>
      <c r="W33" s="704"/>
      <c r="X33" s="1351"/>
      <c r="Y33" s="370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0"/>
      <c r="Q34" s="1348" t="str">
        <f t="shared" si="8"/>
        <v>土地级别</v>
      </c>
      <c r="R34" s="703" t="s">
        <v>14</v>
      </c>
      <c r="S34" s="704">
        <f t="shared" si="10"/>
        <v>100</v>
      </c>
      <c r="T34" s="703" t="s">
        <v>14</v>
      </c>
      <c r="U34" s="704">
        <f t="shared" si="11"/>
        <v>100</v>
      </c>
      <c r="V34" s="703" t="s">
        <v>14</v>
      </c>
      <c r="W34" s="704">
        <f t="shared" si="12"/>
        <v>100</v>
      </c>
      <c r="X34" s="1351"/>
      <c r="Y34" s="370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0"/>
      <c r="Q35" s="1348">
        <f t="shared" si="8"/>
        <v>111</v>
      </c>
      <c r="R35" s="703" t="s">
        <v>14</v>
      </c>
      <c r="S35" s="704">
        <f t="shared" si="10"/>
        <v>100</v>
      </c>
      <c r="T35" s="703" t="s">
        <v>14</v>
      </c>
      <c r="U35" s="704">
        <f t="shared" si="11"/>
        <v>100</v>
      </c>
      <c r="V35" s="703" t="s">
        <v>14</v>
      </c>
      <c r="W35" s="704">
        <f t="shared" si="12"/>
        <v>100</v>
      </c>
      <c r="X35" s="1351"/>
      <c r="Y35" s="370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704"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4"/>
      <c r="Q37" s="1348">
        <f t="shared" si="8"/>
        <v>111</v>
      </c>
      <c r="R37" s="706" t="s">
        <v>14</v>
      </c>
      <c r="S37" s="707">
        <f t="shared" si="10"/>
        <v>100</v>
      </c>
      <c r="T37" s="706" t="s">
        <v>14</v>
      </c>
      <c r="U37" s="707">
        <f t="shared" si="11"/>
        <v>100</v>
      </c>
      <c r="V37" s="706" t="s">
        <v>14</v>
      </c>
      <c r="W37" s="707">
        <f t="shared" si="12"/>
        <v>100</v>
      </c>
      <c r="X37" s="708"/>
      <c r="Y37" s="3704"/>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4"/>
      <c r="Q38" s="1348" t="str">
        <f>B38</f>
        <v>宗地面积</v>
      </c>
      <c r="R38" s="703" t="s">
        <v>14</v>
      </c>
      <c r="S38" s="704" t="e">
        <f t="shared" si="10"/>
        <v>#N/A</v>
      </c>
      <c r="T38" s="703" t="s">
        <v>14</v>
      </c>
      <c r="U38" s="704" t="e">
        <f t="shared" si="11"/>
        <v>#N/A</v>
      </c>
      <c r="V38" s="703" t="s">
        <v>14</v>
      </c>
      <c r="W38" s="704" t="e">
        <f t="shared" si="12"/>
        <v>#N/A</v>
      </c>
      <c r="X38" s="1351"/>
      <c r="Y38" s="370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704"/>
      <c r="Q39" s="1348" t="str">
        <f t="shared" ref="Q39:Q45" si="14">B39</f>
        <v>宗地形状</v>
      </c>
      <c r="R39" s="703" t="s">
        <v>14</v>
      </c>
      <c r="S39" s="704">
        <f t="shared" si="10"/>
        <v>100</v>
      </c>
      <c r="T39" s="703" t="s">
        <v>14</v>
      </c>
      <c r="U39" s="704">
        <f t="shared" si="11"/>
        <v>100</v>
      </c>
      <c r="V39" s="703" t="s">
        <v>14</v>
      </c>
      <c r="W39" s="704">
        <f t="shared" si="12"/>
        <v>100</v>
      </c>
      <c r="X39" s="1351"/>
      <c r="Y39" s="370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704"/>
      <c r="Q40" s="1348" t="str">
        <f t="shared" si="14"/>
        <v>临街宽度及深度</v>
      </c>
      <c r="R40" s="703" t="s">
        <v>14</v>
      </c>
      <c r="S40" s="704">
        <f t="shared" si="10"/>
        <v>100</v>
      </c>
      <c r="T40" s="703" t="s">
        <v>14</v>
      </c>
      <c r="U40" s="704">
        <f t="shared" si="11"/>
        <v>100</v>
      </c>
      <c r="V40" s="703" t="s">
        <v>14</v>
      </c>
      <c r="W40" s="704">
        <f t="shared" si="12"/>
        <v>100</v>
      </c>
      <c r="X40" s="1351"/>
      <c r="Y40" s="3704"/>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04"/>
      <c r="Q41" s="1348"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704" t="s">
        <v>1696</v>
      </c>
      <c r="Q42" s="1348" t="str">
        <f t="shared" si="14"/>
        <v>工程地质条件</v>
      </c>
      <c r="R42" s="703" t="s">
        <v>14</v>
      </c>
      <c r="S42" s="704">
        <f t="shared" si="10"/>
        <v>100</v>
      </c>
      <c r="T42" s="703" t="s">
        <v>14</v>
      </c>
      <c r="U42" s="704">
        <f t="shared" si="11"/>
        <v>100</v>
      </c>
      <c r="V42" s="703" t="s">
        <v>14</v>
      </c>
      <c r="W42" s="704">
        <f t="shared" si="12"/>
        <v>100</v>
      </c>
      <c r="X42" s="1351"/>
      <c r="Y42" s="370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4"/>
      <c r="Q43" s="1348">
        <f t="shared" si="14"/>
        <v>111</v>
      </c>
      <c r="R43" s="703" t="s">
        <v>14</v>
      </c>
      <c r="S43" s="704">
        <f t="shared" si="10"/>
        <v>100</v>
      </c>
      <c r="T43" s="703" t="s">
        <v>14</v>
      </c>
      <c r="U43" s="704">
        <f t="shared" si="11"/>
        <v>100</v>
      </c>
      <c r="V43" s="703" t="s">
        <v>14</v>
      </c>
      <c r="W43" s="704">
        <f t="shared" si="12"/>
        <v>100</v>
      </c>
      <c r="X43" s="1351"/>
      <c r="Y43" s="370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4"/>
      <c r="Q44" s="1348">
        <f t="shared" si="14"/>
        <v>111</v>
      </c>
      <c r="R44" s="703" t="s">
        <v>14</v>
      </c>
      <c r="S44" s="704">
        <f t="shared" si="10"/>
        <v>100</v>
      </c>
      <c r="T44" s="703" t="s">
        <v>14</v>
      </c>
      <c r="U44" s="704">
        <f t="shared" si="11"/>
        <v>100</v>
      </c>
      <c r="V44" s="703" t="s">
        <v>14</v>
      </c>
      <c r="W44" s="704">
        <f t="shared" si="12"/>
        <v>100</v>
      </c>
      <c r="X44" s="1351"/>
      <c r="Y44" s="3704"/>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4"/>
      <c r="Q45" s="1348">
        <f t="shared" si="14"/>
        <v>111</v>
      </c>
      <c r="R45" s="706" t="s">
        <v>14</v>
      </c>
      <c r="S45" s="707">
        <f t="shared" si="10"/>
        <v>100</v>
      </c>
      <c r="T45" s="706" t="s">
        <v>14</v>
      </c>
      <c r="U45" s="707">
        <f t="shared" si="11"/>
        <v>100</v>
      </c>
      <c r="V45" s="706" t="s">
        <v>14</v>
      </c>
      <c r="W45" s="707">
        <f t="shared" si="12"/>
        <v>100</v>
      </c>
      <c r="X45" s="708"/>
      <c r="Y45" s="3704"/>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706" t="str">
        <f>A46</f>
        <v>成交单价</v>
      </c>
      <c r="Q46" s="3706"/>
      <c r="R46" s="3688">
        <f>E46</f>
        <v>0</v>
      </c>
      <c r="S46" s="3688"/>
      <c r="T46" s="3688">
        <f>G46</f>
        <v>0</v>
      </c>
      <c r="U46" s="3688"/>
      <c r="V46" s="3688">
        <f>I46</f>
        <v>0</v>
      </c>
      <c r="W46" s="3688"/>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06" t="str">
        <f>A47</f>
        <v>比较价值（元/平方米）</v>
      </c>
      <c r="Q47" s="3706"/>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9" t="str">
        <f>A48</f>
        <v>估价对象XX用房的比较价值（楼面单价，元/平方米）</v>
      </c>
      <c r="Q48" s="3750"/>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6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96"/>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0"/>
      <c r="Q19" s="1348" t="str">
        <f t="shared" ref="Q19:Q33" si="8">B19</f>
        <v>区域土地利用方向</v>
      </c>
      <c r="R19" s="703" t="s">
        <v>14</v>
      </c>
      <c r="S19" s="704">
        <f>F19</f>
        <v>100</v>
      </c>
      <c r="T19" s="703" t="s">
        <v>14</v>
      </c>
      <c r="U19" s="704">
        <f>H19</f>
        <v>100</v>
      </c>
      <c r="V19" s="703" t="s">
        <v>14</v>
      </c>
      <c r="W19" s="704">
        <f>J19</f>
        <v>100</v>
      </c>
      <c r="X19" s="1351"/>
      <c r="Y19" s="370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700"/>
      <c r="Q20" s="1348"/>
      <c r="R20" s="703"/>
      <c r="S20" s="704"/>
      <c r="T20" s="703"/>
      <c r="U20" s="704"/>
      <c r="V20" s="703"/>
      <c r="W20" s="704"/>
      <c r="X20" s="1351"/>
      <c r="Y20" s="3700"/>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0"/>
      <c r="Q21" s="1348" t="str">
        <f t="shared" si="8"/>
        <v>环境状况</v>
      </c>
      <c r="R21" s="703" t="s">
        <v>14</v>
      </c>
      <c r="S21" s="704">
        <f>F21</f>
        <v>100</v>
      </c>
      <c r="T21" s="703" t="s">
        <v>14</v>
      </c>
      <c r="U21" s="704">
        <f>H21</f>
        <v>100</v>
      </c>
      <c r="V21" s="703" t="s">
        <v>14</v>
      </c>
      <c r="W21" s="704">
        <f>J21</f>
        <v>100</v>
      </c>
      <c r="X21" s="1351"/>
      <c r="Y21" s="370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0"/>
      <c r="Q23" s="1339" t="str">
        <f t="shared" si="8"/>
        <v>公共配套设施</v>
      </c>
      <c r="R23" s="699" t="s">
        <v>14</v>
      </c>
      <c r="S23" s="700">
        <f>F23</f>
        <v>100</v>
      </c>
      <c r="T23" s="699" t="s">
        <v>14</v>
      </c>
      <c r="U23" s="700">
        <f>H23</f>
        <v>100</v>
      </c>
      <c r="V23" s="699" t="s">
        <v>14</v>
      </c>
      <c r="W23" s="700">
        <f>J23</f>
        <v>100</v>
      </c>
      <c r="X23" s="701"/>
      <c r="Y23" s="3700"/>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700"/>
      <c r="Q24" s="1339"/>
      <c r="R24" s="699"/>
      <c r="S24" s="700"/>
      <c r="T24" s="699"/>
      <c r="U24" s="700"/>
      <c r="V24" s="699"/>
      <c r="W24" s="700"/>
      <c r="X24" s="701"/>
      <c r="Y24" s="3700"/>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0"/>
      <c r="Q25" s="1339" t="str">
        <f t="shared" ref="Q25" si="9">B25</f>
        <v>基础设施水平</v>
      </c>
      <c r="R25" s="699" t="s">
        <v>14</v>
      </c>
      <c r="S25" s="700">
        <f>F25</f>
        <v>100</v>
      </c>
      <c r="T25" s="699" t="s">
        <v>14</v>
      </c>
      <c r="U25" s="700">
        <f>H25</f>
        <v>100</v>
      </c>
      <c r="V25" s="699" t="s">
        <v>14</v>
      </c>
      <c r="W25" s="700">
        <f>J25</f>
        <v>100</v>
      </c>
      <c r="X25" s="701"/>
      <c r="Y25" s="3700"/>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700"/>
      <c r="Q26" s="1339"/>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0"/>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0"/>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0"/>
      <c r="Q28" s="1348" t="str">
        <f t="shared" si="8"/>
        <v>毗邻道路的类型与等级</v>
      </c>
      <c r="R28" s="703" t="s">
        <v>14</v>
      </c>
      <c r="S28" s="704">
        <f t="shared" si="10"/>
        <v>100</v>
      </c>
      <c r="T28" s="703" t="s">
        <v>14</v>
      </c>
      <c r="U28" s="704">
        <f t="shared" si="11"/>
        <v>100</v>
      </c>
      <c r="V28" s="703" t="s">
        <v>14</v>
      </c>
      <c r="W28" s="704">
        <f t="shared" si="12"/>
        <v>100</v>
      </c>
      <c r="X28" s="1351"/>
      <c r="Y28" s="370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700"/>
      <c r="Q29" s="1348"/>
      <c r="R29" s="703"/>
      <c r="S29" s="704"/>
      <c r="T29" s="703"/>
      <c r="U29" s="704"/>
      <c r="V29" s="703"/>
      <c r="W29" s="704"/>
      <c r="X29" s="1351"/>
      <c r="Y29" s="370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0"/>
      <c r="Q30" s="1348" t="str">
        <f t="shared" si="8"/>
        <v>土地级别</v>
      </c>
      <c r="R30" s="703" t="s">
        <v>14</v>
      </c>
      <c r="S30" s="704">
        <f t="shared" si="10"/>
        <v>100</v>
      </c>
      <c r="T30" s="703" t="s">
        <v>14</v>
      </c>
      <c r="U30" s="704">
        <f t="shared" si="11"/>
        <v>100</v>
      </c>
      <c r="V30" s="703" t="s">
        <v>14</v>
      </c>
      <c r="W30" s="704">
        <f t="shared" si="12"/>
        <v>100</v>
      </c>
      <c r="X30" s="1351"/>
      <c r="Y30" s="3700"/>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0"/>
      <c r="Q31" s="1348">
        <f t="shared" si="8"/>
        <v>111</v>
      </c>
      <c r="R31" s="703" t="s">
        <v>14</v>
      </c>
      <c r="S31" s="704">
        <f t="shared" si="10"/>
        <v>100</v>
      </c>
      <c r="T31" s="703" t="s">
        <v>14</v>
      </c>
      <c r="U31" s="704">
        <f t="shared" si="11"/>
        <v>100</v>
      </c>
      <c r="V31" s="703" t="s">
        <v>14</v>
      </c>
      <c r="W31" s="704">
        <f t="shared" si="12"/>
        <v>100</v>
      </c>
      <c r="X31" s="1351"/>
      <c r="Y31" s="3700"/>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704"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4"/>
      <c r="Q33" s="1348">
        <f t="shared" si="8"/>
        <v>111</v>
      </c>
      <c r="R33" s="706" t="s">
        <v>14</v>
      </c>
      <c r="S33" s="707">
        <f t="shared" si="10"/>
        <v>100</v>
      </c>
      <c r="T33" s="706" t="s">
        <v>14</v>
      </c>
      <c r="U33" s="707">
        <f t="shared" si="11"/>
        <v>100</v>
      </c>
      <c r="V33" s="706" t="s">
        <v>14</v>
      </c>
      <c r="W33" s="707">
        <f t="shared" si="12"/>
        <v>100</v>
      </c>
      <c r="X33" s="708"/>
      <c r="Y33" s="3704"/>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4"/>
      <c r="Q34" s="1348" t="str">
        <f>B34</f>
        <v>宗地面积</v>
      </c>
      <c r="R34" s="703" t="s">
        <v>14</v>
      </c>
      <c r="S34" s="704" t="e">
        <f t="shared" si="10"/>
        <v>#N/A</v>
      </c>
      <c r="T34" s="703" t="s">
        <v>14</v>
      </c>
      <c r="U34" s="704" t="e">
        <f t="shared" si="11"/>
        <v>#N/A</v>
      </c>
      <c r="V34" s="703" t="s">
        <v>14</v>
      </c>
      <c r="W34" s="704" t="e">
        <f t="shared" si="12"/>
        <v>#N/A</v>
      </c>
      <c r="X34" s="1351"/>
      <c r="Y34" s="370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704"/>
      <c r="Q35" s="1348" t="str">
        <f t="shared" ref="Q35:Q40" si="14">B35</f>
        <v>宗地形状</v>
      </c>
      <c r="R35" s="703" t="s">
        <v>14</v>
      </c>
      <c r="S35" s="704">
        <f t="shared" si="10"/>
        <v>100</v>
      </c>
      <c r="T35" s="703" t="s">
        <v>14</v>
      </c>
      <c r="U35" s="704">
        <f t="shared" si="11"/>
        <v>100</v>
      </c>
      <c r="V35" s="703" t="s">
        <v>14</v>
      </c>
      <c r="W35" s="704">
        <f t="shared" si="12"/>
        <v>100</v>
      </c>
      <c r="X35" s="1351"/>
      <c r="Y35" s="3704"/>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04"/>
      <c r="Q36" s="1348"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704" t="s">
        <v>1696</v>
      </c>
      <c r="Q37" s="1348" t="str">
        <f t="shared" si="14"/>
        <v>工程地质条件</v>
      </c>
      <c r="R37" s="703" t="s">
        <v>14</v>
      </c>
      <c r="S37" s="704">
        <f t="shared" si="10"/>
        <v>100</v>
      </c>
      <c r="T37" s="703" t="s">
        <v>14</v>
      </c>
      <c r="U37" s="704">
        <f t="shared" si="11"/>
        <v>100</v>
      </c>
      <c r="V37" s="703" t="s">
        <v>14</v>
      </c>
      <c r="W37" s="704">
        <f t="shared" si="12"/>
        <v>100</v>
      </c>
      <c r="X37" s="1351"/>
      <c r="Y37" s="370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4"/>
      <c r="Q38" s="1348">
        <f t="shared" si="14"/>
        <v>111</v>
      </c>
      <c r="R38" s="703" t="s">
        <v>14</v>
      </c>
      <c r="S38" s="704">
        <f t="shared" si="10"/>
        <v>100</v>
      </c>
      <c r="T38" s="703" t="s">
        <v>14</v>
      </c>
      <c r="U38" s="704">
        <f t="shared" si="11"/>
        <v>100</v>
      </c>
      <c r="V38" s="703" t="s">
        <v>14</v>
      </c>
      <c r="W38" s="704">
        <f t="shared" si="12"/>
        <v>100</v>
      </c>
      <c r="X38" s="1351"/>
      <c r="Y38" s="370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4"/>
      <c r="Q39" s="1348">
        <f t="shared" si="14"/>
        <v>111</v>
      </c>
      <c r="R39" s="703" t="s">
        <v>14</v>
      </c>
      <c r="S39" s="704">
        <f t="shared" si="10"/>
        <v>100</v>
      </c>
      <c r="T39" s="703" t="s">
        <v>14</v>
      </c>
      <c r="U39" s="704">
        <f t="shared" si="11"/>
        <v>100</v>
      </c>
      <c r="V39" s="703" t="s">
        <v>14</v>
      </c>
      <c r="W39" s="704">
        <f t="shared" si="12"/>
        <v>100</v>
      </c>
      <c r="X39" s="1351"/>
      <c r="Y39" s="3704"/>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4"/>
      <c r="Q40" s="1348">
        <f t="shared" si="14"/>
        <v>111</v>
      </c>
      <c r="R40" s="706" t="s">
        <v>14</v>
      </c>
      <c r="S40" s="707">
        <f t="shared" si="10"/>
        <v>100</v>
      </c>
      <c r="T40" s="706" t="s">
        <v>14</v>
      </c>
      <c r="U40" s="707">
        <f t="shared" si="11"/>
        <v>100</v>
      </c>
      <c r="V40" s="706" t="s">
        <v>14</v>
      </c>
      <c r="W40" s="707">
        <f t="shared" si="12"/>
        <v>100</v>
      </c>
      <c r="X40" s="708"/>
      <c r="Y40" s="3704"/>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706" t="str">
        <f>A41</f>
        <v>成交单价</v>
      </c>
      <c r="Q41" s="3706"/>
      <c r="R41" s="3688">
        <f>E41</f>
        <v>0</v>
      </c>
      <c r="S41" s="3688"/>
      <c r="T41" s="3688">
        <f>G41</f>
        <v>0</v>
      </c>
      <c r="U41" s="3688"/>
      <c r="V41" s="3688">
        <f>I41</f>
        <v>0</v>
      </c>
      <c r="W41" s="3688"/>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06" t="str">
        <f>A42</f>
        <v>比较价值（元/平方米）</v>
      </c>
      <c r="Q42" s="370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9" t="str">
        <f>A43</f>
        <v>估价对象XX用房的比较价值（楼面单价，元/平方米）</v>
      </c>
      <c r="Q43" s="3750"/>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6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96"/>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96" sqref="M96"/>
      <selection pane="bottomLeft" activeCell="M96" sqref="M9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24283</v>
      </c>
      <c r="S22" s="21">
        <f ca="1">SUM(S24:S10000)</f>
        <v>2181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23395</v>
      </c>
      <c r="S24" s="664">
        <f t="shared" ref="S24:S54" ca="1" si="11">ROUND(R24*B24/10000,0)</f>
        <v>145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25056</v>
      </c>
      <c r="S25" s="316">
        <f t="shared" ca="1" si="11"/>
        <v>279</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24565</v>
      </c>
      <c r="S26" s="316">
        <f t="shared" ca="1" si="11"/>
        <v>152</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24565</v>
      </c>
      <c r="S27" s="316">
        <f t="shared" ca="1" si="11"/>
        <v>152</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24073</v>
      </c>
      <c r="S28" s="316">
        <f t="shared" ca="1" si="11"/>
        <v>143</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23573</v>
      </c>
      <c r="S29" s="316">
        <f t="shared" ca="1" si="11"/>
        <v>257</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23863</v>
      </c>
      <c r="S30" s="316">
        <f t="shared" ca="1" si="11"/>
        <v>290</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24565</v>
      </c>
      <c r="S31" s="316">
        <f t="shared" ca="1" si="11"/>
        <v>152</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25056</v>
      </c>
      <c r="S32" s="316">
        <f t="shared" ca="1" si="11"/>
        <v>155</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24565</v>
      </c>
      <c r="S33" s="316">
        <f t="shared" ca="1" si="11"/>
        <v>152</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24565</v>
      </c>
      <c r="S34" s="316">
        <f t="shared" ca="1" si="11"/>
        <v>152</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24565</v>
      </c>
      <c r="S35" s="316">
        <f t="shared" ca="1" si="11"/>
        <v>152</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75">
      <c r="A3" s="2140" t="s">
        <v>2076</v>
      </c>
      <c r="B3" s="2596">
        <f ca="1">ROUND(B2*10000/E2,0)</f>
        <v>10959</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M96" sqref="M96"/>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145</v>
      </c>
      <c r="E5" s="1487"/>
    </row>
    <row r="6" spans="1:5" ht="15.75">
      <c r="A6" s="1487"/>
      <c r="B6" s="3477"/>
      <c r="C6" s="1490" t="s">
        <v>911</v>
      </c>
      <c r="D6" s="848" t="str">
        <f ca="1">NUMBERSTRING(INT(D5*10000),2)&amp;"元整"</f>
        <v>壹佰肆拾伍万元整</v>
      </c>
      <c r="E6" s="1487"/>
    </row>
    <row r="7" spans="1:5" ht="15.75">
      <c r="A7" s="1487"/>
      <c r="B7" s="3482"/>
      <c r="C7" s="1491" t="s">
        <v>912</v>
      </c>
      <c r="D7" s="849">
        <f ca="1">结果表!H102</f>
        <v>23395</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145</v>
      </c>
      <c r="E13" s="1487"/>
    </row>
    <row r="14" spans="1:5" ht="15.75">
      <c r="A14" s="1487"/>
      <c r="B14" s="3477"/>
      <c r="C14" s="1490" t="s">
        <v>911</v>
      </c>
      <c r="D14" s="848" t="str">
        <f ca="1">NUMBERSTRING(INT(D13*10000),2)&amp;"元整"</f>
        <v>壹佰肆拾伍万元整</v>
      </c>
      <c r="E14" s="1487"/>
    </row>
    <row r="15" spans="1:5" ht="15">
      <c r="A15" s="1487"/>
      <c r="B15" s="3482"/>
      <c r="C15" s="1491" t="s">
        <v>921</v>
      </c>
      <c r="D15" s="857">
        <f ca="1">结果表!H108</f>
        <v>23395</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3" t="s">
        <v>2611</v>
      </c>
      <c r="B20" s="3786" t="s">
        <v>2632</v>
      </c>
      <c r="C20" s="3097" t="s">
        <v>2443</v>
      </c>
      <c r="D20" s="3098"/>
      <c r="E20" s="3099">
        <v>1</v>
      </c>
      <c r="F20" s="3100" t="s">
        <v>2444</v>
      </c>
      <c r="G20" s="3100"/>
    </row>
    <row r="21" spans="1:13" ht="19.5" customHeight="1">
      <c r="A21" s="3794"/>
      <c r="B21" s="3787"/>
      <c r="C21" s="3101" t="s">
        <v>2445</v>
      </c>
      <c r="D21" s="3102"/>
      <c r="E21" s="3103">
        <v>1</v>
      </c>
      <c r="F21" s="3100" t="s">
        <v>2446</v>
      </c>
      <c r="G21" s="3100"/>
    </row>
    <row r="22" spans="1:13" ht="19.5" customHeight="1">
      <c r="A22" s="3794"/>
      <c r="B22" s="3787"/>
      <c r="C22" s="3101" t="s">
        <v>2447</v>
      </c>
      <c r="D22" s="3102"/>
      <c r="E22" s="3103">
        <v>0.9</v>
      </c>
      <c r="F22" s="3100" t="s">
        <v>2448</v>
      </c>
      <c r="G22" s="3100"/>
    </row>
    <row r="23" spans="1:13" ht="19.5" customHeight="1">
      <c r="A23" s="3794"/>
      <c r="B23" s="3787"/>
      <c r="C23" s="3101" t="s">
        <v>2449</v>
      </c>
      <c r="D23" s="3102"/>
      <c r="E23" s="3103">
        <v>0.9</v>
      </c>
      <c r="F23" s="3100" t="s">
        <v>2450</v>
      </c>
      <c r="G23" s="3100"/>
    </row>
    <row r="24" spans="1:13" ht="19.5" customHeight="1">
      <c r="A24" s="3794"/>
      <c r="B24" s="3787"/>
      <c r="C24" s="3101" t="s">
        <v>2451</v>
      </c>
      <c r="D24" s="3102"/>
      <c r="E24" s="3103">
        <v>0.8</v>
      </c>
      <c r="F24" s="3100" t="s">
        <v>2452</v>
      </c>
      <c r="G24" s="3100"/>
    </row>
    <row r="25" spans="1:13" ht="19.5" customHeight="1" thickBot="1">
      <c r="A25" s="3795"/>
      <c r="B25" s="3788"/>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89" t="s">
        <v>2635</v>
      </c>
      <c r="B27" s="3786" t="s">
        <v>2616</v>
      </c>
      <c r="C27" s="3097" t="s">
        <v>2456</v>
      </c>
      <c r="D27" s="3098"/>
      <c r="E27" s="3099">
        <v>1</v>
      </c>
      <c r="F27" s="3100" t="s">
        <v>2457</v>
      </c>
      <c r="G27" s="3100"/>
    </row>
    <row r="28" spans="1:13" ht="19.5" customHeight="1">
      <c r="A28" s="3790"/>
      <c r="B28" s="3787"/>
      <c r="C28" s="3101" t="s">
        <v>2458</v>
      </c>
      <c r="D28" s="3102"/>
      <c r="E28" s="3103">
        <v>1</v>
      </c>
      <c r="F28" s="3100" t="s">
        <v>2459</v>
      </c>
      <c r="G28" s="3100"/>
    </row>
    <row r="29" spans="1:13" ht="19.5" customHeight="1">
      <c r="A29" s="3790"/>
      <c r="B29" s="3787"/>
      <c r="C29" s="3101" t="s">
        <v>2460</v>
      </c>
      <c r="D29" s="3102"/>
      <c r="E29" s="3103">
        <v>0.8</v>
      </c>
      <c r="F29" s="3100" t="s">
        <v>2461</v>
      </c>
      <c r="G29" s="3100"/>
    </row>
    <row r="30" spans="1:13" ht="19.5" customHeight="1">
      <c r="A30" s="3790"/>
      <c r="B30" s="3787"/>
      <c r="C30" s="3101" t="s">
        <v>2462</v>
      </c>
      <c r="D30" s="3102"/>
      <c r="E30" s="3103">
        <v>0.8</v>
      </c>
      <c r="F30" s="3100" t="s">
        <v>2463</v>
      </c>
      <c r="G30" s="3100"/>
    </row>
    <row r="31" spans="1:13" ht="19.5" customHeight="1">
      <c r="A31" s="3790"/>
      <c r="B31" s="3787"/>
      <c r="C31" s="3101" t="s">
        <v>2464</v>
      </c>
      <c r="D31" s="3102"/>
      <c r="E31" s="3103">
        <v>0.8</v>
      </c>
      <c r="F31" s="3100" t="s">
        <v>2465</v>
      </c>
      <c r="G31" s="3100"/>
    </row>
    <row r="32" spans="1:13" ht="19.5" customHeight="1">
      <c r="A32" s="3790"/>
      <c r="B32" s="3787"/>
      <c r="C32" s="3101" t="s">
        <v>2466</v>
      </c>
      <c r="D32" s="3102"/>
      <c r="E32" s="3103">
        <v>0.7</v>
      </c>
      <c r="F32" s="3100" t="s">
        <v>2467</v>
      </c>
      <c r="G32" s="3100"/>
    </row>
    <row r="33" spans="1:7" ht="19.5" customHeight="1">
      <c r="A33" s="3790"/>
      <c r="B33" s="3787"/>
      <c r="C33" s="3101" t="s">
        <v>2468</v>
      </c>
      <c r="D33" s="3102"/>
      <c r="E33" s="3103">
        <v>0.8</v>
      </c>
      <c r="F33" s="3100" t="s">
        <v>2469</v>
      </c>
      <c r="G33" s="3100"/>
    </row>
    <row r="34" spans="1:7" ht="19.5" customHeight="1">
      <c r="A34" s="3790"/>
      <c r="B34" s="3787"/>
      <c r="C34" s="3101" t="s">
        <v>2470</v>
      </c>
      <c r="D34" s="3102"/>
      <c r="E34" s="3103">
        <v>0.6</v>
      </c>
      <c r="F34" s="3100" t="s">
        <v>2471</v>
      </c>
      <c r="G34" s="3100"/>
    </row>
    <row r="35" spans="1:7" ht="19.5" customHeight="1">
      <c r="A35" s="3790"/>
      <c r="B35" s="3787"/>
      <c r="C35" s="3101" t="s">
        <v>2472</v>
      </c>
      <c r="D35" s="3102"/>
      <c r="E35" s="3103">
        <v>0.2</v>
      </c>
      <c r="F35" s="3100" t="s">
        <v>2473</v>
      </c>
      <c r="G35" s="3100"/>
    </row>
    <row r="36" spans="1:7" ht="19.5" customHeight="1">
      <c r="A36" s="3790"/>
      <c r="B36" s="3787"/>
      <c r="C36" s="3101" t="s">
        <v>2474</v>
      </c>
      <c r="D36" s="3102"/>
      <c r="E36" s="3103">
        <v>0.2</v>
      </c>
      <c r="F36" s="3100" t="s">
        <v>2475</v>
      </c>
      <c r="G36" s="3100"/>
    </row>
    <row r="37" spans="1:7" ht="19.5" customHeight="1">
      <c r="A37" s="3790"/>
      <c r="B37" s="3792" t="s">
        <v>2636</v>
      </c>
      <c r="C37" s="3101" t="s">
        <v>2476</v>
      </c>
      <c r="D37" s="3102"/>
      <c r="E37" s="3103">
        <v>0.6</v>
      </c>
      <c r="F37" s="3100" t="s">
        <v>2477</v>
      </c>
      <c r="G37" s="3100"/>
    </row>
    <row r="38" spans="1:7" ht="19.5" customHeight="1">
      <c r="A38" s="3790"/>
      <c r="B38" s="3787"/>
      <c r="C38" s="3101" t="s">
        <v>2478</v>
      </c>
      <c r="D38" s="3102"/>
      <c r="E38" s="3103">
        <v>0.6</v>
      </c>
      <c r="F38" s="3100" t="s">
        <v>2479</v>
      </c>
      <c r="G38" s="3100"/>
    </row>
    <row r="39" spans="1:7" ht="19.5" customHeight="1" thickBot="1">
      <c r="A39" s="3791"/>
      <c r="B39" s="3788"/>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3" t="s">
        <v>2614</v>
      </c>
      <c r="B41" s="3786" t="s">
        <v>2638</v>
      </c>
      <c r="C41" s="3097" t="s">
        <v>2483</v>
      </c>
      <c r="D41" s="3098"/>
      <c r="E41" s="3099">
        <v>1</v>
      </c>
      <c r="F41" s="3100" t="s">
        <v>2484</v>
      </c>
      <c r="G41" s="3100"/>
    </row>
    <row r="42" spans="1:7" ht="19.5" customHeight="1">
      <c r="A42" s="3794"/>
      <c r="B42" s="3787"/>
      <c r="C42" s="3101" t="s">
        <v>2485</v>
      </c>
      <c r="D42" s="3102"/>
      <c r="E42" s="3103">
        <v>1</v>
      </c>
      <c r="F42" s="3100" t="s">
        <v>2486</v>
      </c>
      <c r="G42" s="3100"/>
    </row>
    <row r="43" spans="1:7" ht="19.5" customHeight="1">
      <c r="A43" s="3794"/>
      <c r="B43" s="3796"/>
      <c r="C43" s="3101" t="s">
        <v>2487</v>
      </c>
      <c r="D43" s="3102"/>
      <c r="E43" s="3103">
        <v>1.5</v>
      </c>
      <c r="F43" s="3100" t="s">
        <v>2488</v>
      </c>
      <c r="G43" s="3100"/>
    </row>
    <row r="44" spans="1:7" ht="19.5" customHeight="1">
      <c r="A44" s="3794"/>
      <c r="B44" s="3112" t="s">
        <v>2639</v>
      </c>
      <c r="C44" s="3101" t="s">
        <v>2640</v>
      </c>
      <c r="D44" s="3102"/>
      <c r="E44" s="3103">
        <v>2</v>
      </c>
      <c r="F44" s="3100" t="s">
        <v>2489</v>
      </c>
      <c r="G44" s="3100"/>
    </row>
    <row r="45" spans="1:7" ht="19.5" customHeight="1">
      <c r="A45" s="3794"/>
      <c r="B45" s="3792" t="s">
        <v>2641</v>
      </c>
      <c r="C45" s="3101" t="s">
        <v>2490</v>
      </c>
      <c r="D45" s="3102"/>
      <c r="E45" s="3103">
        <v>1</v>
      </c>
      <c r="F45" s="3100" t="s">
        <v>2491</v>
      </c>
      <c r="G45" s="3100"/>
    </row>
    <row r="46" spans="1:7" ht="19.5" customHeight="1">
      <c r="A46" s="3794"/>
      <c r="B46" s="3787"/>
      <c r="C46" s="3101" t="s">
        <v>2492</v>
      </c>
      <c r="D46" s="3102"/>
      <c r="E46" s="3103">
        <v>1</v>
      </c>
      <c r="F46" s="3100" t="s">
        <v>2493</v>
      </c>
      <c r="G46" s="3100"/>
    </row>
    <row r="47" spans="1:7" ht="19.5" customHeight="1">
      <c r="A47" s="3794"/>
      <c r="B47" s="3787"/>
      <c r="C47" s="3101" t="s">
        <v>2494</v>
      </c>
      <c r="D47" s="3102"/>
      <c r="E47" s="3103">
        <v>1</v>
      </c>
      <c r="F47" s="3100" t="s">
        <v>2495</v>
      </c>
      <c r="G47" s="3100"/>
    </row>
    <row r="48" spans="1:7" ht="19.5" customHeight="1">
      <c r="A48" s="3794"/>
      <c r="B48" s="3787"/>
      <c r="C48" s="3101" t="s">
        <v>2496</v>
      </c>
      <c r="D48" s="3102"/>
      <c r="E48" s="3103">
        <v>1</v>
      </c>
      <c r="F48" s="3100" t="s">
        <v>2497</v>
      </c>
      <c r="G48" s="3100"/>
    </row>
    <row r="49" spans="1:7" ht="19.5" customHeight="1">
      <c r="A49" s="3794"/>
      <c r="B49" s="3787"/>
      <c r="C49" s="3101" t="s">
        <v>2498</v>
      </c>
      <c r="D49" s="3102"/>
      <c r="E49" s="3103">
        <v>1</v>
      </c>
      <c r="F49" s="3100" t="s">
        <v>2499</v>
      </c>
      <c r="G49" s="3100"/>
    </row>
    <row r="50" spans="1:7" ht="19.5" customHeight="1">
      <c r="A50" s="3794"/>
      <c r="B50" s="3787"/>
      <c r="C50" s="3101" t="s">
        <v>2500</v>
      </c>
      <c r="D50" s="3102"/>
      <c r="E50" s="3103">
        <v>1</v>
      </c>
      <c r="F50" s="3100" t="s">
        <v>2501</v>
      </c>
      <c r="G50" s="3100"/>
    </row>
    <row r="51" spans="1:7" ht="19.5" customHeight="1" thickBot="1">
      <c r="A51" s="3795"/>
      <c r="B51" s="3788"/>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92" t="s">
        <v>2655</v>
      </c>
      <c r="C73" s="3086" t="s">
        <v>2656</v>
      </c>
      <c r="D73" s="3086" t="s">
        <v>2657</v>
      </c>
      <c r="E73" s="3112">
        <v>0.2</v>
      </c>
      <c r="F73" s="3112">
        <v>25</v>
      </c>
    </row>
    <row r="74" spans="1:7" ht="24">
      <c r="A74" s="3112">
        <v>2</v>
      </c>
      <c r="B74" s="3787"/>
      <c r="C74" s="3086" t="s">
        <v>2658</v>
      </c>
      <c r="D74" s="3086" t="s">
        <v>2659</v>
      </c>
      <c r="E74" s="3112">
        <v>0.2</v>
      </c>
      <c r="F74" s="3112">
        <v>25</v>
      </c>
    </row>
    <row r="75" spans="1:7" ht="24">
      <c r="A75" s="3112">
        <v>3</v>
      </c>
      <c r="B75" s="3787"/>
      <c r="C75" s="3086" t="s">
        <v>2660</v>
      </c>
      <c r="D75" s="3086" t="s">
        <v>2661</v>
      </c>
      <c r="E75" s="3112">
        <v>0.2</v>
      </c>
      <c r="F75" s="3112">
        <v>25</v>
      </c>
    </row>
    <row r="76" spans="1:7" ht="13.5">
      <c r="A76" s="3112">
        <v>4</v>
      </c>
      <c r="B76" s="3787"/>
      <c r="C76" s="3086" t="s">
        <v>2662</v>
      </c>
      <c r="D76" s="3086" t="s">
        <v>2663</v>
      </c>
      <c r="E76" s="3112">
        <v>0.15</v>
      </c>
      <c r="F76" s="3112">
        <v>20</v>
      </c>
    </row>
    <row r="77" spans="1:7" ht="24">
      <c r="A77" s="3112">
        <v>5</v>
      </c>
      <c r="B77" s="3787"/>
      <c r="C77" s="3086" t="s">
        <v>2664</v>
      </c>
      <c r="D77" s="3086" t="s">
        <v>2665</v>
      </c>
      <c r="E77" s="3112">
        <v>0.15</v>
      </c>
      <c r="F77" s="3112">
        <v>20</v>
      </c>
    </row>
    <row r="78" spans="1:7" ht="24">
      <c r="A78" s="3112">
        <v>6</v>
      </c>
      <c r="B78" s="3787"/>
      <c r="C78" s="3086" t="s">
        <v>2666</v>
      </c>
      <c r="D78" s="3086" t="s">
        <v>2667</v>
      </c>
      <c r="E78" s="3112">
        <v>0.15</v>
      </c>
      <c r="F78" s="3112">
        <v>20</v>
      </c>
    </row>
    <row r="79" spans="1:7" ht="24">
      <c r="A79" s="3112">
        <v>7</v>
      </c>
      <c r="B79" s="3787"/>
      <c r="C79" s="3086" t="s">
        <v>2668</v>
      </c>
      <c r="D79" s="3086" t="s">
        <v>2669</v>
      </c>
      <c r="E79" s="3112">
        <v>0.15</v>
      </c>
      <c r="F79" s="3112">
        <v>20</v>
      </c>
    </row>
    <row r="80" spans="1:7" ht="24">
      <c r="A80" s="3112">
        <v>8</v>
      </c>
      <c r="B80" s="3787"/>
      <c r="C80" s="3086" t="s">
        <v>2670</v>
      </c>
      <c r="D80" s="3086" t="s">
        <v>2671</v>
      </c>
      <c r="E80" s="3112">
        <v>0.1</v>
      </c>
      <c r="F80" s="3112">
        <v>15</v>
      </c>
    </row>
    <row r="81" spans="1:6" ht="24">
      <c r="A81" s="3112">
        <v>9</v>
      </c>
      <c r="B81" s="3787"/>
      <c r="C81" s="3086" t="s">
        <v>2672</v>
      </c>
      <c r="D81" s="3086" t="s">
        <v>2673</v>
      </c>
      <c r="E81" s="3112">
        <v>0.1</v>
      </c>
      <c r="F81" s="3112">
        <v>15</v>
      </c>
    </row>
    <row r="82" spans="1:6" ht="24">
      <c r="A82" s="3112">
        <v>10</v>
      </c>
      <c r="B82" s="3787"/>
      <c r="C82" s="3086" t="s">
        <v>2674</v>
      </c>
      <c r="D82" s="3086" t="s">
        <v>2675</v>
      </c>
      <c r="E82" s="3112">
        <v>0.1</v>
      </c>
      <c r="F82" s="3112">
        <v>15</v>
      </c>
    </row>
    <row r="83" spans="1:6" ht="24">
      <c r="A83" s="3112">
        <v>11</v>
      </c>
      <c r="B83" s="3787"/>
      <c r="C83" s="3086" t="s">
        <v>2676</v>
      </c>
      <c r="D83" s="3086" t="s">
        <v>2677</v>
      </c>
      <c r="E83" s="3112">
        <v>0.1</v>
      </c>
      <c r="F83" s="3112">
        <v>15</v>
      </c>
    </row>
    <row r="84" spans="1:6" ht="24">
      <c r="A84" s="3112">
        <v>12</v>
      </c>
      <c r="B84" s="3787"/>
      <c r="C84" s="3086" t="s">
        <v>2678</v>
      </c>
      <c r="D84" s="3086" t="s">
        <v>2679</v>
      </c>
      <c r="E84" s="3112">
        <v>0.1</v>
      </c>
      <c r="F84" s="3112">
        <v>15</v>
      </c>
    </row>
    <row r="85" spans="1:6" ht="13.5">
      <c r="A85" s="3112">
        <v>13</v>
      </c>
      <c r="B85" s="3787"/>
      <c r="C85" s="3086" t="s">
        <v>2680</v>
      </c>
      <c r="D85" s="3086" t="s">
        <v>2681</v>
      </c>
      <c r="E85" s="3112">
        <v>0.1</v>
      </c>
      <c r="F85" s="3112">
        <v>15</v>
      </c>
    </row>
    <row r="86" spans="1:6" ht="13.5">
      <c r="A86" s="3112">
        <v>14</v>
      </c>
      <c r="B86" s="3787"/>
      <c r="C86" s="3086" t="s">
        <v>2682</v>
      </c>
      <c r="D86" s="3086" t="s">
        <v>2683</v>
      </c>
      <c r="E86" s="3112">
        <v>0.1</v>
      </c>
      <c r="F86" s="3112">
        <v>15</v>
      </c>
    </row>
    <row r="87" spans="1:6" ht="13.5">
      <c r="A87" s="3112">
        <v>15</v>
      </c>
      <c r="B87" s="3787"/>
      <c r="C87" s="3086" t="s">
        <v>2684</v>
      </c>
      <c r="D87" s="3086" t="s">
        <v>2685</v>
      </c>
      <c r="E87" s="3112">
        <v>0.1</v>
      </c>
      <c r="F87" s="3112">
        <v>15</v>
      </c>
    </row>
    <row r="88" spans="1:6" ht="24">
      <c r="A88" s="3112">
        <v>16</v>
      </c>
      <c r="B88" s="3787"/>
      <c r="C88" s="3086" t="s">
        <v>2686</v>
      </c>
      <c r="D88" s="3086" t="s">
        <v>2687</v>
      </c>
      <c r="E88" s="3112">
        <v>0.1</v>
      </c>
      <c r="F88" s="3112">
        <v>15</v>
      </c>
    </row>
    <row r="89" spans="1:6" ht="24">
      <c r="A89" s="3112">
        <v>17</v>
      </c>
      <c r="B89" s="3796"/>
      <c r="C89" s="3086" t="s">
        <v>2688</v>
      </c>
      <c r="D89" s="3086" t="s">
        <v>2689</v>
      </c>
      <c r="E89" s="3112">
        <v>0.1</v>
      </c>
      <c r="F89" s="3112">
        <v>15</v>
      </c>
    </row>
    <row r="90" spans="1:6" ht="13.5">
      <c r="A90" s="3112">
        <v>18</v>
      </c>
      <c r="B90" s="3792" t="s">
        <v>2690</v>
      </c>
      <c r="C90" s="3086" t="s">
        <v>2691</v>
      </c>
      <c r="D90" s="3086" t="s">
        <v>2692</v>
      </c>
      <c r="E90" s="3112">
        <v>0.2</v>
      </c>
      <c r="F90" s="3112">
        <v>25</v>
      </c>
    </row>
    <row r="91" spans="1:6" ht="24">
      <c r="A91" s="3112">
        <v>19</v>
      </c>
      <c r="B91" s="3787"/>
      <c r="C91" s="3086" t="s">
        <v>2693</v>
      </c>
      <c r="D91" s="3086" t="s">
        <v>2694</v>
      </c>
      <c r="E91" s="3112">
        <v>0.2</v>
      </c>
      <c r="F91" s="3112">
        <v>25</v>
      </c>
    </row>
    <row r="92" spans="1:6" ht="13.5">
      <c r="A92" s="3112">
        <v>20</v>
      </c>
      <c r="B92" s="3787"/>
      <c r="C92" s="3086" t="s">
        <v>2695</v>
      </c>
      <c r="D92" s="3086" t="s">
        <v>2696</v>
      </c>
      <c r="E92" s="3112">
        <v>0.15</v>
      </c>
      <c r="F92" s="3112">
        <v>20</v>
      </c>
    </row>
    <row r="93" spans="1:6" ht="13.5">
      <c r="A93" s="3112">
        <v>21</v>
      </c>
      <c r="B93" s="3787"/>
      <c r="C93" s="3086" t="s">
        <v>2697</v>
      </c>
      <c r="D93" s="3086" t="s">
        <v>2698</v>
      </c>
      <c r="E93" s="3112">
        <v>0.15</v>
      </c>
      <c r="F93" s="3112">
        <v>20</v>
      </c>
    </row>
    <row r="94" spans="1:6" ht="13.5">
      <c r="A94" s="3112">
        <v>22</v>
      </c>
      <c r="B94" s="3787"/>
      <c r="C94" s="3086" t="s">
        <v>2699</v>
      </c>
      <c r="D94" s="3086" t="s">
        <v>2700</v>
      </c>
      <c r="E94" s="3112">
        <v>0.15</v>
      </c>
      <c r="F94" s="3112">
        <v>20</v>
      </c>
    </row>
    <row r="95" spans="1:6" ht="36">
      <c r="A95" s="3112">
        <v>23</v>
      </c>
      <c r="B95" s="3787"/>
      <c r="C95" s="3086" t="s">
        <v>2701</v>
      </c>
      <c r="D95" s="3086" t="s">
        <v>2702</v>
      </c>
      <c r="E95" s="3112">
        <v>0.15</v>
      </c>
      <c r="F95" s="3112">
        <v>20</v>
      </c>
    </row>
    <row r="96" spans="1:6" ht="13.5">
      <c r="A96" s="3112">
        <v>24</v>
      </c>
      <c r="B96" s="3787"/>
      <c r="C96" s="3086" t="s">
        <v>2703</v>
      </c>
      <c r="D96" s="3086" t="s">
        <v>2704</v>
      </c>
      <c r="E96" s="3112">
        <v>0.1</v>
      </c>
      <c r="F96" s="3112">
        <v>15</v>
      </c>
    </row>
    <row r="97" spans="1:6" ht="13.5">
      <c r="A97" s="3112">
        <v>25</v>
      </c>
      <c r="B97" s="3787"/>
      <c r="C97" s="3086" t="s">
        <v>2705</v>
      </c>
      <c r="D97" s="3086" t="s">
        <v>2706</v>
      </c>
      <c r="E97" s="3112">
        <v>0.1</v>
      </c>
      <c r="F97" s="3112">
        <v>15</v>
      </c>
    </row>
    <row r="98" spans="1:6" ht="24">
      <c r="A98" s="3112">
        <v>26</v>
      </c>
      <c r="B98" s="3787"/>
      <c r="C98" s="3086" t="s">
        <v>2707</v>
      </c>
      <c r="D98" s="3086" t="s">
        <v>2708</v>
      </c>
      <c r="E98" s="3112">
        <v>0.1</v>
      </c>
      <c r="F98" s="3112">
        <v>15</v>
      </c>
    </row>
    <row r="99" spans="1:6" ht="24">
      <c r="A99" s="3112">
        <v>27</v>
      </c>
      <c r="B99" s="3787"/>
      <c r="C99" s="3086" t="s">
        <v>2709</v>
      </c>
      <c r="D99" s="3086" t="s">
        <v>2710</v>
      </c>
      <c r="E99" s="3112">
        <v>0.1</v>
      </c>
      <c r="F99" s="3112">
        <v>15</v>
      </c>
    </row>
    <row r="100" spans="1:6" ht="13.5">
      <c r="A100" s="3112">
        <v>28</v>
      </c>
      <c r="B100" s="3787"/>
      <c r="C100" s="3086" t="s">
        <v>2711</v>
      </c>
      <c r="D100" s="3086" t="s">
        <v>2712</v>
      </c>
      <c r="E100" s="3112">
        <v>0.1</v>
      </c>
      <c r="F100" s="3112">
        <v>15</v>
      </c>
    </row>
    <row r="101" spans="1:6" ht="13.5">
      <c r="A101" s="3112">
        <v>29</v>
      </c>
      <c r="B101" s="3787"/>
      <c r="C101" s="3086" t="s">
        <v>2713</v>
      </c>
      <c r="D101" s="3086" t="s">
        <v>2714</v>
      </c>
      <c r="E101" s="3112">
        <v>0.1</v>
      </c>
      <c r="F101" s="3112">
        <v>15</v>
      </c>
    </row>
    <row r="102" spans="1:6" ht="13.5">
      <c r="A102" s="3112">
        <v>30</v>
      </c>
      <c r="B102" s="3787"/>
      <c r="C102" s="3086" t="s">
        <v>2715</v>
      </c>
      <c r="D102" s="3086" t="s">
        <v>2716</v>
      </c>
      <c r="E102" s="3112">
        <v>0.1</v>
      </c>
      <c r="F102" s="3112">
        <v>15</v>
      </c>
    </row>
    <row r="103" spans="1:6" ht="24">
      <c r="A103" s="3112">
        <v>31</v>
      </c>
      <c r="B103" s="3787"/>
      <c r="C103" s="3086" t="s">
        <v>2717</v>
      </c>
      <c r="D103" s="3086" t="s">
        <v>2718</v>
      </c>
      <c r="E103" s="3112">
        <v>0.1</v>
      </c>
      <c r="F103" s="3112">
        <v>15</v>
      </c>
    </row>
    <row r="104" spans="1:6" ht="24">
      <c r="A104" s="3112">
        <v>32</v>
      </c>
      <c r="B104" s="3787"/>
      <c r="C104" s="3086" t="s">
        <v>2719</v>
      </c>
      <c r="D104" s="3086" t="s">
        <v>2720</v>
      </c>
      <c r="E104" s="3112">
        <v>0.1</v>
      </c>
      <c r="F104" s="3112">
        <v>15</v>
      </c>
    </row>
    <row r="105" spans="1:6" ht="24">
      <c r="A105" s="3112">
        <v>33</v>
      </c>
      <c r="B105" s="3787"/>
      <c r="C105" s="3086" t="s">
        <v>2721</v>
      </c>
      <c r="D105" s="3086" t="s">
        <v>2722</v>
      </c>
      <c r="E105" s="3112">
        <v>0.1</v>
      </c>
      <c r="F105" s="3112">
        <v>15</v>
      </c>
    </row>
    <row r="106" spans="1:6" ht="24">
      <c r="A106" s="3112">
        <v>34</v>
      </c>
      <c r="B106" s="3796"/>
      <c r="C106" s="3086" t="s">
        <v>2723</v>
      </c>
      <c r="D106" s="3086" t="s">
        <v>2724</v>
      </c>
      <c r="E106" s="3112">
        <v>0.1</v>
      </c>
      <c r="F106" s="3112">
        <v>15</v>
      </c>
    </row>
    <row r="107" spans="1:6" ht="24">
      <c r="A107" s="3112">
        <v>35</v>
      </c>
      <c r="B107" s="3792" t="s">
        <v>2725</v>
      </c>
      <c r="C107" s="3112" t="s">
        <v>2726</v>
      </c>
      <c r="D107" s="3086" t="s">
        <v>2727</v>
      </c>
      <c r="E107" s="3112">
        <v>0.15</v>
      </c>
      <c r="F107" s="3112">
        <v>20</v>
      </c>
    </row>
    <row r="108" spans="1:6" ht="13.5">
      <c r="A108" s="3112">
        <v>36</v>
      </c>
      <c r="B108" s="3787"/>
      <c r="C108" s="3112" t="s">
        <v>2728</v>
      </c>
      <c r="D108" s="3086" t="s">
        <v>2729</v>
      </c>
      <c r="E108" s="3112">
        <v>0.15</v>
      </c>
      <c r="F108" s="3112">
        <v>20</v>
      </c>
    </row>
    <row r="109" spans="1:6" ht="13.5">
      <c r="A109" s="3112">
        <v>37</v>
      </c>
      <c r="B109" s="3787"/>
      <c r="C109" s="3112" t="s">
        <v>2730</v>
      </c>
      <c r="D109" s="3086" t="s">
        <v>2731</v>
      </c>
      <c r="E109" s="3112">
        <v>0.15</v>
      </c>
      <c r="F109" s="3112">
        <v>20</v>
      </c>
    </row>
    <row r="110" spans="1:6" ht="13.5">
      <c r="A110" s="3112">
        <v>38</v>
      </c>
      <c r="B110" s="3787"/>
      <c r="C110" s="3112" t="s">
        <v>2732</v>
      </c>
      <c r="D110" s="3086" t="s">
        <v>2733</v>
      </c>
      <c r="E110" s="3112">
        <v>0.1</v>
      </c>
      <c r="F110" s="3112">
        <v>15</v>
      </c>
    </row>
    <row r="111" spans="1:6" ht="24">
      <c r="A111" s="3112">
        <v>39</v>
      </c>
      <c r="B111" s="3787"/>
      <c r="C111" s="3112" t="s">
        <v>2734</v>
      </c>
      <c r="D111" s="3086" t="s">
        <v>2735</v>
      </c>
      <c r="E111" s="3112">
        <v>0.1</v>
      </c>
      <c r="F111" s="3112">
        <v>15</v>
      </c>
    </row>
    <row r="112" spans="1:6" ht="24">
      <c r="A112" s="3112">
        <v>40</v>
      </c>
      <c r="B112" s="3796"/>
      <c r="C112" s="3112" t="s">
        <v>2736</v>
      </c>
      <c r="D112" s="3086" t="s">
        <v>2737</v>
      </c>
      <c r="E112" s="3112">
        <v>0.1</v>
      </c>
      <c r="F112" s="3112">
        <v>15</v>
      </c>
    </row>
    <row r="113" spans="1:6" ht="13.5">
      <c r="A113" s="3112">
        <v>41</v>
      </c>
      <c r="B113" s="3797" t="s">
        <v>2738</v>
      </c>
      <c r="C113" s="3112" t="s">
        <v>2739</v>
      </c>
      <c r="D113" s="3086" t="s">
        <v>2740</v>
      </c>
      <c r="E113" s="3112">
        <v>0.1</v>
      </c>
      <c r="F113" s="3112">
        <v>15</v>
      </c>
    </row>
    <row r="114" spans="1:6" ht="13.5">
      <c r="A114" s="3112">
        <v>42</v>
      </c>
      <c r="B114" s="3797"/>
      <c r="C114" s="3112" t="s">
        <v>2741</v>
      </c>
      <c r="D114" s="3086" t="s">
        <v>2742</v>
      </c>
      <c r="E114" s="3112">
        <v>0.1</v>
      </c>
      <c r="F114" s="3112">
        <v>15</v>
      </c>
    </row>
    <row r="115" spans="1:6" ht="24">
      <c r="A115" s="3112">
        <v>43</v>
      </c>
      <c r="B115" s="3797"/>
      <c r="C115" s="3112" t="s">
        <v>2743</v>
      </c>
      <c r="D115" s="3086" t="s">
        <v>2744</v>
      </c>
      <c r="E115" s="3112">
        <v>0.1</v>
      </c>
      <c r="F115" s="3112">
        <v>15</v>
      </c>
    </row>
    <row r="116" spans="1:6" ht="13.5">
      <c r="A116" s="3112">
        <v>44</v>
      </c>
      <c r="B116" s="3792" t="s">
        <v>2745</v>
      </c>
      <c r="C116" s="3112" t="s">
        <v>2746</v>
      </c>
      <c r="D116" s="3086" t="s">
        <v>2747</v>
      </c>
      <c r="E116" s="3112">
        <v>0.1</v>
      </c>
      <c r="F116" s="3112">
        <v>15</v>
      </c>
    </row>
    <row r="117" spans="1:6" ht="24">
      <c r="A117" s="3112">
        <v>45</v>
      </c>
      <c r="B117" s="3796"/>
      <c r="C117" s="3086" t="s">
        <v>2748</v>
      </c>
      <c r="D117" s="3086" t="s">
        <v>2749</v>
      </c>
      <c r="E117" s="3112">
        <v>0.1</v>
      </c>
      <c r="F117" s="3112">
        <v>15</v>
      </c>
    </row>
    <row r="118" spans="1:6" ht="24">
      <c r="A118" s="3112">
        <v>46</v>
      </c>
      <c r="B118" s="3792" t="s">
        <v>2750</v>
      </c>
      <c r="C118" s="3112" t="s">
        <v>2751</v>
      </c>
      <c r="D118" s="3086" t="s">
        <v>2752</v>
      </c>
      <c r="E118" s="3112">
        <v>0.1</v>
      </c>
      <c r="F118" s="3112">
        <v>15</v>
      </c>
    </row>
    <row r="119" spans="1:6" ht="24">
      <c r="A119" s="3112">
        <v>47</v>
      </c>
      <c r="B119" s="3796"/>
      <c r="C119" s="3112" t="s">
        <v>2753</v>
      </c>
      <c r="D119" s="3086" t="s">
        <v>2754</v>
      </c>
      <c r="E119" s="3112">
        <v>0.1</v>
      </c>
      <c r="F119" s="3112">
        <v>15</v>
      </c>
    </row>
    <row r="120" spans="1:6" ht="13.5">
      <c r="A120" s="3112">
        <v>48</v>
      </c>
      <c r="B120" s="3792" t="s">
        <v>2755</v>
      </c>
      <c r="C120" s="3112" t="s">
        <v>2756</v>
      </c>
      <c r="D120" s="3086" t="s">
        <v>2757</v>
      </c>
      <c r="E120" s="3112">
        <v>0.1</v>
      </c>
      <c r="F120" s="3112">
        <v>15</v>
      </c>
    </row>
    <row r="121" spans="1:6" ht="13.5">
      <c r="A121" s="3112">
        <v>49</v>
      </c>
      <c r="B121" s="3796"/>
      <c r="C121" s="3112" t="s">
        <v>2758</v>
      </c>
      <c r="D121" s="3086" t="s">
        <v>2759</v>
      </c>
      <c r="E121" s="3112">
        <v>0.1</v>
      </c>
      <c r="F121" s="3112">
        <v>15</v>
      </c>
    </row>
    <row r="122" spans="1:6" ht="24">
      <c r="A122" s="3112">
        <v>50</v>
      </c>
      <c r="B122" s="3797" t="s">
        <v>2760</v>
      </c>
      <c r="C122" s="3112" t="s">
        <v>2761</v>
      </c>
      <c r="D122" s="3086" t="s">
        <v>2762</v>
      </c>
      <c r="E122" s="3112">
        <v>0.1</v>
      </c>
      <c r="F122" s="3112">
        <v>15</v>
      </c>
    </row>
    <row r="123" spans="1:6" ht="24">
      <c r="A123" s="3112">
        <v>51</v>
      </c>
      <c r="B123" s="3797"/>
      <c r="C123" s="3112" t="s">
        <v>2763</v>
      </c>
      <c r="D123" s="3086" t="s">
        <v>2764</v>
      </c>
      <c r="E123" s="3112">
        <v>0.1</v>
      </c>
      <c r="F123" s="3112">
        <v>15</v>
      </c>
    </row>
    <row r="124" spans="1:6" ht="24">
      <c r="A124" s="3112">
        <v>52</v>
      </c>
      <c r="B124" s="3797" t="s">
        <v>2765</v>
      </c>
      <c r="C124" s="3112" t="s">
        <v>2766</v>
      </c>
      <c r="D124" s="3086" t="s">
        <v>2767</v>
      </c>
      <c r="E124" s="3112">
        <v>0.1</v>
      </c>
      <c r="F124" s="3112">
        <v>15</v>
      </c>
    </row>
    <row r="125" spans="1:6" ht="24">
      <c r="A125" s="3112">
        <v>53</v>
      </c>
      <c r="B125" s="3797"/>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97" t="s">
        <v>2773</v>
      </c>
      <c r="C127" s="3112" t="s">
        <v>2774</v>
      </c>
      <c r="D127" s="3086" t="s">
        <v>2775</v>
      </c>
      <c r="E127" s="3112">
        <v>0.1</v>
      </c>
      <c r="F127" s="3112">
        <v>15</v>
      </c>
    </row>
    <row r="128" spans="1:6" ht="13.5">
      <c r="A128" s="3112">
        <v>56</v>
      </c>
      <c r="B128" s="3797"/>
      <c r="C128" s="3112" t="s">
        <v>2776</v>
      </c>
      <c r="D128" s="3086" t="s">
        <v>2777</v>
      </c>
      <c r="E128" s="3112">
        <v>0.1</v>
      </c>
      <c r="F128" s="3112">
        <v>15</v>
      </c>
    </row>
    <row r="129" spans="1:6" ht="24">
      <c r="A129" s="3112">
        <v>57</v>
      </c>
      <c r="B129" s="3797"/>
      <c r="C129" s="3112" t="s">
        <v>2778</v>
      </c>
      <c r="D129" s="3086" t="s">
        <v>2779</v>
      </c>
      <c r="E129" s="3112">
        <v>0.1</v>
      </c>
      <c r="F129" s="3112">
        <v>15</v>
      </c>
    </row>
    <row r="130" spans="1:6" ht="24">
      <c r="A130" s="3112">
        <v>58</v>
      </c>
      <c r="B130" s="3797" t="s">
        <v>2780</v>
      </c>
      <c r="C130" s="3112" t="s">
        <v>2781</v>
      </c>
      <c r="D130" s="3086" t="s">
        <v>2782</v>
      </c>
      <c r="E130" s="3112">
        <v>0.1</v>
      </c>
      <c r="F130" s="3112">
        <v>15</v>
      </c>
    </row>
    <row r="131" spans="1:6" ht="13.5">
      <c r="A131" s="3112">
        <v>59</v>
      </c>
      <c r="B131" s="3797"/>
      <c r="C131" s="3112" t="s">
        <v>2783</v>
      </c>
      <c r="D131" s="3086" t="s">
        <v>2784</v>
      </c>
      <c r="E131" s="3112">
        <v>0.1</v>
      </c>
      <c r="F131" s="3112">
        <v>15</v>
      </c>
    </row>
    <row r="132" spans="1:6" ht="13.5">
      <c r="A132" s="3112">
        <v>60</v>
      </c>
      <c r="B132" s="3792" t="s">
        <v>2785</v>
      </c>
      <c r="C132" s="3112" t="s">
        <v>2786</v>
      </c>
      <c r="D132" s="3086" t="s">
        <v>2787</v>
      </c>
      <c r="E132" s="3112">
        <v>0.1</v>
      </c>
      <c r="F132" s="3112">
        <v>15</v>
      </c>
    </row>
    <row r="133" spans="1:6" ht="13.5">
      <c r="A133" s="3112">
        <v>61</v>
      </c>
      <c r="B133" s="3796"/>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97" t="s">
        <v>2793</v>
      </c>
      <c r="C135" s="3112" t="s">
        <v>2794</v>
      </c>
      <c r="D135" s="3086" t="s">
        <v>2795</v>
      </c>
      <c r="E135" s="3112">
        <v>0.1</v>
      </c>
      <c r="F135" s="3112">
        <v>15</v>
      </c>
    </row>
    <row r="136" spans="1:6" ht="13.5">
      <c r="A136" s="3112">
        <v>64</v>
      </c>
      <c r="B136" s="3797"/>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5"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H18" sqref="H1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1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1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1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30">
      <c r="A4" s="1501" t="str">
        <f>项目基本情况!S2</f>
        <v>北京市大兴区芳源里1号楼7层706房地产</v>
      </c>
      <c r="B4" s="852">
        <f>项目基本情况!C17</f>
        <v>62.05</v>
      </c>
      <c r="C4" s="852">
        <f>项目基本情况!C18</f>
        <v>0</v>
      </c>
      <c r="D4" s="852">
        <f>结果表!D118</f>
        <v>0</v>
      </c>
      <c r="E4" s="852">
        <f>结果表!E118</f>
        <v>0</v>
      </c>
      <c r="F4" s="852">
        <f>结果表!F118</f>
        <v>0</v>
      </c>
      <c r="G4" s="852">
        <f>结果表!G118</f>
        <v>0</v>
      </c>
      <c r="H4" s="852">
        <f ca="1">结果表!H118</f>
        <v>145</v>
      </c>
      <c r="I4" s="852">
        <f ca="1">结果表!I118</f>
        <v>23395</v>
      </c>
    </row>
    <row r="5" spans="1:9" ht="30" customHeight="1">
      <c r="A5" s="3488" t="s">
        <v>927</v>
      </c>
      <c r="B5" s="3488"/>
      <c r="C5" s="3488"/>
      <c r="D5" s="3488" t="str">
        <f>结果表!D119</f>
        <v>零元整</v>
      </c>
      <c r="E5" s="3488"/>
      <c r="F5" s="3488" t="str">
        <f>结果表!F119</f>
        <v>零元整</v>
      </c>
      <c r="G5" s="3488"/>
      <c r="H5" s="3488" t="str">
        <f ca="1">结果表!H119</f>
        <v>壹佰肆拾伍万元整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145</v>
      </c>
      <c r="E8" s="3489"/>
      <c r="F8" s="3489"/>
      <c r="G8" s="3489"/>
      <c r="H8" s="3489"/>
      <c r="I8" s="3489"/>
    </row>
    <row r="9" spans="1:9" ht="15">
      <c r="A9" s="3488" t="s">
        <v>927</v>
      </c>
      <c r="B9" s="3488"/>
      <c r="C9" s="3488"/>
      <c r="D9" s="3488" t="str">
        <f ca="1">结果表!D123</f>
        <v>壹佰肆拾伍万元整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5" t="s">
        <v>949</v>
      </c>
      <c r="B1" s="3495"/>
      <c r="C1" s="3495"/>
      <c r="D1" s="3495"/>
    </row>
    <row r="2" spans="1:4" ht="18">
      <c r="A2" s="3496" t="s">
        <v>933</v>
      </c>
      <c r="B2" s="3496"/>
      <c r="C2" s="3496"/>
      <c r="D2" s="349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496" t="s">
        <v>939</v>
      </c>
      <c r="B6" s="3496"/>
      <c r="C6" s="3496"/>
      <c r="D6" s="3496"/>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2024-05-28T06:43:35Z</dcterms:modified>
</cp:coreProperties>
</file>