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60F0A66-8CE5-45AE-9720-5083CA551F36}"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比较法-商业" sheetId="82" r:id="rId35"/>
    <sheet name="成本法 (元)" sheetId="69" r:id="rId36"/>
    <sheet name="基准地价修正" sheetId="43" r:id="rId37"/>
    <sheet name="租约" sheetId="83" r:id="rId38"/>
    <sheet name="售" sheetId="80" r:id="rId39"/>
    <sheet name="租" sheetId="81"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4" hidden="1">'租金比较法-商业'!$A$1:$L$49</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4">'租金比较法-商业'!$A$1:$K$54,'租金比较法-商业'!$A$57:$M$131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'租金比较法-商业'!$B$116:$M$116</definedName>
    <definedName name="商业层高">'比较法-商业'!$B$116:$M$116</definedName>
    <definedName name="商业成新度" localSheetId="34">'租金比较法-商业'!$B$109:$M$109</definedName>
    <definedName name="商业成新度">'比较法-商业'!$B$109:$M$109</definedName>
    <definedName name="商业繁华度">定义!$L$1:$L$6</definedName>
    <definedName name="商业公共部分装修" localSheetId="34">'租金比较法-商业'!$B$107:$M$107</definedName>
    <definedName name="商业公共部分装修">'比较法-商业'!$B$107:$M$107</definedName>
    <definedName name="商业基础设施水平" localSheetId="34">'租金比较法-商业'!$B$112:$M$112</definedName>
    <definedName name="商业基础设施水平">'比较法-商业'!$B$112:$M$112</definedName>
    <definedName name="商业建筑结构" localSheetId="34">'租金比较法-商业'!$B$105:$M$105</definedName>
    <definedName name="商业建筑结构">'比较法-商业'!$B$105:$M$105</definedName>
    <definedName name="商业交易情况" localSheetId="34">'租金比较法-商业'!$A$61:$M$61</definedName>
    <definedName name="商业交易情况">'比较法-商业'!$A$61:$M$61</definedName>
    <definedName name="商业街名称">修正!$C$71:$C$138</definedName>
    <definedName name="商业进深比" localSheetId="34">'租金比较法-商业'!$B$120:$M$120</definedName>
    <definedName name="商业进深比">'比较法-商业'!$B$120:$M$120</definedName>
    <definedName name="商业类型" localSheetId="34">'租金比较法-商业'!$B$100:$M$100</definedName>
    <definedName name="商业类型">'比较法-商业'!$B$100:$M$100</definedName>
    <definedName name="商业临街状况" localSheetId="34">'租金比较法-商业'!$B$86:$M$86</definedName>
    <definedName name="商业临街状况">'比较法-商业'!$B$86:$M$86</definedName>
    <definedName name="商业楼层" localSheetId="34">'租金比较法-商业'!$B$92:$M$92</definedName>
    <definedName name="商业楼层">'比较法-商业'!$B$92:$M$92</definedName>
    <definedName name="商业内部装修" localSheetId="34">'租金比较法-商业'!$B$122:$M$122</definedName>
    <definedName name="商业内部装修">'比较法-商业'!$B$122:$M$122</definedName>
    <definedName name="商业人流量" localSheetId="34">'租金比较法-商业'!$B$90:$M$90</definedName>
    <definedName name="商业人流量">'比较法-商业'!$B$90:$M$90</definedName>
    <definedName name="商业业态" localSheetId="34">'租金比较法-商业'!$B$114:$M$114</definedName>
    <definedName name="商业业态">'比较法-商业'!$B$114:$M$114</definedName>
    <definedName name="商业用途" localSheetId="34">'租金比较法-商业'!$B$63:$M$63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F11" i="82" l="1"/>
  <c r="AA11" i="82"/>
  <c r="F8" i="82"/>
  <c r="AA8" i="82"/>
  <c r="R48" i="82"/>
  <c r="H11" i="82"/>
  <c r="AB11" i="82"/>
  <c r="H8" i="82"/>
  <c r="AB8" i="82"/>
  <c r="T48" i="82"/>
  <c r="J8" i="82"/>
  <c r="AC8" i="82"/>
  <c r="V48" i="82"/>
  <c r="R49" i="82"/>
  <c r="C49" i="82"/>
  <c r="U6" i="1"/>
  <c r="E93" i="82"/>
  <c r="E92" i="82"/>
  <c r="P91" i="82"/>
  <c r="C6" i="69"/>
  <c r="U3" i="43"/>
  <c r="U2" i="43"/>
  <c r="C25" i="43"/>
  <c r="C33" i="43"/>
  <c r="E33" i="43"/>
  <c r="V2" i="43"/>
  <c r="V3" i="43"/>
  <c r="C30" i="43"/>
  <c r="B2" i="43"/>
  <c r="B3" i="43"/>
  <c r="D93" i="82"/>
  <c r="C93" i="82"/>
  <c r="G93" i="82"/>
  <c r="P93" i="82"/>
  <c r="P92" i="82"/>
  <c r="D93" i="33"/>
  <c r="P92" i="33"/>
  <c r="C93" i="33"/>
  <c r="G93" i="33"/>
  <c r="P91" i="33"/>
  <c r="B90" i="33"/>
  <c r="D91" i="33"/>
  <c r="E91" i="33"/>
  <c r="F27" i="33"/>
  <c r="AA27" i="33"/>
  <c r="B92" i="33"/>
  <c r="F28" i="33"/>
  <c r="AA28" i="33"/>
  <c r="R47" i="33"/>
  <c r="D3" i="4"/>
  <c r="B2" i="1"/>
  <c r="C7" i="33"/>
  <c r="E7" i="33"/>
  <c r="C58" i="33"/>
  <c r="D58" i="33"/>
  <c r="E58" i="33"/>
  <c r="F58" i="33"/>
  <c r="G58" i="33"/>
  <c r="H58" i="33"/>
  <c r="I58" i="33"/>
  <c r="J58" i="33"/>
  <c r="K58" i="33"/>
  <c r="L58" i="33"/>
  <c r="M58" i="33"/>
  <c r="N58" i="33"/>
  <c r="O58" i="33"/>
  <c r="F7" i="33"/>
  <c r="AA7" i="33"/>
  <c r="F8" i="33"/>
  <c r="AA8" i="33"/>
  <c r="C63" i="33"/>
  <c r="F9" i="33"/>
  <c r="AA9" i="33"/>
  <c r="F10" i="33"/>
  <c r="AA10" i="33"/>
  <c r="D69" i="33"/>
  <c r="E69" i="33"/>
  <c r="F11" i="33"/>
  <c r="AA11" i="33"/>
  <c r="B70" i="33"/>
  <c r="F12" i="33"/>
  <c r="AA12" i="33"/>
  <c r="E13" i="33"/>
  <c r="B72" i="33"/>
  <c r="C13" i="33"/>
  <c r="F13" i="33"/>
  <c r="AA13" i="33"/>
  <c r="B74" i="33"/>
  <c r="F14" i="33"/>
  <c r="AA14" i="33"/>
  <c r="D77" i="33"/>
  <c r="F15" i="33"/>
  <c r="AA15" i="33"/>
  <c r="D79" i="33"/>
  <c r="E79" i="33"/>
  <c r="F17" i="33"/>
  <c r="AA17" i="33"/>
  <c r="D81" i="33"/>
  <c r="F19" i="33"/>
  <c r="AA19" i="33"/>
  <c r="F21" i="33"/>
  <c r="AA21" i="33"/>
  <c r="D85" i="33"/>
  <c r="F23" i="33"/>
  <c r="AA23" i="33"/>
  <c r="D87" i="33"/>
  <c r="E87" i="33"/>
  <c r="F87" i="33"/>
  <c r="F25" i="33"/>
  <c r="AA25" i="33"/>
  <c r="B88" i="33"/>
  <c r="F26" i="33"/>
  <c r="AA26" i="33"/>
  <c r="B94" i="33"/>
  <c r="F29" i="33"/>
  <c r="AA29" i="33"/>
  <c r="B96" i="33"/>
  <c r="F30" i="33"/>
  <c r="AA30" i="33"/>
  <c r="B98" i="33"/>
  <c r="F31" i="33"/>
  <c r="AA31" i="33"/>
  <c r="D101" i="33"/>
  <c r="E101" i="33"/>
  <c r="F32" i="33"/>
  <c r="AA32" i="3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3" i="33"/>
  <c r="F33" i="33"/>
  <c r="AA33" i="33"/>
  <c r="F34" i="33"/>
  <c r="AA34" i="33"/>
  <c r="D108" i="33"/>
  <c r="F35" i="33"/>
  <c r="AA35" i="33"/>
  <c r="E36" i="33"/>
  <c r="D111" i="33"/>
  <c r="E111" i="33"/>
  <c r="N18" i="1"/>
  <c r="N20" i="1"/>
  <c r="N6" i="1"/>
  <c r="C36" i="33"/>
  <c r="F36" i="33"/>
  <c r="AA36" i="33"/>
  <c r="D113" i="33"/>
  <c r="F37" i="33"/>
  <c r="AA37" i="33"/>
  <c r="D115" i="33"/>
  <c r="F38" i="33"/>
  <c r="AA38" i="33"/>
  <c r="D117" i="33"/>
  <c r="F39" i="33"/>
  <c r="AA39" i="33"/>
  <c r="F40" i="33"/>
  <c r="AA40" i="33"/>
  <c r="F41" i="33"/>
  <c r="AA41" i="33"/>
  <c r="F42" i="33"/>
  <c r="AA42" i="33"/>
  <c r="D125" i="33"/>
  <c r="F43" i="33"/>
  <c r="AA43" i="33"/>
  <c r="B126" i="33"/>
  <c r="F44" i="33"/>
  <c r="AA44" i="33"/>
  <c r="B128" i="33"/>
  <c r="F45" i="33"/>
  <c r="AA45" i="33"/>
  <c r="B130" i="33"/>
  <c r="F46" i="33"/>
  <c r="AA46" i="33"/>
  <c r="R48" i="33"/>
  <c r="H27" i="33"/>
  <c r="AB27" i="33"/>
  <c r="H28" i="33"/>
  <c r="AB28" i="33"/>
  <c r="T47" i="33"/>
  <c r="G7" i="33"/>
  <c r="H7" i="33"/>
  <c r="AB7" i="33"/>
  <c r="H8" i="33"/>
  <c r="AB8" i="33"/>
  <c r="H9" i="33"/>
  <c r="AB9" i="33"/>
  <c r="H10" i="33"/>
  <c r="AB10" i="33"/>
  <c r="H11" i="33"/>
  <c r="AB11" i="33"/>
  <c r="H12" i="33"/>
  <c r="AB12" i="33"/>
  <c r="G13" i="33"/>
  <c r="H13" i="33"/>
  <c r="AB13" i="33"/>
  <c r="H14" i="33"/>
  <c r="AB14" i="33"/>
  <c r="H15" i="33"/>
  <c r="AB15" i="33"/>
  <c r="H17" i="33"/>
  <c r="AB17" i="33"/>
  <c r="H19" i="33"/>
  <c r="AB19" i="33"/>
  <c r="H21" i="33"/>
  <c r="AB21" i="33"/>
  <c r="H23" i="33"/>
  <c r="AB23" i="33"/>
  <c r="H25" i="33"/>
  <c r="AB25" i="33"/>
  <c r="H26" i="33"/>
  <c r="AB26" i="33"/>
  <c r="H29" i="33"/>
  <c r="AB29" i="33"/>
  <c r="H30" i="33"/>
  <c r="AB30" i="33"/>
  <c r="H31" i="33"/>
  <c r="AB31" i="33"/>
  <c r="F101" i="33"/>
  <c r="H32" i="33"/>
  <c r="AB32" i="33"/>
  <c r="H33" i="33"/>
  <c r="AB33" i="33"/>
  <c r="H34" i="33"/>
  <c r="AB34" i="33"/>
  <c r="H35" i="33"/>
  <c r="AB35" i="33"/>
  <c r="G36" i="33"/>
  <c r="F111" i="33"/>
  <c r="H36" i="33"/>
  <c r="AB36" i="33"/>
  <c r="H37" i="33"/>
  <c r="AB37" i="33"/>
  <c r="H38" i="33"/>
  <c r="AB38" i="33"/>
  <c r="H39" i="33"/>
  <c r="AB39" i="33"/>
  <c r="H40" i="33"/>
  <c r="AB40" i="33"/>
  <c r="H41" i="33"/>
  <c r="AB41" i="33"/>
  <c r="H42" i="33"/>
  <c r="AB42" i="33"/>
  <c r="H43" i="33"/>
  <c r="AB43" i="33"/>
  <c r="H44" i="33"/>
  <c r="AB44" i="33"/>
  <c r="H45" i="33"/>
  <c r="AB45" i="33"/>
  <c r="H46" i="33"/>
  <c r="AB46" i="33"/>
  <c r="T48" i="33"/>
  <c r="J27" i="33"/>
  <c r="AC27" i="33"/>
  <c r="J28" i="33"/>
  <c r="AC28" i="33"/>
  <c r="V47" i="33"/>
  <c r="I7" i="33"/>
  <c r="J7" i="33"/>
  <c r="AC7" i="33"/>
  <c r="J8" i="33"/>
  <c r="AC8" i="33"/>
  <c r="J9" i="33"/>
  <c r="AC9" i="33"/>
  <c r="J10" i="33"/>
  <c r="AC10" i="33"/>
  <c r="F69" i="33"/>
  <c r="J11" i="33"/>
  <c r="AC11" i="33"/>
  <c r="J12" i="33"/>
  <c r="AC12" i="33"/>
  <c r="I13" i="33"/>
  <c r="J13" i="33"/>
  <c r="AC13" i="33"/>
  <c r="J14" i="33"/>
  <c r="AC14" i="33"/>
  <c r="J15" i="33"/>
  <c r="AC15" i="33"/>
  <c r="J17" i="33"/>
  <c r="AC17" i="33"/>
  <c r="J19" i="33"/>
  <c r="AC19" i="33"/>
  <c r="J21" i="33"/>
  <c r="AC21" i="33"/>
  <c r="J23" i="33"/>
  <c r="AC23" i="33"/>
  <c r="J25" i="33"/>
  <c r="AC25" i="33"/>
  <c r="J26" i="33"/>
  <c r="AC26" i="33"/>
  <c r="J29" i="33"/>
  <c r="AC29" i="33"/>
  <c r="J30" i="33"/>
  <c r="AC30" i="33"/>
  <c r="J31" i="33"/>
  <c r="AC31" i="33"/>
  <c r="J32" i="33"/>
  <c r="AC32" i="33"/>
  <c r="J33" i="33"/>
  <c r="AC33" i="33"/>
  <c r="J34" i="33"/>
  <c r="AC34" i="33"/>
  <c r="J35" i="33"/>
  <c r="AC35" i="33"/>
  <c r="I36"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20" i="9"/>
  <c r="C19" i="6"/>
  <c r="A6" i="1"/>
  <c r="G1" i="67"/>
  <c r="F6" i="67"/>
  <c r="F8" i="67"/>
  <c r="F19" i="6"/>
  <c r="E19" i="6"/>
  <c r="K6" i="1"/>
  <c r="F7" i="67"/>
  <c r="F9" i="67"/>
  <c r="C6" i="67"/>
  <c r="C1" i="73"/>
  <c r="L1" i="73"/>
  <c r="F4" i="73"/>
  <c r="I1" i="73"/>
  <c r="B39" i="1"/>
  <c r="F11" i="67"/>
  <c r="C10" i="67"/>
  <c r="C5" i="67"/>
  <c r="M47" i="67"/>
  <c r="F31" i="67"/>
  <c r="C42" i="1"/>
  <c r="C31" i="67"/>
  <c r="F43" i="67"/>
  <c r="BQ5" i="3"/>
  <c r="BS5" i="3"/>
  <c r="F28" i="6"/>
  <c r="BR5" i="3"/>
  <c r="BT5" i="3"/>
  <c r="G28" i="6"/>
  <c r="E28" i="6"/>
  <c r="E20" i="6"/>
  <c r="E21" i="6"/>
  <c r="E22" i="6"/>
  <c r="E23" i="6"/>
  <c r="E24" i="6"/>
  <c r="E25" i="6"/>
  <c r="E26" i="6"/>
  <c r="BA5" i="3"/>
  <c r="E27" i="6"/>
  <c r="K19" i="6"/>
  <c r="S6" i="1"/>
  <c r="C14" i="67"/>
  <c r="F15" i="67"/>
  <c r="C15" i="67"/>
  <c r="F16" i="67"/>
  <c r="C16" i="67"/>
  <c r="F17" i="67"/>
  <c r="C17" i="67"/>
  <c r="F18" i="67"/>
  <c r="C18" i="67"/>
  <c r="C19" i="67"/>
  <c r="F20" i="67"/>
  <c r="C20" i="67"/>
  <c r="J1" i="73"/>
  <c r="F13" i="73"/>
  <c r="D5" i="73"/>
  <c r="B22" i="1"/>
  <c r="E1" i="73"/>
  <c r="K1" i="73"/>
  <c r="G1" i="73"/>
  <c r="B40" i="1"/>
  <c r="F24" i="67"/>
  <c r="F23" i="67"/>
  <c r="C23" i="67"/>
  <c r="F26" i="67"/>
  <c r="C26" i="67"/>
  <c r="F21" i="67"/>
  <c r="C24" i="67"/>
  <c r="C27" i="67"/>
  <c r="B43" i="1"/>
  <c r="B41" i="1"/>
  <c r="F28" i="67"/>
  <c r="C28" i="67"/>
  <c r="C29" i="67"/>
  <c r="F36" i="67"/>
  <c r="C36" i="67"/>
  <c r="F13" i="67"/>
  <c r="C13" i="67"/>
  <c r="F37" i="67"/>
  <c r="C37" i="67"/>
  <c r="F38" i="67"/>
  <c r="C38" i="67"/>
  <c r="C30" i="67"/>
  <c r="C39" i="67"/>
  <c r="F42" i="67"/>
  <c r="F40" i="67"/>
  <c r="D15" i="4"/>
  <c r="F6" i="1"/>
  <c r="L48" i="67"/>
  <c r="J50" i="67"/>
  <c r="J51"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I20" i="9"/>
  <c r="D14" i="74"/>
  <c r="G14" i="74"/>
  <c r="D3" i="33"/>
  <c r="B2" i="33"/>
  <c r="C19" i="9"/>
  <c r="B2" i="67"/>
  <c r="D19" i="9"/>
  <c r="G19" i="9"/>
  <c r="B14" i="74"/>
  <c r="G2" i="83"/>
  <c r="H5" i="83"/>
  <c r="D6" i="83"/>
  <c r="C7" i="83"/>
  <c r="D7" i="83"/>
  <c r="C8" i="83"/>
  <c r="D8" i="83"/>
  <c r="C9" i="83"/>
  <c r="D9" i="83"/>
  <c r="C10" i="83"/>
  <c r="D10" i="83"/>
  <c r="C11" i="83"/>
  <c r="D11" i="83"/>
  <c r="D12" i="83"/>
  <c r="D13" i="83"/>
  <c r="D14" i="83"/>
  <c r="D5" i="83"/>
  <c r="B92" i="82"/>
  <c r="F28" i="82"/>
  <c r="AA28" i="82"/>
  <c r="C36" i="82"/>
  <c r="E36" i="82"/>
  <c r="D111" i="82"/>
  <c r="F36" i="82"/>
  <c r="AA36" i="82"/>
  <c r="D77" i="82"/>
  <c r="F15" i="82"/>
  <c r="AA15" i="82"/>
  <c r="R47" i="82"/>
  <c r="C7" i="82"/>
  <c r="E7" i="82"/>
  <c r="C58" i="82"/>
  <c r="D58" i="82"/>
  <c r="E58" i="82"/>
  <c r="F58" i="82"/>
  <c r="G58" i="82"/>
  <c r="H58" i="82"/>
  <c r="I58" i="82"/>
  <c r="J58" i="82"/>
  <c r="K58" i="82"/>
  <c r="L58" i="82"/>
  <c r="M58" i="82"/>
  <c r="N58" i="82"/>
  <c r="O58" i="82"/>
  <c r="F7" i="82"/>
  <c r="AA7" i="82"/>
  <c r="C63" i="82"/>
  <c r="F9" i="82"/>
  <c r="AA9" i="82"/>
  <c r="F10" i="82"/>
  <c r="AA10" i="82"/>
  <c r="D69" i="82"/>
  <c r="E69" i="82"/>
  <c r="B70" i="82"/>
  <c r="F12" i="82"/>
  <c r="AA12" i="82"/>
  <c r="E13" i="82"/>
  <c r="B72" i="82"/>
  <c r="C13" i="82"/>
  <c r="F13" i="82"/>
  <c r="AA13" i="82"/>
  <c r="B74" i="82"/>
  <c r="F14" i="82"/>
  <c r="AA14" i="82"/>
  <c r="D79" i="82"/>
  <c r="E79" i="82"/>
  <c r="F17" i="82"/>
  <c r="AA17" i="82"/>
  <c r="D81" i="82"/>
  <c r="F19" i="82"/>
  <c r="AA19" i="82"/>
  <c r="F21" i="82"/>
  <c r="AA21" i="82"/>
  <c r="D85" i="82"/>
  <c r="F23" i="82"/>
  <c r="AA23" i="82"/>
  <c r="D87" i="82"/>
  <c r="E87" i="82"/>
  <c r="F87" i="82"/>
  <c r="F25" i="82"/>
  <c r="AA25" i="82"/>
  <c r="B88" i="82"/>
  <c r="F26" i="82"/>
  <c r="AA26" i="82"/>
  <c r="B90" i="82"/>
  <c r="D91" i="82"/>
  <c r="E91" i="82"/>
  <c r="F27" i="82"/>
  <c r="AA27" i="82"/>
  <c r="B94" i="82"/>
  <c r="F29" i="82"/>
  <c r="AA29" i="82"/>
  <c r="B96" i="82"/>
  <c r="F30" i="82"/>
  <c r="AA30" i="82"/>
  <c r="B98" i="82"/>
  <c r="F31" i="82"/>
  <c r="AA31" i="82"/>
  <c r="D101" i="82"/>
  <c r="E101" i="82"/>
  <c r="F32" i="82"/>
  <c r="AA32" i="82"/>
  <c r="C33" i="82"/>
  <c r="F33" i="82"/>
  <c r="AA33" i="82"/>
  <c r="F34" i="82"/>
  <c r="AA34" i="82"/>
  <c r="D108" i="82"/>
  <c r="F35" i="82"/>
  <c r="AA35" i="82"/>
  <c r="D113" i="82"/>
  <c r="F37" i="82"/>
  <c r="AA37" i="82"/>
  <c r="F38" i="82"/>
  <c r="AA38" i="82"/>
  <c r="D117" i="82"/>
  <c r="F39" i="82"/>
  <c r="AA39" i="82"/>
  <c r="F40" i="82"/>
  <c r="AA40" i="82"/>
  <c r="F41" i="82"/>
  <c r="AA41" i="82"/>
  <c r="F42" i="82"/>
  <c r="AA42" i="82"/>
  <c r="D125" i="82"/>
  <c r="F43" i="82"/>
  <c r="AA43" i="82"/>
  <c r="B126" i="82"/>
  <c r="F44" i="82"/>
  <c r="AA44" i="82"/>
  <c r="B128" i="82"/>
  <c r="F45" i="82"/>
  <c r="AA45" i="82"/>
  <c r="B130" i="82"/>
  <c r="F46" i="82"/>
  <c r="AA46" i="82"/>
  <c r="H28" i="82"/>
  <c r="AB28" i="82"/>
  <c r="G36" i="82"/>
  <c r="E111" i="82"/>
  <c r="F111" i="82"/>
  <c r="H36" i="82"/>
  <c r="AB36" i="82"/>
  <c r="H15" i="82"/>
  <c r="AB15" i="82"/>
  <c r="T47" i="82"/>
  <c r="G7" i="82"/>
  <c r="H7" i="82"/>
  <c r="AB7" i="82"/>
  <c r="H9" i="82"/>
  <c r="AB9" i="82"/>
  <c r="H10" i="82"/>
  <c r="AB10" i="82"/>
  <c r="H12" i="82"/>
  <c r="AB12" i="82"/>
  <c r="G13" i="82"/>
  <c r="H13" i="82"/>
  <c r="AB13" i="82"/>
  <c r="H14" i="82"/>
  <c r="AB14" i="82"/>
  <c r="H17" i="82"/>
  <c r="AB17" i="82"/>
  <c r="H19" i="82"/>
  <c r="AB19" i="82"/>
  <c r="H21" i="82"/>
  <c r="AB21" i="82"/>
  <c r="H23" i="82"/>
  <c r="AB23" i="82"/>
  <c r="H25" i="82"/>
  <c r="AB25" i="82"/>
  <c r="H26" i="82"/>
  <c r="AB26" i="82"/>
  <c r="H27" i="82"/>
  <c r="AB27" i="82"/>
  <c r="H29" i="82"/>
  <c r="AB29" i="82"/>
  <c r="H30" i="82"/>
  <c r="AB30" i="82"/>
  <c r="H31" i="82"/>
  <c r="AB31" i="82"/>
  <c r="H32" i="82"/>
  <c r="AB32" i="82"/>
  <c r="H33" i="82"/>
  <c r="AB33" i="82"/>
  <c r="H34" i="82"/>
  <c r="AB34" i="82"/>
  <c r="H35" i="82"/>
  <c r="AB35" i="82"/>
  <c r="H37" i="82"/>
  <c r="AB37" i="82"/>
  <c r="D115" i="82"/>
  <c r="H38" i="82"/>
  <c r="AB38" i="82"/>
  <c r="H39" i="82"/>
  <c r="AB39" i="82"/>
  <c r="H40" i="82"/>
  <c r="AB40" i="82"/>
  <c r="H41" i="82"/>
  <c r="AB41" i="82"/>
  <c r="H42" i="82"/>
  <c r="AB42" i="82"/>
  <c r="H43" i="82"/>
  <c r="AB43" i="82"/>
  <c r="H44" i="82"/>
  <c r="AB44" i="82"/>
  <c r="H45" i="82"/>
  <c r="AB45" i="82"/>
  <c r="H46" i="82"/>
  <c r="AB46" i="82"/>
  <c r="J28" i="82"/>
  <c r="AC28" i="82"/>
  <c r="I36" i="82"/>
  <c r="J36" i="82"/>
  <c r="AC36" i="82"/>
  <c r="J15" i="82"/>
  <c r="AC15" i="82"/>
  <c r="V47" i="82"/>
  <c r="I7" i="82"/>
  <c r="J7" i="82"/>
  <c r="AC7" i="82"/>
  <c r="J9" i="82"/>
  <c r="AC9" i="82"/>
  <c r="J10" i="82"/>
  <c r="AC10" i="82"/>
  <c r="J11" i="82"/>
  <c r="AC11" i="82"/>
  <c r="J12" i="82"/>
  <c r="AC12" i="82"/>
  <c r="I13" i="82"/>
  <c r="J13" i="82"/>
  <c r="AC13" i="82"/>
  <c r="J14" i="82"/>
  <c r="AC14" i="82"/>
  <c r="J17" i="82"/>
  <c r="AC17" i="82"/>
  <c r="J19" i="82"/>
  <c r="AC19" i="82"/>
  <c r="J21" i="82"/>
  <c r="AC21" i="82"/>
  <c r="J23" i="82"/>
  <c r="AC23" i="82"/>
  <c r="J25" i="82"/>
  <c r="AC25" i="82"/>
  <c r="J26" i="82"/>
  <c r="AC26" i="82"/>
  <c r="J27" i="82"/>
  <c r="AC27" i="82"/>
  <c r="J29" i="82"/>
  <c r="AC29" i="82"/>
  <c r="J30" i="82"/>
  <c r="AC30" i="82"/>
  <c r="J31" i="82"/>
  <c r="AC31" i="82"/>
  <c r="J32" i="82"/>
  <c r="AC32" i="82"/>
  <c r="J33" i="82"/>
  <c r="AC33" i="82"/>
  <c r="J34" i="82"/>
  <c r="AC34" i="82"/>
  <c r="J35" i="82"/>
  <c r="AC35" i="82"/>
  <c r="J37" i="82"/>
  <c r="AC37" i="82"/>
  <c r="J38" i="82"/>
  <c r="AC38" i="82"/>
  <c r="J39" i="82"/>
  <c r="AC39" i="82"/>
  <c r="J40" i="82"/>
  <c r="AC40" i="82"/>
  <c r="J41" i="82"/>
  <c r="AC41" i="82"/>
  <c r="J42" i="82"/>
  <c r="AC42" i="82"/>
  <c r="J43" i="82"/>
  <c r="AC43" i="82"/>
  <c r="J44" i="82"/>
  <c r="AC44" i="82"/>
  <c r="J45" i="82"/>
  <c r="AC45" i="82"/>
  <c r="J46" i="82"/>
  <c r="AC46" i="82"/>
  <c r="E125" i="82"/>
  <c r="F125" i="82"/>
  <c r="G125" i="82"/>
  <c r="D123" i="82"/>
  <c r="E123" i="82"/>
  <c r="F123" i="82"/>
  <c r="G123" i="82"/>
  <c r="H123" i="82"/>
  <c r="I123" i="82"/>
  <c r="J123" i="82"/>
  <c r="K123" i="82"/>
  <c r="L123" i="82"/>
  <c r="M123" i="82"/>
  <c r="D121" i="82"/>
  <c r="E121" i="82"/>
  <c r="F121" i="82"/>
  <c r="G121" i="82"/>
  <c r="H121" i="82"/>
  <c r="I121" i="82"/>
  <c r="J121" i="82"/>
  <c r="K121" i="82"/>
  <c r="L121" i="82"/>
  <c r="M121" i="82"/>
  <c r="E117" i="82"/>
  <c r="F117" i="82"/>
  <c r="G117" i="82"/>
  <c r="E115" i="82"/>
  <c r="F115" i="82"/>
  <c r="G115" i="82"/>
  <c r="H115" i="82"/>
  <c r="I115" i="82"/>
  <c r="J115" i="82"/>
  <c r="K115" i="82"/>
  <c r="L115" i="82"/>
  <c r="M115" i="82"/>
  <c r="E113" i="82"/>
  <c r="F113" i="82"/>
  <c r="G113" i="82"/>
  <c r="H113" i="82"/>
  <c r="I113" i="82"/>
  <c r="J113" i="82"/>
  <c r="K113" i="82"/>
  <c r="L113" i="82"/>
  <c r="M113" i="82"/>
  <c r="G111" i="82"/>
  <c r="H111" i="82"/>
  <c r="I111" i="82"/>
  <c r="J111" i="82"/>
  <c r="K111" i="82"/>
  <c r="L111" i="82"/>
  <c r="M111" i="82"/>
  <c r="G109" i="82"/>
  <c r="F109" i="82"/>
  <c r="E109" i="82"/>
  <c r="D109" i="82"/>
  <c r="C109"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F101" i="82"/>
  <c r="G101" i="82"/>
  <c r="H101" i="82"/>
  <c r="I101" i="82"/>
  <c r="J101" i="82"/>
  <c r="K101" i="82"/>
  <c r="L101" i="82"/>
  <c r="M101" i="82"/>
  <c r="F91" i="82"/>
  <c r="G91" i="82"/>
  <c r="H91" i="82"/>
  <c r="I91" i="82"/>
  <c r="J91" i="82"/>
  <c r="K91" i="82"/>
  <c r="L91" i="82"/>
  <c r="M91" i="82"/>
  <c r="G87" i="82"/>
  <c r="H87" i="82"/>
  <c r="I87" i="82"/>
  <c r="J87" i="82"/>
  <c r="K87" i="82"/>
  <c r="L87" i="82"/>
  <c r="M87" i="82"/>
  <c r="E85" i="82"/>
  <c r="F85" i="82"/>
  <c r="G85" i="82"/>
  <c r="D83" i="82"/>
  <c r="E83" i="82"/>
  <c r="F83" i="82"/>
  <c r="G83" i="82"/>
  <c r="E81" i="82"/>
  <c r="F81" i="82"/>
  <c r="G81" i="82"/>
  <c r="F79" i="82"/>
  <c r="G79" i="82"/>
  <c r="E77" i="82"/>
  <c r="F77" i="82"/>
  <c r="G77" i="82"/>
  <c r="F69" i="82"/>
  <c r="G69" i="82"/>
  <c r="H69" i="82"/>
  <c r="I69" i="82"/>
  <c r="J69" i="82"/>
  <c r="K69" i="82"/>
  <c r="L69" i="82"/>
  <c r="M69" i="82"/>
  <c r="M67" i="82"/>
  <c r="L67" i="82"/>
  <c r="K67" i="82"/>
  <c r="J67" i="82"/>
  <c r="I67" i="82"/>
  <c r="H67" i="82"/>
  <c r="G67" i="82"/>
  <c r="F67" i="82"/>
  <c r="E67" i="82"/>
  <c r="D67" i="82"/>
  <c r="C67" i="82"/>
  <c r="I54" i="82"/>
  <c r="J54" i="82"/>
  <c r="G54" i="82"/>
  <c r="H54" i="82"/>
  <c r="E54" i="82"/>
  <c r="F54" i="82"/>
  <c r="I48" i="82"/>
  <c r="E48" i="82"/>
  <c r="I53" i="82"/>
  <c r="J53" i="82"/>
  <c r="G48" i="82"/>
  <c r="G53" i="82"/>
  <c r="H53" i="82"/>
  <c r="E53" i="82"/>
  <c r="F53" i="82"/>
  <c r="I52" i="82"/>
  <c r="J52" i="82"/>
  <c r="G52" i="82"/>
  <c r="H52" i="82"/>
  <c r="E52" i="82"/>
  <c r="F52" i="82"/>
  <c r="P49" i="82"/>
  <c r="P48" i="82"/>
  <c r="K48" i="82"/>
  <c r="C48" i="82"/>
  <c r="P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3" i="82"/>
  <c r="B3" i="82"/>
  <c r="D2" i="82"/>
  <c r="B2" i="82"/>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E6" i="6"/>
  <c r="D10" i="69"/>
  <c r="E10" i="69"/>
  <c r="C10" i="69"/>
  <c r="B29" i="1"/>
  <c r="S21" i="1"/>
  <c r="S22" i="1"/>
  <c r="S23" i="1"/>
  <c r="U21" i="1"/>
  <c r="R22" i="1"/>
  <c r="U22" i="1"/>
  <c r="U23" i="1"/>
  <c r="T22" i="1"/>
  <c r="V22" i="1"/>
  <c r="V21" i="1"/>
  <c r="V23" i="1"/>
  <c r="T23" i="1"/>
  <c r="R23" i="1"/>
  <c r="D33" i="43"/>
  <c r="C60" i="78"/>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G15" i="73"/>
  <c r="F15" i="73"/>
  <c r="E15" i="73"/>
  <c r="G16" i="73"/>
  <c r="F16" i="73"/>
  <c r="E16" i="73"/>
  <c r="AB32" i="79"/>
  <c r="AA32" i="79"/>
  <c r="Z32" i="79"/>
  <c r="N32" i="79"/>
  <c r="M32" i="79"/>
  <c r="P32" i="79"/>
  <c r="L32" i="79"/>
  <c r="I32" i="79"/>
  <c r="AC7" i="79"/>
  <c r="AB7" i="79"/>
  <c r="AA7" i="79"/>
  <c r="AD7" i="79"/>
  <c r="Z7" i="79"/>
  <c r="Y7" i="79"/>
  <c r="O7" i="79"/>
  <c r="N7" i="79"/>
  <c r="M7" i="79"/>
  <c r="P7" i="79"/>
  <c r="L7" i="79"/>
  <c r="K7" i="79"/>
  <c r="I7" i="79"/>
  <c r="I10" i="79"/>
  <c r="I35" i="79"/>
  <c r="I34"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36" i="79"/>
  <c r="I37" i="79"/>
  <c r="I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33" i="79"/>
  <c r="N39" i="79"/>
  <c r="N40" i="79"/>
  <c r="N28" i="79"/>
  <c r="M41" i="79"/>
  <c r="L41" i="79"/>
  <c r="I41" i="79"/>
  <c r="AB40" i="79"/>
  <c r="AA40" i="79"/>
  <c r="Z40" i="79"/>
  <c r="M40" i="79"/>
  <c r="L40" i="79"/>
  <c r="I40" i="79"/>
  <c r="AB39" i="79"/>
  <c r="AA39" i="79"/>
  <c r="Z39" i="79"/>
  <c r="M39" i="79"/>
  <c r="L39" i="79"/>
  <c r="I39" i="79"/>
  <c r="AB33" i="79"/>
  <c r="AA33" i="79"/>
  <c r="Z33" i="79"/>
  <c r="M33" i="79"/>
  <c r="L33" i="79"/>
  <c r="I33" i="79"/>
  <c r="G28" i="79"/>
  <c r="F28" i="79"/>
  <c r="I28" i="79"/>
  <c r="E28" i="79"/>
  <c r="AC21" i="79"/>
  <c r="AB21" i="79"/>
  <c r="AA21" i="79"/>
  <c r="AD21" i="79"/>
  <c r="Z21" i="79"/>
  <c r="Y21" i="79"/>
  <c r="W21" i="79"/>
  <c r="O21" i="79"/>
  <c r="N21" i="79"/>
  <c r="M21" i="79"/>
  <c r="P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Y8" i="79"/>
  <c r="O8" i="79"/>
  <c r="N8" i="79"/>
  <c r="M8" i="79"/>
  <c r="L8" i="79"/>
  <c r="K8" i="79"/>
  <c r="I8"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c r="AD31" i="79"/>
  <c r="AD32" i="79"/>
  <c r="Z3" i="79"/>
  <c r="AA28" i="79"/>
  <c r="AD28" i="79"/>
  <c r="T34" i="79"/>
  <c r="W34" i="79"/>
  <c r="U40" i="79"/>
  <c r="AD41" i="79"/>
  <c r="S42" i="79"/>
  <c r="U44" i="79"/>
  <c r="AD45" i="79"/>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W40" i="79"/>
  <c r="U41" i="79"/>
  <c r="AD42" i="79"/>
  <c r="S43" i="79"/>
  <c r="V3" i="79"/>
  <c r="L28" i="79"/>
  <c r="T33" i="79"/>
  <c r="W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W38" i="79"/>
  <c r="T36" i="79"/>
  <c r="T39" i="79"/>
  <c r="W39" i="79"/>
  <c r="T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6" i="79"/>
  <c r="W37" i="79"/>
  <c r="AB28" i="79"/>
  <c r="R11" i="79"/>
  <c r="R8" i="79"/>
  <c r="R12" i="79"/>
  <c r="P14" i="79"/>
  <c r="T12" i="79"/>
  <c r="W12" i="79"/>
  <c r="T11" i="79"/>
  <c r="W11" i="79"/>
  <c r="T8" i="79"/>
  <c r="W8" i="79"/>
  <c r="V11" i="79"/>
  <c r="V8" i="79"/>
  <c r="V12" i="79"/>
  <c r="S12" i="79"/>
  <c r="S8" i="79"/>
  <c r="S11" i="79"/>
  <c r="U12" i="79"/>
  <c r="U8" i="79"/>
  <c r="U11" i="79"/>
  <c r="S28" i="79"/>
  <c r="P17" i="79"/>
  <c r="P19" i="79"/>
  <c r="R3" i="79"/>
  <c r="Z28"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29" i="77"/>
  <c r="C32" i="77"/>
  <c r="C38" i="77"/>
  <c r="C39" i="77"/>
  <c r="R14" i="77"/>
  <c r="R24" i="77"/>
  <c r="D29" i="77"/>
  <c r="D26" i="77"/>
  <c r="D32" i="77"/>
  <c r="E23"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F24" i="12"/>
  <c r="F7" i="69"/>
  <c r="F7" i="68"/>
  <c r="C7" i="68"/>
  <c r="C8" i="68"/>
  <c r="C5"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B24" i="71"/>
  <c r="B23" i="71"/>
  <c r="B22" i="71"/>
  <c r="B21" i="71"/>
  <c r="B20" i="71"/>
  <c r="B19" i="71"/>
  <c r="B18" i="71"/>
  <c r="B17" i="71"/>
  <c r="Q24" i="71"/>
  <c r="P24" i="71"/>
  <c r="E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D46" i="71"/>
  <c r="N45" i="71"/>
  <c r="B46" i="71"/>
  <c r="D45" i="71"/>
  <c r="Q44" i="71"/>
  <c r="P44" i="71"/>
  <c r="O44" i="71"/>
  <c r="N44" i="71"/>
  <c r="Q43" i="71"/>
  <c r="P43" i="71"/>
  <c r="O43" i="71"/>
  <c r="N43" i="71"/>
  <c r="Q42" i="71"/>
  <c r="P42" i="71"/>
  <c r="O42" i="71"/>
  <c r="O41" i="71"/>
  <c r="C42" i="71"/>
  <c r="C43" i="71"/>
  <c r="N42" i="71"/>
  <c r="Q41" i="71"/>
  <c r="F42" i="71"/>
  <c r="F43" i="71"/>
  <c r="F44" i="71"/>
  <c r="V44" i="71"/>
  <c r="P41" i="71"/>
  <c r="E42" i="71"/>
  <c r="E43" i="71"/>
  <c r="E44" i="71"/>
  <c r="U44" i="71"/>
  <c r="D42" i="71"/>
  <c r="N41" i="71"/>
  <c r="B42" i="71"/>
  <c r="B43" i="71"/>
  <c r="B44" i="71"/>
  <c r="S44" i="71"/>
  <c r="D41" i="71"/>
  <c r="Q40" i="71"/>
  <c r="P40" i="71"/>
  <c r="O40" i="71"/>
  <c r="N40" i="71"/>
  <c r="Q39" i="71"/>
  <c r="AB39" i="71"/>
  <c r="P39" i="71"/>
  <c r="P38" i="71"/>
  <c r="AA38" i="71"/>
  <c r="O39" i="71"/>
  <c r="N39" i="71"/>
  <c r="X39" i="71"/>
  <c r="Q38" i="71"/>
  <c r="O38" i="71"/>
  <c r="N38" i="71"/>
  <c r="N36" i="71"/>
  <c r="N37" i="71"/>
  <c r="X36" i="71"/>
  <c r="Q37" i="71"/>
  <c r="AB37" i="71"/>
  <c r="P37" i="71"/>
  <c r="AA37" i="71"/>
  <c r="O37" i="71"/>
  <c r="O35" i="71"/>
  <c r="O36" i="71"/>
  <c r="Y35" i="71"/>
  <c r="Z35" i="71"/>
  <c r="B38" i="71"/>
  <c r="D37" i="71"/>
  <c r="Q36" i="71"/>
  <c r="AB36" i="71"/>
  <c r="P36" i="71"/>
  <c r="P35" i="71"/>
  <c r="AA35" i="71"/>
  <c r="N35" i="71"/>
  <c r="X35" i="71"/>
  <c r="Q35" i="71"/>
  <c r="AB35" i="71"/>
  <c r="Q34" i="71"/>
  <c r="AB34" i="71"/>
  <c r="P34" i="71"/>
  <c r="AA34" i="71"/>
  <c r="O34" i="71"/>
  <c r="N34" i="71"/>
  <c r="Q33" i="71"/>
  <c r="F34" i="71"/>
  <c r="F35" i="71"/>
  <c r="F36" i="71"/>
  <c r="V36" i="71"/>
  <c r="P33" i="71"/>
  <c r="O33" i="71"/>
  <c r="C34" i="71"/>
  <c r="N33" i="71"/>
  <c r="D33" i="71"/>
  <c r="Q32" i="71"/>
  <c r="P32" i="71"/>
  <c r="O32" i="71"/>
  <c r="N32" i="71"/>
  <c r="Q31" i="71"/>
  <c r="P31" i="71"/>
  <c r="O31" i="71"/>
  <c r="N31" i="71"/>
  <c r="Q30" i="71"/>
  <c r="P30" i="71"/>
  <c r="O30" i="71"/>
  <c r="O29" i="71"/>
  <c r="C30" i="71"/>
  <c r="C31" i="71"/>
  <c r="N30" i="71"/>
  <c r="Q29" i="71"/>
  <c r="F30" i="71"/>
  <c r="F31" i="71"/>
  <c r="F32" i="71"/>
  <c r="V32" i="71"/>
  <c r="P29" i="71"/>
  <c r="N29" i="71"/>
  <c r="N28" i="71"/>
  <c r="X25" i="71"/>
  <c r="D29" i="71"/>
  <c r="O28" i="71"/>
  <c r="Y26" i="71"/>
  <c r="Z26" i="71"/>
  <c r="B30" i="71"/>
  <c r="B31" i="71"/>
  <c r="B32" i="71"/>
  <c r="S32" i="71"/>
  <c r="E30" i="71"/>
  <c r="E31" i="71"/>
  <c r="E32" i="71"/>
  <c r="U32" i="71"/>
  <c r="B34" i="71"/>
  <c r="B35" i="71"/>
  <c r="B36" i="71"/>
  <c r="S36" i="71"/>
  <c r="B39" i="71"/>
  <c r="B40" i="71"/>
  <c r="S40" i="71"/>
  <c r="E38" i="71"/>
  <c r="E39" i="71"/>
  <c r="E40" i="71"/>
  <c r="U40" i="71"/>
  <c r="N68" i="71"/>
  <c r="E34" i="71"/>
  <c r="X31" i="71"/>
  <c r="X34" i="71"/>
  <c r="C38" i="71"/>
  <c r="D38" i="71"/>
  <c r="Y27" i="71"/>
  <c r="Z27" i="71"/>
  <c r="B28" i="71"/>
  <c r="B27" i="71"/>
  <c r="B26" i="71"/>
  <c r="D30" i="71"/>
  <c r="C47" i="71"/>
  <c r="D47" i="71"/>
  <c r="P28" i="71"/>
  <c r="E28" i="71"/>
  <c r="U68" i="71"/>
  <c r="E67" i="71"/>
  <c r="Q28" i="71"/>
  <c r="C59" i="71"/>
  <c r="D58" i="71"/>
  <c r="C63" i="71"/>
  <c r="C64" i="71"/>
  <c r="D62" i="71"/>
  <c r="N67" i="71"/>
  <c r="B66" i="71"/>
  <c r="N65" i="71"/>
  <c r="T68" i="71"/>
  <c r="O68" i="71"/>
  <c r="D68" i="71"/>
  <c r="C67" i="71"/>
  <c r="D67" i="71"/>
  <c r="Q68" i="71"/>
  <c r="E71" i="71"/>
  <c r="E70" i="71"/>
  <c r="D72" i="71"/>
  <c r="C75" i="71"/>
  <c r="D76" i="71"/>
  <c r="E79" i="71"/>
  <c r="E78" i="71"/>
  <c r="D80" i="71"/>
  <c r="C87" i="71"/>
  <c r="C86" i="71"/>
  <c r="D86" i="71"/>
  <c r="F28" i="71"/>
  <c r="F27" i="71"/>
  <c r="F26" i="71"/>
  <c r="AA3" i="71"/>
  <c r="O67" i="71"/>
  <c r="D63" i="71"/>
  <c r="D75" i="71"/>
  <c r="C74" i="71"/>
  <c r="D74" i="71"/>
  <c r="N66" i="71"/>
  <c r="D87" i="71"/>
  <c r="C60" i="71"/>
  <c r="D59" i="71"/>
  <c r="P67" i="71"/>
  <c r="E66" i="71"/>
  <c r="P65" i="71"/>
  <c r="T60" i="71"/>
  <c r="D60" i="71"/>
  <c r="O27" i="6"/>
  <c r="N27" i="6"/>
  <c r="P20" i="6"/>
  <c r="P21" i="6"/>
  <c r="P22" i="6"/>
  <c r="P19" i="6"/>
  <c r="P23" i="6"/>
  <c r="P24" i="6"/>
  <c r="P25" i="6"/>
  <c r="P26"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C22" i="20"/>
  <c r="B100" i="43"/>
  <c r="S25" i="40"/>
  <c r="S18" i="36"/>
  <c r="H25" i="40"/>
  <c r="AB25" i="40"/>
  <c r="J25" i="40"/>
  <c r="H29" i="39"/>
  <c r="AB29" i="39"/>
  <c r="J29" i="39"/>
  <c r="AC29" i="39"/>
  <c r="J18" i="36"/>
  <c r="AC18" i="36"/>
  <c r="F68" i="35"/>
  <c r="H18" i="35"/>
  <c r="AB18" i="35"/>
  <c r="G68" i="35"/>
  <c r="J18" i="35"/>
  <c r="W18" i="35"/>
  <c r="H21" i="37"/>
  <c r="F21" i="37"/>
  <c r="AA21" i="37"/>
  <c r="F84" i="34"/>
  <c r="H21" i="34"/>
  <c r="AB21" i="34"/>
  <c r="U21" i="33"/>
  <c r="S21" i="33"/>
  <c r="E83" i="21"/>
  <c r="F83" i="21"/>
  <c r="H1" i="69"/>
  <c r="AC25" i="40"/>
  <c r="W25" i="40"/>
  <c r="U25" i="40"/>
  <c r="U29" i="39"/>
  <c r="W29" i="39"/>
  <c r="W18" i="36"/>
  <c r="AB21" i="37"/>
  <c r="U21" i="37"/>
  <c r="AC18" i="35"/>
  <c r="J21" i="37"/>
  <c r="W21" i="37"/>
  <c r="G84" i="34"/>
  <c r="J21" i="34"/>
  <c r="W21" i="34"/>
  <c r="W21" i="33"/>
  <c r="H21" i="21"/>
  <c r="U21" i="21"/>
  <c r="F38" i="69"/>
  <c r="E37" i="69"/>
  <c r="F36" i="69"/>
  <c r="F35" i="69"/>
  <c r="F21" i="69"/>
  <c r="F40" i="69"/>
  <c r="F20" i="69"/>
  <c r="F39" i="69"/>
  <c r="E9" i="69"/>
  <c r="C7" i="69"/>
  <c r="G83" i="21"/>
  <c r="J21" i="21"/>
  <c r="C40" i="69"/>
  <c r="F38" i="68"/>
  <c r="E37" i="68"/>
  <c r="F36" i="68"/>
  <c r="F35" i="68"/>
  <c r="F21" i="68"/>
  <c r="F40" i="68"/>
  <c r="C21" i="68"/>
  <c r="F20" i="68"/>
  <c r="F39" i="68"/>
  <c r="E10" i="68"/>
  <c r="E9" i="68"/>
  <c r="W21" i="21"/>
  <c r="AC21" i="21"/>
  <c r="C40" i="68"/>
  <c r="Q72" i="67"/>
  <c r="Q59" i="67"/>
  <c r="Q58" i="67"/>
  <c r="Q51" i="67"/>
  <c r="D46" i="67"/>
  <c r="F33" i="67"/>
  <c r="F61" i="67"/>
  <c r="D24" i="67"/>
  <c r="M19"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D51"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7"/>
  <c r="C52" i="37"/>
  <c r="D52" i="37"/>
  <c r="E15" i="4"/>
  <c r="A7" i="1"/>
  <c r="B7" i="1"/>
  <c r="E7" i="1"/>
  <c r="A8" i="1"/>
  <c r="B8" i="1"/>
  <c r="E8" i="1"/>
  <c r="A9" i="1"/>
  <c r="A10" i="1"/>
  <c r="A11" i="1"/>
  <c r="B11" i="1"/>
  <c r="E11" i="1"/>
  <c r="A12" i="1"/>
  <c r="A13"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G15" i="4"/>
  <c r="F12" i="1"/>
  <c r="G12" i="1"/>
  <c r="F15" i="4"/>
  <c r="F11" i="1"/>
  <c r="G11" i="1"/>
  <c r="C15"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D78" i="9"/>
  <c r="K8" i="1"/>
  <c r="M8" i="1"/>
  <c r="F23" i="15"/>
  <c r="D24" i="15"/>
  <c r="K10" i="1"/>
  <c r="M10" i="1"/>
  <c r="O10" i="1"/>
  <c r="P10" i="1"/>
  <c r="BC10" i="3"/>
  <c r="BD10" i="3"/>
  <c r="BB10" i="3"/>
  <c r="F35" i="11"/>
  <c r="F36" i="11"/>
  <c r="F38" i="11"/>
  <c r="E37" i="11"/>
  <c r="F20" i="11"/>
  <c r="F21" i="11"/>
  <c r="C21" i="11"/>
  <c r="F7" i="11"/>
  <c r="C7" i="11"/>
  <c r="F12" i="12"/>
  <c r="F13" i="12"/>
  <c r="F15" i="12"/>
  <c r="E14" i="12"/>
  <c r="E19" i="12"/>
  <c r="E20" i="12"/>
  <c r="E17" i="12"/>
  <c r="F22" i="12"/>
  <c r="F23" i="12"/>
  <c r="I55" i="9"/>
  <c r="F55" i="9"/>
  <c r="O53" i="9"/>
  <c r="D89" i="9"/>
  <c r="C89" i="9"/>
  <c r="C87" i="9"/>
  <c r="J55" i="9"/>
  <c r="B31" i="1"/>
  <c r="E19" i="1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09" i="39"/>
  <c r="B111" i="39"/>
  <c r="J30" i="36"/>
  <c r="AC30" i="36"/>
  <c r="H30" i="36"/>
  <c r="F30" i="36"/>
  <c r="AA30" i="36"/>
  <c r="C26" i="35"/>
  <c r="C79" i="35"/>
  <c r="J31" i="35"/>
  <c r="H31" i="35"/>
  <c r="U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Q37" i="40"/>
  <c r="Z37" i="40"/>
  <c r="Q36" i="40"/>
  <c r="Z36" i="40"/>
  <c r="Q35" i="40"/>
  <c r="Z35" i="40"/>
  <c r="Q34" i="40"/>
  <c r="Z34" i="40"/>
  <c r="J34" i="40"/>
  <c r="AC34" i="40"/>
  <c r="H34" i="40"/>
  <c r="AB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AB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H34" i="35"/>
  <c r="B77" i="35"/>
  <c r="B75" i="35"/>
  <c r="J24" i="35"/>
  <c r="AC24" i="35"/>
  <c r="B73" i="35"/>
  <c r="B57" i="35"/>
  <c r="B61" i="35"/>
  <c r="B59" i="35"/>
  <c r="F12" i="35"/>
  <c r="B131" i="34"/>
  <c r="B129" i="34"/>
  <c r="B127" i="34"/>
  <c r="B99" i="34"/>
  <c r="B97" i="34"/>
  <c r="B95" i="34"/>
  <c r="B93" i="34"/>
  <c r="B75" i="34"/>
  <c r="B73" i="34"/>
  <c r="B71" i="34"/>
  <c r="J12" i="34"/>
  <c r="W12" i="34"/>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AA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J8" i="34"/>
  <c r="AC8" i="34"/>
  <c r="H8" i="34"/>
  <c r="U8" i="34"/>
  <c r="F8" i="34"/>
  <c r="D121" i="33"/>
  <c r="E121" i="33"/>
  <c r="F109" i="33"/>
  <c r="E109" i="33"/>
  <c r="D109" i="33"/>
  <c r="C109" i="33"/>
  <c r="C23" i="33"/>
  <c r="C19" i="33"/>
  <c r="C17" i="33"/>
  <c r="C15" i="33"/>
  <c r="C15" i="21"/>
  <c r="D123" i="33"/>
  <c r="E117" i="33"/>
  <c r="F117" i="33"/>
  <c r="G117" i="33"/>
  <c r="E115" i="33"/>
  <c r="F115" i="33"/>
  <c r="G115" i="33"/>
  <c r="H115" i="33"/>
  <c r="I115" i="33"/>
  <c r="J115" i="33"/>
  <c r="K115" i="33"/>
  <c r="L115" i="33"/>
  <c r="M115"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E85" i="33"/>
  <c r="E81" i="33"/>
  <c r="E77" i="33"/>
  <c r="F77" i="33"/>
  <c r="G77" i="33"/>
  <c r="G69" i="33"/>
  <c r="H69" i="33"/>
  <c r="I69" i="33"/>
  <c r="J69" i="33"/>
  <c r="K69" i="33"/>
  <c r="L69" i="33"/>
  <c r="M69" i="33"/>
  <c r="M67" i="33"/>
  <c r="L67" i="33"/>
  <c r="K67" i="33"/>
  <c r="J67" i="33"/>
  <c r="I67" i="33"/>
  <c r="H67" i="33"/>
  <c r="G67" i="33"/>
  <c r="F67" i="33"/>
  <c r="E67" i="33"/>
  <c r="D67" i="33"/>
  <c r="C67" i="33"/>
  <c r="H54" i="33"/>
  <c r="P49" i="33"/>
  <c r="P48" i="33"/>
  <c r="P47" i="33"/>
  <c r="Q46" i="33"/>
  <c r="Z46" i="33"/>
  <c r="Q45" i="33"/>
  <c r="Z45" i="33"/>
  <c r="Q44" i="33"/>
  <c r="Z44" i="33"/>
  <c r="Q43" i="33"/>
  <c r="Z43" i="33"/>
  <c r="Q42" i="33"/>
  <c r="Z42" i="33"/>
  <c r="Q41" i="33"/>
  <c r="Z41" i="33"/>
  <c r="Q40" i="33"/>
  <c r="Z40" i="33"/>
  <c r="Q39" i="33"/>
  <c r="Z39" i="33"/>
  <c r="Q38" i="33"/>
  <c r="Z38" i="33"/>
  <c r="W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AA41" i="21"/>
  <c r="F45" i="39"/>
  <c r="S45" i="39"/>
  <c r="J44" i="39"/>
  <c r="AC44" i="39"/>
  <c r="F36" i="39"/>
  <c r="S36" i="39"/>
  <c r="H36" i="39"/>
  <c r="AB36" i="39"/>
  <c r="J35" i="39"/>
  <c r="AC35" i="39"/>
  <c r="F35" i="39"/>
  <c r="AA35" i="39"/>
  <c r="J36" i="39"/>
  <c r="AC36" i="39"/>
  <c r="U9" i="39"/>
  <c r="W40" i="39"/>
  <c r="W25" i="37"/>
  <c r="U30" i="37"/>
  <c r="W31" i="37"/>
  <c r="F39" i="37"/>
  <c r="S39" i="37"/>
  <c r="F29" i="36"/>
  <c r="AA29" i="36"/>
  <c r="F16" i="36"/>
  <c r="AA16" i="36"/>
  <c r="W28" i="36"/>
  <c r="U31" i="36"/>
  <c r="J33" i="36"/>
  <c r="AC33" i="36"/>
  <c r="H22" i="35"/>
  <c r="AB22" i="35"/>
  <c r="W28" i="35"/>
  <c r="S31" i="35"/>
  <c r="F36" i="34"/>
  <c r="J35" i="34"/>
  <c r="W9" i="34"/>
  <c r="U34" i="34"/>
  <c r="S26" i="33"/>
  <c r="S40" i="33"/>
  <c r="W33" i="33"/>
  <c r="H39" i="37"/>
  <c r="AB39" i="37"/>
  <c r="S27" i="35"/>
  <c r="F11" i="40"/>
  <c r="AA11" i="40"/>
  <c r="H11" i="40"/>
  <c r="AB11" i="40"/>
  <c r="AA9" i="40"/>
  <c r="U9" i="40"/>
  <c r="W31" i="40"/>
  <c r="U34" i="40"/>
  <c r="F42" i="39"/>
  <c r="AA42" i="39"/>
  <c r="F41" i="39"/>
  <c r="S41" i="39"/>
  <c r="H40" i="39"/>
  <c r="AB40" i="39"/>
  <c r="H39" i="39"/>
  <c r="U39" i="39"/>
  <c r="S38" i="39"/>
  <c r="S34" i="39"/>
  <c r="H34" i="39"/>
  <c r="U34"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C15" i="39"/>
  <c r="H11" i="21"/>
  <c r="U11" i="21"/>
  <c r="J11" i="21"/>
  <c r="W11" i="21"/>
  <c r="H37" i="40"/>
  <c r="U37" i="40"/>
  <c r="H36" i="40"/>
  <c r="AB36" i="40"/>
  <c r="F35" i="40"/>
  <c r="AA35" i="40"/>
  <c r="H23" i="40"/>
  <c r="AB23" i="40"/>
  <c r="H17" i="40"/>
  <c r="U17" i="40"/>
  <c r="J15" i="40"/>
  <c r="W15" i="40"/>
  <c r="J11" i="40"/>
  <c r="W11" i="40"/>
  <c r="AB8" i="39"/>
  <c r="AC12" i="34"/>
  <c r="S44" i="39"/>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F25" i="34"/>
  <c r="S25" i="34"/>
  <c r="H23" i="34"/>
  <c r="U23" i="34"/>
  <c r="J23" i="34"/>
  <c r="F19" i="34"/>
  <c r="H17" i="34"/>
  <c r="F15" i="34"/>
  <c r="AA15" i="34"/>
  <c r="J15" i="34"/>
  <c r="H15" i="34"/>
  <c r="AB15" i="34"/>
  <c r="W8" i="34"/>
  <c r="J28" i="34"/>
  <c r="W28" i="34"/>
  <c r="E113" i="33"/>
  <c r="U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F113" i="33"/>
  <c r="G113" i="33"/>
  <c r="H113" i="33"/>
  <c r="I113" i="33"/>
  <c r="J113" i="33"/>
  <c r="K113" i="33"/>
  <c r="L113" i="33"/>
  <c r="M113" i="33"/>
  <c r="F28" i="40"/>
  <c r="AA28" i="40"/>
  <c r="AA42" i="34"/>
  <c r="S42" i="34"/>
  <c r="AC38" i="34"/>
  <c r="AA38" i="34"/>
  <c r="J37" i="34"/>
  <c r="AC37" i="34"/>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U13" i="33"/>
  <c r="S13" i="33"/>
  <c r="U29" i="33"/>
  <c r="S29" i="33"/>
  <c r="W31" i="33"/>
  <c r="U45" i="33"/>
  <c r="W45" i="33"/>
  <c r="J14" i="34"/>
  <c r="W14" i="34"/>
  <c r="F14" i="34"/>
  <c r="S14" i="34"/>
  <c r="H14" i="34"/>
  <c r="H30" i="34"/>
  <c r="F30" i="34"/>
  <c r="S30" i="34"/>
  <c r="J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U14" i="40"/>
  <c r="AB14" i="40"/>
  <c r="J14" i="40"/>
  <c r="W14" i="40"/>
  <c r="F14" i="40"/>
  <c r="AA14" i="40"/>
  <c r="J14" i="37"/>
  <c r="J27" i="37"/>
  <c r="AC27" i="37"/>
  <c r="U46" i="33"/>
  <c r="J36" i="37"/>
  <c r="AC36" i="37"/>
  <c r="J10" i="36"/>
  <c r="AC10" i="36"/>
  <c r="W31" i="34"/>
  <c r="AA14" i="34"/>
  <c r="S45" i="33"/>
  <c r="F17" i="21"/>
  <c r="AA17" i="21"/>
  <c r="H17" i="21"/>
  <c r="AB17" i="21"/>
  <c r="F15" i="21"/>
  <c r="S15" i="21"/>
  <c r="J41" i="39"/>
  <c r="W41" i="39"/>
  <c r="W44"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17" i="37"/>
  <c r="U17" i="37"/>
  <c r="AB27" i="37"/>
  <c r="AA36" i="39"/>
  <c r="E123" i="33"/>
  <c r="F123" i="33"/>
  <c r="G123" i="33"/>
  <c r="H123" i="33"/>
  <c r="I123" i="33"/>
  <c r="J123" i="33"/>
  <c r="K123" i="33"/>
  <c r="L123" i="33"/>
  <c r="M123"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S27" i="31"/>
  <c r="S26" i="31"/>
  <c r="U39" i="37"/>
  <c r="U26" i="37"/>
  <c r="W47" i="34"/>
  <c r="AC36" i="34"/>
  <c r="U19" i="21"/>
  <c r="W44"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S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G4" i="4"/>
  <c r="I4" i="4"/>
  <c r="A2" i="9"/>
  <c r="F61" i="43"/>
  <c r="H64" i="43"/>
  <c r="F29" i="6"/>
  <c r="U36" i="40"/>
  <c r="F83" i="43"/>
  <c r="H85" i="43"/>
  <c r="F50" i="43"/>
  <c r="H54" i="43"/>
  <c r="G54" i="43"/>
  <c r="M54" i="43"/>
  <c r="N54" i="43"/>
  <c r="F72" i="43"/>
  <c r="H75" i="43"/>
  <c r="U17" i="39"/>
  <c r="S14" i="35"/>
  <c r="U43" i="21"/>
  <c r="U35" i="21"/>
  <c r="AC35" i="21"/>
  <c r="AC11" i="39"/>
  <c r="W37" i="37"/>
  <c r="W44" i="34"/>
  <c r="AC44" i="34"/>
  <c r="U13" i="37"/>
  <c r="U12" i="40"/>
  <c r="AA12" i="40"/>
  <c r="AC17" i="34"/>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B29" i="36"/>
  <c r="U29" i="36"/>
  <c r="H32" i="37"/>
  <c r="AB32" i="37"/>
  <c r="F96" i="37"/>
  <c r="H27" i="40"/>
  <c r="AB27" i="40"/>
  <c r="U27" i="40"/>
  <c r="J27" i="40"/>
  <c r="AC27" i="40"/>
  <c r="F27" i="40"/>
  <c r="AA27" i="40"/>
  <c r="S27" i="40"/>
  <c r="J30" i="40"/>
  <c r="AC30" i="40"/>
  <c r="F30" i="40"/>
  <c r="S30" i="40"/>
  <c r="AA30" i="40"/>
  <c r="AC21" i="40"/>
  <c r="S31" i="39"/>
  <c r="S11" i="40"/>
  <c r="E98" i="40"/>
  <c r="F98" i="40"/>
  <c r="G98" i="40"/>
  <c r="H98" i="40"/>
  <c r="I98" i="40"/>
  <c r="J98" i="40"/>
  <c r="K98" i="40"/>
  <c r="L98" i="40"/>
  <c r="M98" i="40"/>
  <c r="S10" i="33"/>
  <c r="S34" i="33"/>
  <c r="U34" i="33"/>
  <c r="F39" i="34"/>
  <c r="AA39" i="34"/>
  <c r="J39" i="34"/>
  <c r="W39" i="34"/>
  <c r="F40" i="34"/>
  <c r="S40" i="34"/>
  <c r="F43" i="34"/>
  <c r="H44" i="34"/>
  <c r="U44" i="34"/>
  <c r="AC38" i="39"/>
  <c r="F39" i="39"/>
  <c r="S39" i="39"/>
  <c r="J39" i="39"/>
  <c r="AC39" i="39"/>
  <c r="E96" i="39"/>
  <c r="F96" i="39"/>
  <c r="G96" i="39"/>
  <c r="C40" i="11"/>
  <c r="F23" i="39"/>
  <c r="H27" i="36"/>
  <c r="U27" i="36"/>
  <c r="F27" i="36"/>
  <c r="AA27" i="36"/>
  <c r="H33" i="34"/>
  <c r="F32" i="37"/>
  <c r="AA32" i="37"/>
  <c r="G96" i="37"/>
  <c r="H96" i="37"/>
  <c r="I96" i="37"/>
  <c r="J96" i="37"/>
  <c r="K96" i="37"/>
  <c r="L96" i="37"/>
  <c r="M96" i="37"/>
  <c r="F20" i="36"/>
  <c r="AA20" i="36"/>
  <c r="J33" i="34"/>
  <c r="AC33" i="34"/>
  <c r="H23" i="39"/>
  <c r="U23" i="39"/>
  <c r="D48" i="9"/>
  <c r="M52" i="9"/>
  <c r="K9" i="1"/>
  <c r="M9" i="1"/>
  <c r="D93" i="9"/>
  <c r="AP6" i="1"/>
  <c r="W27" i="34"/>
  <c r="AC27" i="34"/>
  <c r="AB34" i="36"/>
  <c r="U34" i="36"/>
  <c r="AB33" i="36"/>
  <c r="U33" i="36"/>
  <c r="AC12" i="39"/>
  <c r="W12" i="39"/>
  <c r="AA32" i="36"/>
  <c r="S32" i="36"/>
  <c r="AC13" i="34"/>
  <c r="AA47" i="34"/>
  <c r="W28" i="37"/>
  <c r="S19" i="39"/>
  <c r="S12" i="33"/>
  <c r="H12" i="39"/>
  <c r="U12" i="39"/>
  <c r="AB12" i="39"/>
  <c r="F39" i="40"/>
  <c r="B12" i="1"/>
  <c r="E12" i="1"/>
  <c r="B10" i="1"/>
  <c r="E10" i="1"/>
  <c r="K12" i="1"/>
  <c r="M12" i="1"/>
  <c r="S13" i="1"/>
  <c r="AR13" i="1"/>
  <c r="R13" i="1"/>
  <c r="C24" i="12"/>
  <c r="F48" i="9"/>
  <c r="O52" i="9"/>
  <c r="AB37" i="40"/>
  <c r="S35" i="40"/>
  <c r="U35" i="40"/>
  <c r="W38" i="40"/>
  <c r="AA32" i="40"/>
  <c r="S17" i="40"/>
  <c r="S23" i="40"/>
  <c r="AC17" i="40"/>
  <c r="AC15" i="40"/>
  <c r="AA19" i="40"/>
  <c r="S28" i="40"/>
  <c r="U21" i="40"/>
  <c r="AB19" i="40"/>
  <c r="U37" i="39"/>
  <c r="S43" i="39"/>
  <c r="S37" i="39"/>
  <c r="U35" i="39"/>
  <c r="F32" i="39"/>
  <c r="F106" i="39"/>
  <c r="G106" i="39"/>
  <c r="H106" i="39"/>
  <c r="I106" i="39"/>
  <c r="J106" i="39"/>
  <c r="K106" i="39"/>
  <c r="L106" i="39"/>
  <c r="M106" i="39"/>
  <c r="U25" i="39"/>
  <c r="AB27" i="39"/>
  <c r="U31" i="39"/>
  <c r="J21" i="39"/>
  <c r="W21" i="39"/>
  <c r="F21" i="39"/>
  <c r="G94" i="39"/>
  <c r="H21" i="39"/>
  <c r="U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B17" i="37"/>
  <c r="F75" i="37"/>
  <c r="F19" i="37"/>
  <c r="S19" i="37"/>
  <c r="F79" i="37"/>
  <c r="F23" i="37"/>
  <c r="S23" i="37"/>
  <c r="U15" i="37"/>
  <c r="AC13" i="37"/>
  <c r="AA13" i="37"/>
  <c r="H10" i="37"/>
  <c r="AB10" i="37"/>
  <c r="F63" i="37"/>
  <c r="G63" i="37"/>
  <c r="H63" i="37"/>
  <c r="I63" i="37"/>
  <c r="F11" i="37"/>
  <c r="S11" i="37"/>
  <c r="W25" i="34"/>
  <c r="AB8" i="34"/>
  <c r="AA33" i="34"/>
  <c r="U43" i="34"/>
  <c r="AC39" i="34"/>
  <c r="W41" i="34"/>
  <c r="AC42" i="34"/>
  <c r="AB35" i="34"/>
  <c r="U39" i="34"/>
  <c r="AB41" i="34"/>
  <c r="AA45" i="34"/>
  <c r="AA25" i="34"/>
  <c r="U28" i="34"/>
  <c r="S17" i="34"/>
  <c r="AA29" i="34"/>
  <c r="U27" i="34"/>
  <c r="S23" i="34"/>
  <c r="U15" i="34"/>
  <c r="S13" i="34"/>
  <c r="H10" i="34"/>
  <c r="AB10" i="34"/>
  <c r="F11" i="34"/>
  <c r="S11" i="34"/>
  <c r="F70" i="34"/>
  <c r="W42" i="33"/>
  <c r="U41" i="33"/>
  <c r="F121" i="33"/>
  <c r="G121" i="33"/>
  <c r="H121" i="33"/>
  <c r="I121" i="33"/>
  <c r="J121" i="33"/>
  <c r="K121" i="33"/>
  <c r="L121" i="33"/>
  <c r="M121" i="33"/>
  <c r="G111" i="33"/>
  <c r="G108" i="33"/>
  <c r="H108" i="33"/>
  <c r="I108" i="33"/>
  <c r="J108" i="33"/>
  <c r="K108" i="33"/>
  <c r="L108" i="33"/>
  <c r="M108" i="33"/>
  <c r="W35" i="33"/>
  <c r="S46" i="33"/>
  <c r="W43" i="33"/>
  <c r="S43" i="33"/>
  <c r="U25" i="33"/>
  <c r="F85" i="33"/>
  <c r="F81" i="33"/>
  <c r="G81" i="33"/>
  <c r="S19" i="33"/>
  <c r="S15" i="33"/>
  <c r="W10" i="33"/>
  <c r="U10" i="33"/>
  <c r="W43" i="21"/>
  <c r="W36" i="21"/>
  <c r="W41" i="21"/>
  <c r="AB39" i="21"/>
  <c r="AA43" i="21"/>
  <c r="S39" i="21"/>
  <c r="AA38" i="21"/>
  <c r="AA36" i="21"/>
  <c r="AC40" i="21"/>
  <c r="J15" i="21"/>
  <c r="W15" i="21"/>
  <c r="F77" i="21"/>
  <c r="G77" i="21"/>
  <c r="F23" i="21"/>
  <c r="S23" i="21"/>
  <c r="E85" i="21"/>
  <c r="AA14" i="21"/>
  <c r="D120" i="9"/>
  <c r="M20" i="67"/>
  <c r="J56" i="9"/>
  <c r="J57" i="9"/>
  <c r="J59" i="9"/>
  <c r="J61" i="9"/>
  <c r="A24" i="51"/>
  <c r="B18" i="72"/>
  <c r="U29" i="34"/>
  <c r="E32" i="6"/>
  <c r="G1" i="68"/>
  <c r="K1" i="12"/>
  <c r="E19" i="68"/>
  <c r="G22" i="69"/>
  <c r="G22" i="68"/>
  <c r="G26" i="12"/>
  <c r="G22" i="11"/>
  <c r="C6" i="43"/>
  <c r="B19" i="53"/>
  <c r="B37" i="72"/>
  <c r="C7" i="35"/>
  <c r="C48" i="35"/>
  <c r="D48" i="35"/>
  <c r="M47" i="9"/>
  <c r="A4" i="51"/>
  <c r="B6" i="72"/>
  <c r="L20" i="6"/>
  <c r="B6" i="1"/>
  <c r="E6" i="1"/>
  <c r="K11" i="1"/>
  <c r="M11" i="1"/>
  <c r="O11" i="1"/>
  <c r="B9" i="1"/>
  <c r="E9" i="1"/>
  <c r="K7" i="1"/>
  <c r="M7" i="1"/>
  <c r="O7" i="1"/>
  <c r="P7" i="1"/>
  <c r="G1" i="15"/>
  <c r="G1" i="69"/>
  <c r="W23" i="40"/>
  <c r="U32" i="40"/>
  <c r="AB31"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S33" i="33"/>
  <c r="W14" i="33"/>
  <c r="S31" i="33"/>
  <c r="U15" i="33"/>
  <c r="S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c r="B73" i="72"/>
  <c r="C4" i="4"/>
  <c r="F30" i="68"/>
  <c r="F48" i="68"/>
  <c r="F30" i="11"/>
  <c r="C48" i="11"/>
  <c r="F31" i="12"/>
  <c r="F52" i="9"/>
  <c r="M18" i="67"/>
  <c r="F32" i="67"/>
  <c r="F60" i="67"/>
  <c r="F30" i="69"/>
  <c r="F48" i="69"/>
  <c r="F32" i="15"/>
  <c r="F60" i="15"/>
  <c r="M18" i="15"/>
  <c r="F28" i="15"/>
  <c r="AA39" i="40"/>
  <c r="S39" i="40"/>
  <c r="D68" i="9"/>
  <c r="F54" i="9"/>
  <c r="J32" i="39"/>
  <c r="H32" i="39"/>
  <c r="AB32" i="39"/>
  <c r="AA32" i="39"/>
  <c r="S32" i="39"/>
  <c r="AB21" i="39"/>
  <c r="AA21" i="39"/>
  <c r="S21" i="39"/>
  <c r="AC17" i="37"/>
  <c r="J19" i="37"/>
  <c r="W19" i="37"/>
  <c r="G75" i="37"/>
  <c r="AA19" i="37"/>
  <c r="AA23" i="37"/>
  <c r="J23" i="37"/>
  <c r="AC23" i="37"/>
  <c r="G79" i="37"/>
  <c r="J10" i="37"/>
  <c r="W10" i="37"/>
  <c r="H11" i="37"/>
  <c r="AB11" i="37"/>
  <c r="G70" i="34"/>
  <c r="H11" i="34"/>
  <c r="U11" i="34"/>
  <c r="J10" i="34"/>
  <c r="AC10" i="34"/>
  <c r="H111" i="33"/>
  <c r="I111" i="33"/>
  <c r="J111" i="33"/>
  <c r="K111" i="33"/>
  <c r="L111" i="33"/>
  <c r="M111" i="33"/>
  <c r="W36" i="33"/>
  <c r="U36" i="33"/>
  <c r="G85" i="33"/>
  <c r="U19" i="33"/>
  <c r="S37" i="21"/>
  <c r="AA23" i="21"/>
  <c r="AB15" i="21"/>
  <c r="J23" i="21"/>
  <c r="F85" i="21"/>
  <c r="G85" i="21"/>
  <c r="H23" i="21"/>
  <c r="AB23" i="21"/>
  <c r="S13" i="21"/>
  <c r="AP7" i="1"/>
  <c r="AB45" i="21"/>
  <c r="AB9" i="21"/>
  <c r="AA32" i="21"/>
  <c r="S32" i="21"/>
  <c r="AB32" i="21"/>
  <c r="U32" i="21"/>
  <c r="U32" i="39"/>
  <c r="AC32" i="39"/>
  <c r="W32" i="39"/>
  <c r="W23" i="37"/>
  <c r="J63" i="37"/>
  <c r="K63" i="37"/>
  <c r="L63" i="37"/>
  <c r="M63" i="37"/>
  <c r="J11" i="37"/>
  <c r="AC11" i="37"/>
  <c r="H70" i="34"/>
  <c r="I70" i="34"/>
  <c r="J70" i="34"/>
  <c r="K70" i="34"/>
  <c r="L70" i="34"/>
  <c r="M70" i="34"/>
  <c r="J11" i="34"/>
  <c r="W11" i="34"/>
  <c r="U23" i="21"/>
  <c r="AC23" i="21"/>
  <c r="W23" i="21"/>
  <c r="H109" i="9"/>
  <c r="H112" i="9"/>
  <c r="D21" i="53"/>
  <c r="B39" i="72"/>
  <c r="H111" i="9"/>
  <c r="D126" i="9"/>
  <c r="AD3"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D21" i="71"/>
  <c r="F7" i="73"/>
  <c r="E11" i="76"/>
  <c r="J15" i="15"/>
  <c r="F37" i="15"/>
  <c r="B7" i="76"/>
  <c r="D35" i="9"/>
  <c r="E9" i="76"/>
  <c r="B13" i="76"/>
  <c r="F5" i="73"/>
  <c r="E7" i="76"/>
  <c r="E12" i="76"/>
  <c r="F43" i="15"/>
  <c r="B12" i="76"/>
  <c r="M26" i="15"/>
  <c r="B9" i="76"/>
  <c r="F9" i="15"/>
  <c r="M28" i="15"/>
  <c r="F26" i="15"/>
  <c r="E13" i="76"/>
  <c r="F6" i="73"/>
  <c r="AO13" i="1"/>
  <c r="F40" i="15"/>
  <c r="B8" i="76"/>
  <c r="F6" i="15"/>
  <c r="F20" i="31"/>
  <c r="F38" i="15"/>
  <c r="F7" i="15"/>
  <c r="M29" i="15"/>
  <c r="M24" i="15"/>
  <c r="B10" i="76"/>
  <c r="E2" i="68"/>
  <c r="E10" i="76"/>
  <c r="F3" i="73"/>
  <c r="F13" i="15"/>
  <c r="L47" i="15"/>
  <c r="M8" i="15"/>
  <c r="D34" i="9"/>
  <c r="M9" i="15"/>
  <c r="M6" i="15"/>
  <c r="M23" i="15"/>
  <c r="B11" i="76"/>
  <c r="F42" i="15"/>
  <c r="D6" i="73"/>
  <c r="E2" i="69"/>
  <c r="E8" i="76"/>
  <c r="G101" i="33"/>
  <c r="H101" i="33"/>
  <c r="I101" i="33"/>
  <c r="J101" i="33"/>
  <c r="K101" i="33"/>
  <c r="L101" i="33"/>
  <c r="M101" i="33"/>
  <c r="F91" i="33"/>
  <c r="G91" i="33"/>
  <c r="H91" i="33"/>
  <c r="I91" i="33"/>
  <c r="J91" i="33"/>
  <c r="K91" i="33"/>
  <c r="L91" i="33"/>
  <c r="M91" i="33"/>
  <c r="G87" i="33"/>
  <c r="H87" i="33"/>
  <c r="I87" i="33"/>
  <c r="J87" i="33"/>
  <c r="K87" i="33"/>
  <c r="L87" i="33"/>
  <c r="M87" i="33"/>
  <c r="S25" i="33"/>
  <c r="S17" i="33"/>
  <c r="U17" i="33"/>
  <c r="F79" i="33"/>
  <c r="G79" i="33"/>
  <c r="W13" i="33"/>
  <c r="W44" i="33"/>
  <c r="S30" i="33"/>
  <c r="U30" i="33"/>
  <c r="F7" i="1"/>
  <c r="G7" i="1"/>
  <c r="G44" i="43"/>
  <c r="S42" i="33"/>
  <c r="S41" i="33"/>
  <c r="W39" i="33"/>
  <c r="S39" i="33"/>
  <c r="U37" i="33"/>
  <c r="W37" i="33"/>
  <c r="W27" i="33"/>
  <c r="W26" i="33"/>
  <c r="W19" i="33"/>
  <c r="W15" i="33"/>
  <c r="S11" i="33"/>
  <c r="U42" i="33"/>
  <c r="W41" i="33"/>
  <c r="U39" i="33"/>
  <c r="S38" i="33"/>
  <c r="U38" i="33"/>
  <c r="S37" i="33"/>
  <c r="U35" i="33"/>
  <c r="W32" i="33"/>
  <c r="S32" i="33"/>
  <c r="U27" i="33"/>
  <c r="U26" i="33"/>
  <c r="W25" i="33"/>
  <c r="U11" i="33"/>
  <c r="K54" i="43"/>
  <c r="J54" i="43"/>
  <c r="D54" i="43"/>
  <c r="F34" i="67"/>
  <c r="F62" i="67"/>
  <c r="F34" i="15"/>
  <c r="F62" i="15"/>
  <c r="E19" i="69"/>
  <c r="D22" i="15"/>
  <c r="G29" i="6"/>
  <c r="C29" i="39"/>
  <c r="B75" i="43"/>
  <c r="B68" i="43"/>
  <c r="B57" i="43"/>
  <c r="C7" i="40"/>
  <c r="C63" i="40"/>
  <c r="C7" i="39"/>
  <c r="C67" i="39"/>
  <c r="C7" i="36"/>
  <c r="C46" i="36"/>
  <c r="D46" i="36"/>
  <c r="E46" i="36"/>
  <c r="F46" i="36"/>
  <c r="G46" i="36"/>
  <c r="H46" i="36"/>
  <c r="I46" i="36"/>
  <c r="C7" i="21"/>
  <c r="C58" i="21"/>
  <c r="D58" i="21"/>
  <c r="C7" i="34"/>
  <c r="G23" i="43"/>
  <c r="C23" i="43"/>
  <c r="AA23" i="39"/>
  <c r="S23" i="39"/>
  <c r="AB34" i="35"/>
  <c r="U34" i="35"/>
  <c r="W9" i="21"/>
  <c r="U23" i="33"/>
  <c r="U33" i="34"/>
  <c r="AB33" i="34"/>
  <c r="W17" i="33"/>
  <c r="D121" i="9"/>
  <c r="D7" i="52"/>
  <c r="D6" i="52"/>
  <c r="S36" i="33"/>
  <c r="AA17" i="37"/>
  <c r="S17" i="37"/>
  <c r="AA43" i="34"/>
  <c r="S43" i="34"/>
  <c r="S35" i="33"/>
  <c r="AA20" i="35"/>
  <c r="S20" i="35"/>
  <c r="U33" i="33"/>
  <c r="W40" i="33"/>
  <c r="H23" i="36"/>
  <c r="J23" i="36"/>
  <c r="AA40" i="39"/>
  <c r="S40" i="39"/>
  <c r="S38" i="40"/>
  <c r="AA38" i="40"/>
  <c r="W31" i="35"/>
  <c r="AC31" i="35"/>
  <c r="S44" i="34"/>
  <c r="AA14" i="37"/>
  <c r="U17" i="34"/>
  <c r="AB17" i="34"/>
  <c r="B101" i="43"/>
  <c r="B79" i="43"/>
  <c r="J23" i="35"/>
  <c r="H23" i="35"/>
  <c r="AC22" i="35"/>
  <c r="W22" i="35"/>
  <c r="F23" i="36"/>
  <c r="AA34" i="40"/>
  <c r="S34" i="40"/>
  <c r="J39" i="40"/>
  <c r="H39" i="40"/>
  <c r="W33" i="34"/>
  <c r="AA40" i="34"/>
  <c r="S31" i="40"/>
  <c r="U23" i="37"/>
  <c r="AC36" i="40"/>
  <c r="AA11" i="39"/>
  <c r="AC12" i="37"/>
  <c r="AC28" i="21"/>
  <c r="AB46" i="34"/>
  <c r="AB30" i="21"/>
  <c r="AC11" i="35"/>
  <c r="W32" i="40"/>
  <c r="AC27" i="35"/>
  <c r="AB33" i="40"/>
  <c r="S11" i="36"/>
  <c r="AA29" i="35"/>
  <c r="AA35" i="34"/>
  <c r="S35" i="34"/>
  <c r="U12" i="35"/>
  <c r="AB12" i="35"/>
  <c r="J45" i="39"/>
  <c r="W45" i="39"/>
  <c r="H38" i="40"/>
  <c r="W8" i="40"/>
  <c r="H9" i="34"/>
  <c r="F12" i="34"/>
  <c r="S12" i="34"/>
  <c r="F66" i="71"/>
  <c r="Q67" i="71"/>
  <c r="C55" i="71"/>
  <c r="D54" i="71"/>
  <c r="D31" i="71"/>
  <c r="C32" i="71"/>
  <c r="C44" i="71"/>
  <c r="D43" i="71"/>
  <c r="D34" i="71"/>
  <c r="C35" i="71"/>
  <c r="D50" i="71"/>
  <c r="C51" i="71"/>
  <c r="V24" i="71"/>
  <c r="E23" i="71"/>
  <c r="E22" i="71"/>
  <c r="E21" i="71"/>
  <c r="E20" i="71"/>
  <c r="F3" i="35"/>
  <c r="S21" i="37"/>
  <c r="B77" i="43"/>
  <c r="AA28" i="71"/>
  <c r="AB27" i="71"/>
  <c r="E75" i="71"/>
  <c r="E74" i="71"/>
  <c r="AB25" i="71"/>
  <c r="X26" i="71"/>
  <c r="Y25" i="71"/>
  <c r="Z25" i="71"/>
  <c r="X38" i="71"/>
  <c r="Y29" i="71"/>
  <c r="Z29" i="71"/>
  <c r="AB32" i="71"/>
  <c r="X33" i="71"/>
  <c r="P66" i="71"/>
  <c r="C66" i="71"/>
  <c r="AA27" i="71"/>
  <c r="AB26" i="71"/>
  <c r="S28" i="71"/>
  <c r="C83" i="71"/>
  <c r="C79" i="71"/>
  <c r="C71" i="71"/>
  <c r="C39" i="71"/>
  <c r="Y28" i="71"/>
  <c r="Z28" i="71"/>
  <c r="C28" i="71"/>
  <c r="Y37" i="71"/>
  <c r="Z37" i="71"/>
  <c r="Y30" i="71"/>
  <c r="Z30" i="71"/>
  <c r="X28" i="71"/>
  <c r="X32" i="71"/>
  <c r="F38" i="71"/>
  <c r="F39" i="71"/>
  <c r="F40" i="71"/>
  <c r="V40" i="71"/>
  <c r="AB38" i="71"/>
  <c r="AA39" i="71"/>
  <c r="F75" i="71"/>
  <c r="F74" i="71"/>
  <c r="B79" i="71"/>
  <c r="B78" i="71"/>
  <c r="S21" i="34"/>
  <c r="B88" i="43"/>
  <c r="K13" i="1"/>
  <c r="M13" i="1"/>
  <c r="O13" i="1"/>
  <c r="P13" i="1"/>
  <c r="AC21" i="37"/>
  <c r="U21" i="34"/>
  <c r="AB28" i="71"/>
  <c r="AB33" i="71"/>
  <c r="AA30" i="71"/>
  <c r="E35" i="71"/>
  <c r="E36" i="71"/>
  <c r="U36" i="71"/>
  <c r="AB31" i="71"/>
  <c r="AA36" i="71"/>
  <c r="Y38" i="71"/>
  <c r="Z38" i="71"/>
  <c r="B47" i="71"/>
  <c r="B48" i="71"/>
  <c r="S48" i="71"/>
  <c r="E47" i="71"/>
  <c r="E48" i="71"/>
  <c r="U48" i="71"/>
  <c r="F9" i="1"/>
  <c r="G9" i="1"/>
  <c r="F10" i="1"/>
  <c r="G10" i="1"/>
  <c r="F8" i="1"/>
  <c r="G8" i="1"/>
  <c r="H69" i="43"/>
  <c r="S23" i="33"/>
  <c r="E19" i="71"/>
  <c r="E18" i="71"/>
  <c r="E17" i="71"/>
  <c r="E16" i="71"/>
  <c r="V20" i="71"/>
  <c r="S29" i="21"/>
  <c r="AB44" i="34"/>
  <c r="S39" i="34"/>
  <c r="AC13" i="36"/>
  <c r="W13" i="36"/>
  <c r="U31" i="33"/>
  <c r="S15" i="34"/>
  <c r="AB33" i="35"/>
  <c r="U33" i="35"/>
  <c r="U43" i="33"/>
  <c r="AB33" i="37"/>
  <c r="U33" i="37"/>
  <c r="AC19" i="37"/>
  <c r="W23" i="33"/>
  <c r="AB13" i="34"/>
  <c r="S41" i="34"/>
  <c r="AA41" i="34"/>
  <c r="AC14" i="37"/>
  <c r="W14" i="37"/>
  <c r="U28" i="37"/>
  <c r="AB28" i="37"/>
  <c r="W30" i="34"/>
  <c r="AC30" i="34"/>
  <c r="W29" i="33"/>
  <c r="W46" i="21"/>
  <c r="AC46" i="21"/>
  <c r="D19" i="53"/>
  <c r="B38" i="72"/>
  <c r="D16" i="53"/>
  <c r="B34" i="72"/>
  <c r="AB35" i="35"/>
  <c r="U35" i="35"/>
  <c r="S13" i="35"/>
  <c r="AA13" i="35"/>
  <c r="AB31" i="34"/>
  <c r="U31" i="34"/>
  <c r="S12" i="21"/>
  <c r="AA12" i="21"/>
  <c r="S12" i="35"/>
  <c r="AA12" i="35"/>
  <c r="AC45" i="39"/>
  <c r="AA12" i="34"/>
  <c r="S34" i="21"/>
  <c r="J34" i="35"/>
  <c r="F34" i="35"/>
  <c r="J26" i="37"/>
  <c r="F26" i="37"/>
  <c r="F40" i="40"/>
  <c r="W35" i="39"/>
  <c r="F27" i="34"/>
  <c r="C21" i="39"/>
  <c r="U9" i="36"/>
  <c r="U14" i="37"/>
  <c r="H12" i="21"/>
  <c r="U26" i="21"/>
  <c r="W36" i="39"/>
  <c r="U23" i="40"/>
  <c r="AA39" i="37"/>
  <c r="AC16" i="36"/>
  <c r="C27" i="39"/>
  <c r="U40" i="40"/>
  <c r="AC9" i="40"/>
  <c r="W36" i="35"/>
  <c r="J12" i="21"/>
  <c r="B73" i="43"/>
  <c r="B76" i="43"/>
  <c r="F9" i="36"/>
  <c r="J40" i="40"/>
  <c r="AB21" i="21"/>
  <c r="AC21" i="34"/>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G50" i="43"/>
  <c r="H83" i="43"/>
  <c r="S22" i="31"/>
  <c r="R22" i="3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S9" i="33"/>
  <c r="S8" i="33"/>
  <c r="U8" i="33"/>
  <c r="W8" i="21"/>
  <c r="S8" i="21"/>
  <c r="AA11" i="21"/>
  <c r="AC11" i="21"/>
  <c r="AB11" i="21"/>
  <c r="C30" i="69"/>
  <c r="F53" i="9"/>
  <c r="C5" i="11"/>
  <c r="C4" i="12"/>
  <c r="E14" i="6"/>
  <c r="E63" i="39"/>
  <c r="I4" i="6"/>
  <c r="G3" i="43"/>
  <c r="H26" i="43"/>
  <c r="E29" i="6"/>
  <c r="K15" i="1"/>
  <c r="F30" i="6"/>
  <c r="G30" i="6"/>
  <c r="G31" i="6"/>
  <c r="L19" i="6"/>
  <c r="L27" i="6"/>
  <c r="M6" i="1"/>
  <c r="O6" i="1"/>
  <c r="T13" i="1"/>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c r="H51" i="43"/>
  <c r="G51" i="43"/>
  <c r="H56" i="43"/>
  <c r="G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E59" i="40"/>
  <c r="K14" i="1"/>
  <c r="D9" i="11"/>
  <c r="C9" i="11"/>
  <c r="D19" i="12"/>
  <c r="C19" i="12"/>
  <c r="O9" i="1"/>
  <c r="P9" i="1"/>
  <c r="O12" i="1"/>
  <c r="P12" i="1"/>
  <c r="O8" i="1"/>
  <c r="P8" i="1"/>
  <c r="H73" i="43"/>
  <c r="H90" i="43"/>
  <c r="O23" i="43"/>
  <c r="I18" i="43"/>
  <c r="E17" i="43"/>
  <c r="C17" i="43"/>
  <c r="A1" i="79"/>
  <c r="H55" i="43"/>
  <c r="G55" i="43"/>
  <c r="H86" i="43"/>
  <c r="H87" i="43"/>
  <c r="N94" i="46"/>
  <c r="H89" i="43"/>
  <c r="H88" i="43"/>
  <c r="H84" i="43"/>
  <c r="C69" i="39"/>
  <c r="D67" i="39"/>
  <c r="D69" i="39"/>
  <c r="T35" i="4"/>
  <c r="A19" i="51"/>
  <c r="B14" i="72"/>
  <c r="H110" i="9"/>
  <c r="D18" i="53"/>
  <c r="B35" i="72"/>
  <c r="H52" i="43"/>
  <c r="G52" i="43"/>
  <c r="K5" i="4"/>
  <c r="B47" i="48"/>
  <c r="Y8" i="71"/>
  <c r="Z8" i="71"/>
  <c r="X8" i="71"/>
  <c r="AB8" i="71"/>
  <c r="AA8" i="71"/>
  <c r="B8" i="74"/>
  <c r="C8" i="74"/>
  <c r="D127" i="9"/>
  <c r="D13" i="52"/>
  <c r="D12" i="52"/>
  <c r="D20" i="53"/>
  <c r="B40" i="72"/>
  <c r="H76" i="43"/>
  <c r="H72" i="43"/>
  <c r="H63" i="43"/>
  <c r="H61" i="43"/>
  <c r="H53" i="43"/>
  <c r="G53" i="43"/>
  <c r="H79" i="43"/>
  <c r="D17" i="53"/>
  <c r="B36" i="72"/>
  <c r="D124" i="9"/>
  <c r="H74" i="43"/>
  <c r="H57" i="43"/>
  <c r="G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P26" i="43"/>
  <c r="B20" i="31"/>
  <c r="B21" i="31"/>
  <c r="M7" i="15"/>
  <c r="J6" i="15"/>
  <c r="F50" i="15"/>
  <c r="F71" i="15"/>
  <c r="L59" i="15"/>
  <c r="N59" i="15"/>
  <c r="M59" i="15"/>
  <c r="F66" i="15"/>
  <c r="C27" i="15"/>
  <c r="F65" i="15"/>
  <c r="B13" i="70"/>
  <c r="F64" i="67"/>
  <c r="F68" i="15"/>
  <c r="C36" i="68"/>
  <c r="D9" i="69"/>
  <c r="C36" i="69"/>
  <c r="D9" i="68"/>
  <c r="M24" i="67"/>
  <c r="M26" i="67"/>
  <c r="D4" i="73"/>
  <c r="F36" i="15"/>
  <c r="M28" i="67"/>
  <c r="C76" i="15"/>
  <c r="M22" i="67"/>
  <c r="F16" i="15"/>
  <c r="J15" i="67"/>
  <c r="M22" i="15"/>
  <c r="D7" i="73"/>
  <c r="M29" i="67"/>
  <c r="L48" i="15"/>
  <c r="D3" i="73"/>
  <c r="F8" i="15"/>
  <c r="L47" i="67"/>
  <c r="C76" i="67"/>
  <c r="M23" i="67"/>
  <c r="U32" i="33"/>
  <c r="S27" i="33"/>
  <c r="U44" i="33"/>
  <c r="W30" i="33"/>
  <c r="Q50" i="67"/>
  <c r="L56" i="67"/>
  <c r="I54" i="67"/>
  <c r="N370" i="46"/>
  <c r="E26" i="43"/>
  <c r="G26" i="43"/>
  <c r="K58" i="43"/>
  <c r="M58" i="43"/>
  <c r="N58" i="43"/>
  <c r="M57" i="43"/>
  <c r="N57" i="43"/>
  <c r="K57" i="43"/>
  <c r="J57" i="43"/>
  <c r="D57" i="43"/>
  <c r="M51" i="43"/>
  <c r="N51" i="43"/>
  <c r="K51" i="43"/>
  <c r="J51" i="43"/>
  <c r="M50" i="43"/>
  <c r="N50" i="43"/>
  <c r="K50" i="43"/>
  <c r="K52" i="43"/>
  <c r="M52" i="43"/>
  <c r="N52" i="43"/>
  <c r="K55" i="43"/>
  <c r="M55" i="43"/>
  <c r="N55" i="43"/>
  <c r="M53" i="43"/>
  <c r="N53" i="43"/>
  <c r="K53" i="43"/>
  <c r="M56" i="43"/>
  <c r="N56" i="43"/>
  <c r="K56" i="43"/>
  <c r="J26" i="43"/>
  <c r="F26" i="43"/>
  <c r="D26" i="43"/>
  <c r="P6" i="1"/>
  <c r="C13" i="12"/>
  <c r="H16" i="1"/>
  <c r="K16" i="1"/>
  <c r="Q16" i="1"/>
  <c r="F27" i="69"/>
  <c r="C47" i="69"/>
  <c r="D45" i="69"/>
  <c r="J7" i="36"/>
  <c r="G16" i="1"/>
  <c r="F10" i="39"/>
  <c r="S10" i="39"/>
  <c r="F65" i="67"/>
  <c r="F64" i="15"/>
  <c r="F66" i="67"/>
  <c r="F71" i="67"/>
  <c r="F31" i="15"/>
  <c r="C6" i="15"/>
  <c r="C32" i="15"/>
  <c r="F51" i="15"/>
  <c r="C49" i="15"/>
  <c r="Q71" i="67"/>
  <c r="F68" i="67"/>
  <c r="F50" i="67"/>
  <c r="J18" i="67"/>
  <c r="N59" i="67"/>
  <c r="L59" i="67"/>
  <c r="Q74" i="67"/>
  <c r="L58" i="67"/>
  <c r="Q73" i="67"/>
  <c r="M59" i="67"/>
  <c r="I54" i="15"/>
  <c r="L58" i="15"/>
  <c r="Q60" i="15"/>
  <c r="J53" i="15"/>
  <c r="L56" i="15"/>
  <c r="J57" i="15"/>
  <c r="J55" i="15"/>
  <c r="J58" i="15"/>
  <c r="Q50" i="15"/>
  <c r="Q71" i="15"/>
  <c r="C32" i="67"/>
  <c r="F51" i="67"/>
  <c r="F59" i="67"/>
  <c r="B3" i="3"/>
  <c r="E212" i="3"/>
  <c r="C70" i="71"/>
  <c r="D70" i="71"/>
  <c r="D71" i="71"/>
  <c r="U39" i="40"/>
  <c r="AB39" i="40"/>
  <c r="S23" i="36"/>
  <c r="AA23" i="36"/>
  <c r="AC23" i="35"/>
  <c r="W23" i="35"/>
  <c r="AC23" i="36"/>
  <c r="W23" i="36"/>
  <c r="T28" i="71"/>
  <c r="D28" i="71"/>
  <c r="U28" i="71"/>
  <c r="C27" i="71"/>
  <c r="D79" i="71"/>
  <c r="C78" i="71"/>
  <c r="D78" i="71"/>
  <c r="C52" i="71"/>
  <c r="D51" i="71"/>
  <c r="D44" i="71"/>
  <c r="T44" i="71"/>
  <c r="U9" i="34"/>
  <c r="AB9" i="34"/>
  <c r="AB38" i="40"/>
  <c r="U38" i="40"/>
  <c r="W39" i="40"/>
  <c r="AC39" i="40"/>
  <c r="AB23" i="36"/>
  <c r="U23" i="36"/>
  <c r="D83" i="71"/>
  <c r="C82" i="71"/>
  <c r="D82" i="71"/>
  <c r="O65" i="71"/>
  <c r="D66" i="71"/>
  <c r="O66" i="71"/>
  <c r="T32" i="71"/>
  <c r="D32" i="71"/>
  <c r="W12" i="33"/>
  <c r="U9" i="33"/>
  <c r="C40" i="71"/>
  <c r="D39" i="71"/>
  <c r="C36" i="71"/>
  <c r="D35" i="71"/>
  <c r="C56" i="71"/>
  <c r="D55" i="71"/>
  <c r="U23" i="35"/>
  <c r="AB23" i="35"/>
  <c r="W9" i="33"/>
  <c r="J7" i="37"/>
  <c r="AC7" i="37"/>
  <c r="E536" i="3"/>
  <c r="E442" i="3"/>
  <c r="E554" i="3"/>
  <c r="E95" i="3"/>
  <c r="E389" i="3"/>
  <c r="E64" i="3"/>
  <c r="E310" i="3"/>
  <c r="E84" i="3"/>
  <c r="E184" i="3"/>
  <c r="E233" i="3"/>
  <c r="E68" i="3"/>
  <c r="E63" i="3"/>
  <c r="E283" i="3"/>
  <c r="E309" i="3"/>
  <c r="E494" i="3"/>
  <c r="E198" i="3"/>
  <c r="E391" i="3"/>
  <c r="AL6" i="3"/>
  <c r="E482" i="3"/>
  <c r="E18" i="3"/>
  <c r="E174" i="3"/>
  <c r="E235" i="3"/>
  <c r="E86" i="3"/>
  <c r="E34"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T20" i="71"/>
  <c r="D20" i="71"/>
  <c r="U20" i="71"/>
  <c r="AY6" i="3"/>
  <c r="E240" i="3"/>
  <c r="E487" i="3"/>
  <c r="E219" i="3"/>
  <c r="W40" i="40"/>
  <c r="AC40" i="40"/>
  <c r="AC12" i="21"/>
  <c r="W12" i="21"/>
  <c r="AB12" i="21"/>
  <c r="U12" i="21"/>
  <c r="AA27" i="34"/>
  <c r="S27" i="34"/>
  <c r="AC26" i="37"/>
  <c r="W26" i="37"/>
  <c r="B15" i="71"/>
  <c r="B14" i="71"/>
  <c r="B13" i="71"/>
  <c r="B12" i="71"/>
  <c r="S16" i="71"/>
  <c r="F7" i="36"/>
  <c r="S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F31" i="6"/>
  <c r="E51" i="40"/>
  <c r="E16" i="6"/>
  <c r="H6" i="3"/>
  <c r="E58" i="40"/>
  <c r="E62" i="39"/>
  <c r="M14" i="1"/>
  <c r="D5" i="43"/>
  <c r="J10" i="40"/>
  <c r="AC10" i="40"/>
  <c r="H10" i="39"/>
  <c r="U10" i="39"/>
  <c r="H10" i="40"/>
  <c r="AB10" i="40"/>
  <c r="C7" i="43"/>
  <c r="C5" i="43"/>
  <c r="D10" i="52"/>
  <c r="D125" i="9"/>
  <c r="D11" i="52"/>
  <c r="B7" i="74"/>
  <c r="C7" i="74"/>
  <c r="F67" i="39"/>
  <c r="H7" i="37"/>
  <c r="AB7" i="37"/>
  <c r="T42" i="37"/>
  <c r="G42" i="37"/>
  <c r="AA10" i="39"/>
  <c r="D65" i="40"/>
  <c r="E63" i="40"/>
  <c r="F48" i="35"/>
  <c r="AA7" i="36"/>
  <c r="R36" i="36"/>
  <c r="AB7" i="36"/>
  <c r="T36" i="36"/>
  <c r="G36" i="36"/>
  <c r="U7" i="36"/>
  <c r="E58" i="21"/>
  <c r="AC7" i="36"/>
  <c r="V36" i="36"/>
  <c r="I36" i="36"/>
  <c r="W7" i="36"/>
  <c r="F7" i="37"/>
  <c r="M17" i="15"/>
  <c r="P28" i="43"/>
  <c r="B66" i="40"/>
  <c r="P25" i="43"/>
  <c r="P29" i="43"/>
  <c r="P27" i="43"/>
  <c r="B70" i="39"/>
  <c r="J18" i="15"/>
  <c r="F11" i="15"/>
  <c r="M11" i="15"/>
  <c r="J10" i="15"/>
  <c r="J5" i="15"/>
  <c r="J24" i="15"/>
  <c r="Q52" i="67"/>
  <c r="Q74" i="15"/>
  <c r="Q61" i="15"/>
  <c r="AE11" i="1"/>
  <c r="AE9" i="1"/>
  <c r="F27" i="68"/>
  <c r="AE7" i="1"/>
  <c r="AE8" i="1"/>
  <c r="AE12" i="1"/>
  <c r="AE10" i="1"/>
  <c r="C16" i="15"/>
  <c r="J10" i="39"/>
  <c r="W10" i="39"/>
  <c r="F10" i="40"/>
  <c r="S10" i="40"/>
  <c r="J56" i="43"/>
  <c r="D56" i="43"/>
  <c r="J50" i="43"/>
  <c r="D50" i="43"/>
  <c r="J55" i="43"/>
  <c r="D55" i="43"/>
  <c r="J53" i="43"/>
  <c r="D53" i="43"/>
  <c r="J52" i="43"/>
  <c r="D52" i="43"/>
  <c r="J58" i="43"/>
  <c r="D58" i="43"/>
  <c r="J24" i="67"/>
  <c r="M17" i="67"/>
  <c r="F59" i="15"/>
  <c r="F1" i="15"/>
  <c r="F27" i="11"/>
  <c r="C29" i="11"/>
  <c r="D27" i="11"/>
  <c r="F45" i="69"/>
  <c r="C29" i="69"/>
  <c r="D27" i="69"/>
  <c r="E371" i="3"/>
  <c r="E467" i="3"/>
  <c r="E349" i="3"/>
  <c r="E37" i="3"/>
  <c r="AP6" i="3"/>
  <c r="AC6" i="3"/>
  <c r="E502" i="3"/>
  <c r="E539" i="3"/>
  <c r="E67" i="3"/>
  <c r="E267" i="3"/>
  <c r="E409" i="3"/>
  <c r="E241" i="3"/>
  <c r="E417" i="3"/>
  <c r="E449" i="3"/>
  <c r="E575" i="3"/>
  <c r="E160" i="3"/>
  <c r="E59" i="3"/>
  <c r="E258" i="3"/>
  <c r="E491" i="3"/>
  <c r="E430" i="3"/>
  <c r="E286" i="3"/>
  <c r="Q61" i="67"/>
  <c r="Q73" i="15"/>
  <c r="W7" i="37"/>
  <c r="Q60" i="67"/>
  <c r="Q52" i="15"/>
  <c r="C49" i="67"/>
  <c r="T36" i="71"/>
  <c r="D36" i="71"/>
  <c r="C26" i="71"/>
  <c r="D26" i="71"/>
  <c r="D27" i="71"/>
  <c r="D56" i="71"/>
  <c r="T56" i="71"/>
  <c r="T52" i="71"/>
  <c r="D52" i="71"/>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L36" i="43"/>
  <c r="L37" i="43"/>
  <c r="V42" i="37"/>
  <c r="I42" i="37"/>
  <c r="B11" i="71"/>
  <c r="B10" i="71"/>
  <c r="B9" i="71"/>
  <c r="B8" i="71"/>
  <c r="B7" i="71"/>
  <c r="B6" i="71"/>
  <c r="B5" i="71"/>
  <c r="S12" i="71"/>
  <c r="E65" i="39"/>
  <c r="E11" i="71"/>
  <c r="E10" i="71"/>
  <c r="E9" i="71"/>
  <c r="E8" i="71"/>
  <c r="E7" i="71"/>
  <c r="E6" i="71"/>
  <c r="E5" i="71"/>
  <c r="V12"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K21" i="6"/>
  <c r="S8" i="1"/>
  <c r="E8" i="70"/>
  <c r="F45" i="68"/>
  <c r="C47" i="68"/>
  <c r="D45" i="68"/>
  <c r="C29" i="68"/>
  <c r="D27" i="68"/>
  <c r="K25" i="6"/>
  <c r="K20"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c r="B1" i="74"/>
  <c r="D3" i="34"/>
  <c r="D19" i="11"/>
  <c r="C19" i="11"/>
  <c r="L18" i="9"/>
  <c r="C17" i="4"/>
  <c r="B4" i="52"/>
  <c r="B43" i="72"/>
  <c r="D3" i="37"/>
  <c r="AB10" i="39"/>
  <c r="AA10" i="40"/>
  <c r="U10" i="40"/>
  <c r="W10" i="40"/>
  <c r="AC10" i="39"/>
  <c r="U7" i="37"/>
  <c r="G67" i="39"/>
  <c r="F69" i="39"/>
  <c r="I53" i="34"/>
  <c r="J53" i="34"/>
  <c r="F58" i="21"/>
  <c r="R37" i="36"/>
  <c r="E36" i="36"/>
  <c r="F63" i="40"/>
  <c r="E65" i="40"/>
  <c r="W7" i="33"/>
  <c r="I48" i="33"/>
  <c r="AA7" i="37"/>
  <c r="R42" i="37"/>
  <c r="S7" i="37"/>
  <c r="I40" i="36"/>
  <c r="J40" i="36"/>
  <c r="S7" i="33"/>
  <c r="G53" i="34"/>
  <c r="H53" i="34"/>
  <c r="G54" i="34"/>
  <c r="H54" i="34"/>
  <c r="G40" i="36"/>
  <c r="H40" i="36"/>
  <c r="G41" i="36"/>
  <c r="H41" i="36"/>
  <c r="G46" i="37"/>
  <c r="H46" i="37"/>
  <c r="G47" i="37"/>
  <c r="H47" i="37"/>
  <c r="I46" i="37"/>
  <c r="J46" i="37"/>
  <c r="G48" i="35"/>
  <c r="U7" i="33"/>
  <c r="G48" i="33"/>
  <c r="C53" i="67"/>
  <c r="C53" i="15"/>
  <c r="C48" i="15"/>
  <c r="C66" i="15"/>
  <c r="C10" i="15"/>
  <c r="C5" i="15"/>
  <c r="C38" i="15"/>
  <c r="M27" i="67"/>
  <c r="F41" i="15"/>
  <c r="M27" i="15"/>
  <c r="C48" i="67"/>
  <c r="F25" i="12"/>
  <c r="E50" i="43"/>
  <c r="B48" i="43"/>
  <c r="C28" i="43"/>
  <c r="F22" i="68"/>
  <c r="F41" i="68"/>
  <c r="F22" i="11"/>
  <c r="C26" i="11"/>
  <c r="D22" i="11"/>
  <c r="D116" i="43"/>
  <c r="F24" i="15"/>
  <c r="C24" i="15"/>
  <c r="F22" i="69"/>
  <c r="F41" i="69"/>
  <c r="E49" i="34"/>
  <c r="O36" i="43"/>
  <c r="Q36" i="43"/>
  <c r="N36" i="43"/>
  <c r="M36" i="43"/>
  <c r="P36" i="43"/>
  <c r="D18" i="71"/>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1" i="6"/>
  <c r="D19" i="6"/>
  <c r="C18" i="4"/>
  <c r="D23" i="6"/>
  <c r="D5" i="6"/>
  <c r="D12" i="6"/>
  <c r="D11" i="6"/>
  <c r="D13" i="6"/>
  <c r="D28" i="6"/>
  <c r="D30" i="6"/>
  <c r="E61" i="40"/>
  <c r="H26" i="6"/>
  <c r="P14" i="1"/>
  <c r="P16" i="1"/>
  <c r="C11" i="12"/>
  <c r="N16" i="1"/>
  <c r="L16" i="1"/>
  <c r="H67" i="39"/>
  <c r="G69" i="39"/>
  <c r="E54" i="34"/>
  <c r="F54" i="34"/>
  <c r="E53" i="34"/>
  <c r="F53" i="34"/>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26" i="69"/>
  <c r="D22" i="69"/>
  <c r="C26" i="12"/>
  <c r="D25" i="12"/>
  <c r="C24" i="11"/>
  <c r="C66" i="67"/>
  <c r="C60" i="67"/>
  <c r="C34" i="69"/>
  <c r="D10" i="68"/>
  <c r="C17" i="15"/>
  <c r="C44" i="69"/>
  <c r="D41" i="69"/>
  <c r="C23" i="11"/>
  <c r="C44" i="11"/>
  <c r="D41" i="11"/>
  <c r="T15" i="43"/>
  <c r="V15" i="43"/>
  <c r="T7" i="43"/>
  <c r="V7" i="43"/>
  <c r="T10" i="43"/>
  <c r="V10" i="43"/>
  <c r="T2" i="43"/>
  <c r="C40" i="43"/>
  <c r="T13" i="43"/>
  <c r="V13" i="43"/>
  <c r="T16" i="43"/>
  <c r="V16" i="43"/>
  <c r="T8" i="43"/>
  <c r="V8" i="43"/>
  <c r="T6" i="43"/>
  <c r="V6" i="43"/>
  <c r="C37" i="43"/>
  <c r="C38" i="43"/>
  <c r="T14" i="43"/>
  <c r="V14" i="43"/>
  <c r="T5" i="43"/>
  <c r="V5" i="43"/>
  <c r="T11" i="43"/>
  <c r="V11" i="43"/>
  <c r="T4" i="43"/>
  <c r="V4" i="43"/>
  <c r="C41" i="43"/>
  <c r="T9" i="43"/>
  <c r="V9" i="43"/>
  <c r="T12" i="43"/>
  <c r="V12" i="43"/>
  <c r="T3" i="43"/>
  <c r="C39" i="43"/>
  <c r="C42" i="43"/>
  <c r="C23" i="68"/>
  <c r="C26" i="68"/>
  <c r="D22" i="68"/>
  <c r="C44" i="68"/>
  <c r="D41" i="68"/>
  <c r="C25" i="11"/>
  <c r="H24" i="6"/>
  <c r="H22" i="6"/>
  <c r="H25" i="6"/>
  <c r="D17" i="71"/>
  <c r="H23" i="6"/>
  <c r="R23" i="6"/>
  <c r="R10" i="1"/>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R21" i="6"/>
  <c r="R8" i="1"/>
  <c r="C8" i="69"/>
  <c r="C5" i="69"/>
  <c r="D19" i="69"/>
  <c r="F50" i="69"/>
  <c r="F50" i="11"/>
  <c r="F50" i="68"/>
  <c r="C4" i="52"/>
  <c r="B45" i="72"/>
  <c r="A10" i="51"/>
  <c r="B9" i="72"/>
  <c r="A7" i="51"/>
  <c r="B7" i="72"/>
  <c r="R25" i="6"/>
  <c r="R12" i="1"/>
  <c r="C10" i="68"/>
  <c r="D19" i="68"/>
  <c r="H69" i="39"/>
  <c r="I67" i="39"/>
  <c r="G65" i="40"/>
  <c r="H63" i="40"/>
  <c r="C43" i="37"/>
  <c r="C42" i="37"/>
  <c r="I48" i="35"/>
  <c r="C48" i="33"/>
  <c r="H58" i="21"/>
  <c r="E47" i="37"/>
  <c r="F47" i="37"/>
  <c r="E46" i="37"/>
  <c r="F46" i="37"/>
  <c r="I47" i="37"/>
  <c r="J47" i="37"/>
  <c r="E53" i="33"/>
  <c r="F53" i="33"/>
  <c r="E52" i="33"/>
  <c r="F52" i="33"/>
  <c r="C33" i="15"/>
  <c r="C33" i="67"/>
  <c r="J19" i="67"/>
  <c r="C34" i="68"/>
  <c r="C14" i="15"/>
  <c r="C22" i="11"/>
  <c r="C31" i="11"/>
  <c r="C34" i="43"/>
  <c r="E34" i="43"/>
  <c r="G41" i="43"/>
  <c r="I41" i="43"/>
  <c r="E41" i="43"/>
  <c r="G38" i="43"/>
  <c r="I38" i="43"/>
  <c r="E38" i="43"/>
  <c r="E42" i="43"/>
  <c r="G42" i="43"/>
  <c r="I42" i="43"/>
  <c r="E37" i="43"/>
  <c r="G37" i="43"/>
  <c r="I37" i="43"/>
  <c r="E39" i="43"/>
  <c r="G39" i="43"/>
  <c r="I39" i="43"/>
  <c r="E40" i="43"/>
  <c r="G40" i="43"/>
  <c r="I40" i="43"/>
  <c r="C15" i="71"/>
  <c r="T16" i="71"/>
  <c r="D16" i="71"/>
  <c r="U16" i="71"/>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I69" i="39"/>
  <c r="J67" i="39"/>
  <c r="I63" i="40"/>
  <c r="H65" i="40"/>
  <c r="I58" i="21"/>
  <c r="J58" i="21"/>
  <c r="K58" i="21"/>
  <c r="L58" i="21"/>
  <c r="M58" i="21"/>
  <c r="N58" i="21"/>
  <c r="O58" i="21"/>
  <c r="H7" i="21"/>
  <c r="J48" i="35"/>
  <c r="C31" i="43"/>
  <c r="C14" i="71"/>
  <c r="D15" i="71"/>
  <c r="F7" i="21"/>
  <c r="S7" i="21"/>
  <c r="J7" i="21"/>
  <c r="AC7" i="21"/>
  <c r="V48" i="21"/>
  <c r="I48" i="21"/>
  <c r="Q48" i="67"/>
  <c r="C19" i="15"/>
  <c r="C20" i="15"/>
  <c r="C26" i="15"/>
  <c r="C33" i="68"/>
  <c r="C39" i="68"/>
  <c r="C30" i="12"/>
  <c r="C28" i="12"/>
  <c r="C38" i="11"/>
  <c r="C35" i="11"/>
  <c r="H27" i="6"/>
  <c r="R19" i="6"/>
  <c r="C27" i="12"/>
  <c r="C25" i="12"/>
  <c r="C20" i="69"/>
  <c r="C28" i="69"/>
  <c r="C27" i="69"/>
  <c r="C20" i="68"/>
  <c r="C28" i="68"/>
  <c r="C27" i="68"/>
  <c r="C24" i="68"/>
  <c r="C39" i="69"/>
  <c r="C43" i="69"/>
  <c r="C42" i="69"/>
  <c r="J69" i="39"/>
  <c r="K67" i="39"/>
  <c r="U7" i="21"/>
  <c r="AB7" i="21"/>
  <c r="T48" i="21"/>
  <c r="G48" i="21"/>
  <c r="J63" i="40"/>
  <c r="I65" i="40"/>
  <c r="K48" i="35"/>
  <c r="L48" i="35"/>
  <c r="M48" i="35"/>
  <c r="N48" i="35"/>
  <c r="O48" i="35"/>
  <c r="H7" i="35"/>
  <c r="E6" i="76"/>
  <c r="E2" i="76"/>
  <c r="D14" i="71"/>
  <c r="C13" i="71"/>
  <c r="W7" i="21"/>
  <c r="AA7" i="21"/>
  <c r="R48" i="21"/>
  <c r="R49" i="21"/>
  <c r="J7" i="35"/>
  <c r="W7" i="35"/>
  <c r="Q49" i="67"/>
  <c r="J14" i="67"/>
  <c r="J13" i="67"/>
  <c r="J23" i="67"/>
  <c r="C57" i="67"/>
  <c r="C64"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E48" i="21"/>
  <c r="G52" i="21"/>
  <c r="H52" i="21"/>
  <c r="G53" i="21"/>
  <c r="H53" i="21"/>
  <c r="F7" i="35"/>
  <c r="B6" i="76"/>
  <c r="M21" i="15"/>
  <c r="F35" i="67"/>
  <c r="F35" i="15"/>
  <c r="M21" i="67"/>
  <c r="B2" i="76"/>
  <c r="B3" i="76"/>
  <c r="AC7" i="35"/>
  <c r="V38" i="35"/>
  <c r="I38" i="35"/>
  <c r="C12" i="71"/>
  <c r="D13" i="71"/>
  <c r="C56" i="67"/>
  <c r="C65" i="67"/>
  <c r="J22" i="67"/>
  <c r="C75" i="67"/>
  <c r="C36" i="15"/>
  <c r="J59" i="15"/>
  <c r="J60" i="15"/>
  <c r="Q48" i="15"/>
  <c r="C46" i="11"/>
  <c r="C45" i="11"/>
  <c r="C43" i="11"/>
  <c r="C42" i="11"/>
  <c r="C34"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Q67" i="67"/>
  <c r="Q65" i="67"/>
  <c r="C83" i="67"/>
  <c r="C82" i="67"/>
  <c r="Q47" i="67"/>
  <c r="Q53" i="67"/>
  <c r="C46" i="67"/>
  <c r="Q56" i="67"/>
  <c r="C43" i="67"/>
  <c r="C80" i="15"/>
  <c r="C79" i="15"/>
  <c r="C40" i="15"/>
  <c r="C46" i="15"/>
  <c r="H7" i="39"/>
  <c r="J7" i="39"/>
  <c r="S7" i="39"/>
  <c r="AA7" i="39"/>
  <c r="R47" i="39"/>
  <c r="O63" i="40"/>
  <c r="O65" i="40"/>
  <c r="N65" i="40"/>
  <c r="D2" i="36"/>
  <c r="D2" i="37"/>
  <c r="L51" i="15"/>
  <c r="D2" i="34"/>
  <c r="D2" i="35"/>
  <c r="C102" i="9"/>
  <c r="C21" i="9"/>
  <c r="D22" i="9"/>
  <c r="D102" i="9"/>
  <c r="G21" i="9"/>
  <c r="D21" i="9"/>
  <c r="C8" i="71"/>
  <c r="D9" i="71"/>
  <c r="Q57" i="67"/>
  <c r="Q62" i="67"/>
  <c r="Q66" i="67"/>
  <c r="Q75"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9" i="1"/>
  <c r="AO10" i="1"/>
  <c r="AO8" i="1"/>
  <c r="AO12" i="1"/>
  <c r="AO11" i="1"/>
  <c r="AO7" i="1"/>
  <c r="AO6" i="1"/>
  <c r="C103" i="9"/>
  <c r="D103" i="9"/>
  <c r="C32" i="9"/>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M65" i="9"/>
  <c r="L65" i="9"/>
  <c r="B21" i="72"/>
  <c r="D7" i="53"/>
  <c r="H5" i="52"/>
  <c r="H119" i="9"/>
  <c r="M66" i="9"/>
  <c r="L66" i="9"/>
  <c r="D9" i="52"/>
  <c r="D123" i="9"/>
  <c r="B30" i="72"/>
  <c r="D52" i="9"/>
  <c r="D53" i="9"/>
  <c r="E81" i="9"/>
  <c r="E80" i="9"/>
  <c r="C80" i="9"/>
  <c r="C6" i="74"/>
  <c r="M48" i="9"/>
  <c r="C105" i="9"/>
  <c r="I4" i="52"/>
  <c r="D54" i="9"/>
  <c r="C68" i="9"/>
  <c r="F4" i="52"/>
  <c r="B51" i="72"/>
  <c r="H4" i="52"/>
  <c r="C104" i="9"/>
  <c r="N60" i="9"/>
  <c r="N59" i="9"/>
  <c r="N61" i="9"/>
  <c r="B53" i="72"/>
  <c r="F5" i="52"/>
  <c r="F119" i="9"/>
  <c r="H102" i="9"/>
  <c r="C5" i="74"/>
  <c r="D122" i="9"/>
  <c r="D8" i="52"/>
  <c r="L68" i="9"/>
  <c r="M68" i="9"/>
  <c r="D119" i="9"/>
  <c r="D5" i="52"/>
  <c r="B49" i="72"/>
  <c r="D118" i="9"/>
  <c r="D4" i="52"/>
  <c r="B47" i="72"/>
  <c r="L64" i="9"/>
  <c r="M64" i="9"/>
  <c r="H108" i="9"/>
  <c r="D15" i="53"/>
  <c r="B31" i="72"/>
  <c r="B20" i="72"/>
  <c r="L63" i="9"/>
  <c r="M63" i="9"/>
  <c r="M69" i="9"/>
  <c r="N69" i="9"/>
  <c r="F118" i="9"/>
  <c r="G118" i="9"/>
  <c r="G4" i="52"/>
  <c r="B52" i="72"/>
  <c r="M49" i="9"/>
  <c r="L67" i="9"/>
  <c r="M67" i="9"/>
  <c r="C93" i="9"/>
  <c r="C86" i="9"/>
  <c r="B48" i="72"/>
  <c r="E118" i="9"/>
  <c r="E4" i="52"/>
  <c r="H107" i="9"/>
  <c r="D13" i="53"/>
  <c r="D14" i="53"/>
  <c r="B32" i="72"/>
  <c r="C96" i="9"/>
  <c r="E96" i="9"/>
  <c r="E97" i="9"/>
  <c r="C72" i="9"/>
  <c r="C79" i="9"/>
  <c r="C81" i="9"/>
  <c r="D5" i="53"/>
  <c r="D6" i="53"/>
  <c r="B22" i="72"/>
  <c r="C64" i="9"/>
  <c r="C63" i="9"/>
  <c r="C67" i="9"/>
  <c r="D59" i="9"/>
  <c r="M55" i="9"/>
  <c r="C85" i="9"/>
  <c r="C95" i="9"/>
  <c r="C97" i="9"/>
  <c r="D58" i="9"/>
  <c r="D56" i="9"/>
  <c r="M54" i="9"/>
  <c r="N58" i="9"/>
  <c r="D55" i="9"/>
  <c r="M53" i="9"/>
  <c r="N57" i="9"/>
  <c r="P57" i="9"/>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<sst xmlns="http://schemas.openxmlformats.org/spreadsheetml/2006/main" count="8335" uniqueCount="3490">
  <si>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</si>
  <si>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</si>
  <si>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</si>
  <si>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</si>
  <si>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</si>
  <si>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</si>
  <si>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</si>
  <si>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</si>
  <si>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</si>
  <si>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</si>
  <si>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</si>
  <si>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</si>
  <si>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</si>
  <si>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</si>
  <si>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</si>
  <si>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</si>
  <si>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</si>
  <si>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</si>
  <si>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</si>
  <si>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</si>
  <si>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</si>
  <si>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</si>
  <si>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</si>
  <si>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</si>
  <si>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</si>
  <si>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</si>
  <si>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</si>
  <si>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</si>
  <si>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</si>
  <si>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</si>
  <si>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</si>
  <si>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</si>
  <si>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</si>
  <si>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</si>
  <si>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</si>
  <si>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</si>
  <si>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</si>
  <si>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</si>
  <si>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</si>
  <si>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</si>
  <si>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</si>
  <si>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</si>
  <si>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</si>
  <si>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</si>
  <si>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</si>
  <si>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</si>
  <si>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</si>
  <si>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</si>
  <si>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</si>
  <si>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</si>
  <si>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</si>
  <si>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</si>
  <si>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</si>
  <si>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</si>
  <si>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</si>
  <si>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</si>
  <si>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</si>
  <si>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</si>
  <si>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</si>
  <si>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</si>
  <si>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</si>
  <si>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</si>
  <si>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</si>
  <si>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</si>
  <si>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</si>
  <si>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</si>
  <si>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</si>
  <si>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</si>
  <si>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</si>
  <si>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</si>
  <si>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</si>
  <si>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</si>
  <si>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</si>
  <si>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</si>
  <si>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</si>
  <si>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</si>
  <si>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</si>
  <si>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</si>
  <si>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</si>
  <si>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</si>
  <si>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</si>
  <si>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</si>
  <si>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</si>
  <si>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</si>
  <si>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</si>
  <si>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</si>
  <si>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</si>
  <si>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</si>
  <si>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</si>
  <si>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</si>
  <si>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</si>
  <si>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</si>
  <si>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</si>
  <si>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</si>
  <si>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</si>
  <si>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</si>
  <si>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</si>
  <si>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</si>
  <si>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</si>
  <si>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</si>
  <si>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</si>
  <si>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</si>
  <si>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</si>
  <si>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</si>
  <si>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</si>
  <si>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</si>
  <si>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</si>
  <si>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</si>
  <si>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</si>
  <si>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</si>
  <si>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</si>
  <si>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</si>
  <si>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</si>
  <si>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</si>
  <si>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</si>
  <si>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</si>
  <si>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</si>
  <si>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</si>
  <si>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</si>
  <si>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</si>
  <si>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</si>
  <si>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</si>
  <si>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</si>
  <si>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</si>
  <si>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</si>
  <si>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</si>
  <si>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</si>
  <si>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</si>
  <si>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</si>
  <si>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</si>
  <si>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</si>
  <si>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</si>
  <si>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</si>
  <si>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</si>
  <si>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</si>
  <si>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</si>
  <si>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</si>
  <si>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</si>
  <si>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</si>
  <si>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</si>
  <si>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</si>
  <si>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</si>
  <si>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</si>
  <si>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</si>
  <si>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</si>
  <si>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</si>
  <si>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</si>
  <si>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</si>
  <si>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</si>
  <si>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</si>
  <si>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</si>
  <si>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</si>
  <si>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</si>
  <si>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</si>
  <si>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</si>
  <si>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</si>
  <si>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</si>
  <si>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</si>
  <si>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</si>
  <si>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</si>
  <si>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</si>
  <si>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</si>
  <si>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</si>
  <si>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</si>
  <si>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</si>
  <si>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</si>
  <si>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</si>
  <si>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</si>
  <si>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</si>
  <si>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</si>
  <si>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</si>
  <si>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</si>
  <si>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</si>
  <si>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</si>
  <si>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</si>
  <si>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</si>
  <si>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</si>
  <si>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</si>
  <si>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</si>
  <si>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</si>
  <si>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</si>
  <si>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</si>
  <si>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</si>
  <si>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</si>
  <si>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</si>
  <si>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</si>
  <si>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</si>
  <si>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</si>
  <si>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</si>
  <si>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</si>
  <si>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</si>
  <si>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</si>
  <si>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</si>
  <si>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</si>
  <si>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</si>
  <si>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</si>
  <si>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</si>
  <si>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</si>
  <si>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</si>
  <si>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</si>
  <si>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</si>
  <si>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</si>
  <si>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</si>
  <si>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</si>
  <si>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</si>
  <si>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</si>
  <si>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</si>
  <si>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</si>
  <si>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</si>
  <si>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</si>
  <si>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</si>
  <si>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</si>
  <si>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</si>
  <si>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</si>
  <si>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</si>
  <si>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</si>
  <si>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</si>
  <si>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</si>
  <si>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</si>
  <si>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</si>
  <si>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</si>
  <si>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</si>
  <si>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</si>
  <si>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</si>
  <si>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</si>
  <si>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</si>
  <si>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</si>
  <si>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</si>
  <si>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</si>
  <si>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</si>
  <si>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</si>
  <si>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</si>
  <si>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</si>
  <si>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</si>
  <si>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</si>
  <si>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</si>
  <si>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</si>
  <si>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</si>
  <si>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</si>
  <si>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</si>
  <si>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</si>
  <si>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</si>
  <si>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</si>
  <si>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</si>
  <si>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</si>
  <si>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</si>
  <si>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</si>
  <si>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</si>
  <si>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</si>
  <si>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</si>
  <si>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</si>
  <si>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</si>
  <si>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</si>
  <si>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</si>
  <si>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</si>
  <si>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</si>
  <si>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</si>
  <si>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</si>
  <si>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</si>
  <si>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</si>
  <si>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</si>
  <si>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</si>
  <si>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</si>
  <si>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</si>
  <si>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</si>
  <si>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</si>
  <si>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</si>
  <si>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</si>
  <si>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</si>
  <si>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</si>
  <si>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</si>
  <si>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</si>
  <si>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</si>
  <si>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</si>
  <si>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</si>
  <si>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</si>
  <si>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</si>
  <si>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</si>
  <si>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</si>
  <si>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</si>
  <si>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</si>
  <si>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</si>
  <si>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</si>
  <si>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</si>
  <si>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</si>
  <si>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</si>
  <si>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</si>
  <si>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</si>
  <si>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</si>
  <si>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</si>
  <si>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</si>
  <si>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</si>
  <si>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</si>
  <si>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</si>
  <si>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</si>
  <si>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</si>
  <si>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</si>
  <si>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</si>
  <si>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</si>
  <si>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</si>
  <si>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</si>
  <si>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</si>
  <si>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</si>
  <si>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</si>
  <si>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</si>
  <si>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</si>
  <si>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</si>
  <si>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</si>
  <si>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</si>
  <si>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</si>
  <si>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</si>
  <si>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</si>
  <si>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</si>
  <si>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</si>
  <si>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</si>
  <si>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</si>
  <si>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</si>
  <si>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</si>
  <si>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</si>
  <si>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</si>
  <si>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</si>
  <si>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</si>
  <si>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</si>
  <si>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</si>
  <si>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</si>
  <si>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</si>
  <si>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</si>
  <si>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</si>
  <si>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</si>
  <si>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</si>
  <si>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</si>
  <si>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</si>
  <si>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</si>
  <si>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</si>
  <si>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</si>
  <si>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</si>
  <si>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</si>
  <si>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</si>
  <si>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</si>
  <si>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</si>
  <si>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</si>
  <si>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</si>
  <si>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</si>
  <si>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</si>
  <si>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</si>
  <si>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</si>
  <si>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</si>
  <si>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</si>
  <si>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</si>
  <si>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</si>
  <si>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</si>
  <si>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</si>
  <si>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</si>
  <si>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</si>
  <si>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</si>
  <si>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</si>
  <si>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</si>
  <si>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</si>
  <si>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</si>
  <si>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</si>
  <si>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</si>
  <si>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</si>
  <si>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</si>
  <si>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</si>
  <si>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</si>
  <si>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</si>
  <si>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</si>
  <si>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</si>
  <si>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</si>
  <si>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</si>
  <si>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</si>
  <si>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</si>
  <si>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</si>
  <si>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</si>
  <si>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</si>
  <si>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</si>
  <si>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</si>
  <si>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</si>
  <si>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</si>
  <si>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</si>
  <si>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</si>
  <si>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</si>
  <si>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</si>
  <si>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</si>
  <si>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</si>
  <si>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</si>
  <si>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</si>
  <si>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</si>
  <si>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</si>
  <si>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</si>
  <si>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</si>
  <si>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</si>
  <si>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</si>
  <si>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</si>
  <si>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</si>
  <si>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</si>
  <si>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</si>
  <si>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</si>
  <si>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</si>
  <si>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</si>
  <si>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</si>
  <si>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</si>
  <si>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</si>
  <si>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</si>
  <si>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</si>
  <si>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</si>
  <si>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</si>
  <si>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</si>
  <si>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</si>
  <si>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</si>
  <si>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</si>
  <si>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</si>
  <si>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</si>
  <si>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</si>
  <si>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</si>
  <si>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</si>
  <si>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</si>
  <si>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</si>
  <si>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</si>
  <si>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</si>
  <si>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</si>
  <si>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</si>
  <si>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</si>
  <si>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</si>
  <si>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</si>
  <si>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</si>
  <si>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</si>
  <si>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</si>
  <si>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</si>
  <si>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</si>
  <si>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</si>
  <si>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</si>
  <si>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</si>
  <si>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</si>
  <si>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</si>
  <si>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</si>
  <si>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</si>
  <si>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</si>
  <si>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</si>
  <si>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</si>
  <si>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</si>
  <si>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</si>
  <si>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</si>
  <si>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</si>
  <si>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</si>
  <si>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</si>
  <si>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</si>
  <si>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</si>
  <si>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</si>
  <si>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</si>
  <si>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</si>
  <si>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</si>
  <si>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</si>
  <si>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</si>
  <si>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</si>
  <si>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</si>
  <si>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</si>
  <si>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</si>
  <si>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</si>
  <si>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</si>
  <si>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</si>
  <si>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</si>
  <si>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</si>
  <si>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</si>
  <si>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</si>
  <si>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</si>
  <si>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</si>
  <si>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</si>
  <si>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</si>
  <si>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</si>
  <si>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</si>
  <si>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</si>
  <si>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</si>
  <si>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</si>
  <si>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</si>
  <si>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</si>
  <si>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</si>
  <si>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</si>
  <si>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</si>
  <si>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</si>
  <si>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</si>
  <si>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</si>
  <si>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</si>
  <si>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</si>
  <si>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</si>
  <si>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</si>
  <si>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</si>
  <si>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</si>
  <si>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</si>
  <si>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</si>
  <si>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</si>
  <si>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</si>
  <si>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</si>
  <si>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</si>
  <si>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</si>
  <si>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</si>
  <si>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</si>
  <si>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</si>
  <si>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</si>
  <si>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</si>
  <si>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</si>
  <si>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</si>
  <si>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</si>
  <si>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</si>
  <si>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</si>
  <si>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</si>
  <si>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</si>
  <si>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</si>
  <si>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</si>
  <si>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</si>
  <si>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</si>
  <si>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</si>
  <si>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</si>
  <si>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</si>
  <si>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</si>
  <si>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</si>
  <si>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</si>
  <si>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</si>
  <si>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</si>
  <si>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</si>
  <si>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</si>
  <si>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</si>
  <si>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</si>
  <si>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</si>
  <si>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</si>
  <si>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</si>
  <si>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</si>
  <si>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</si>
  <si>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</si>
  <si>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</si>
  <si>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</si>
  <si>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</si>
  <si>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</si>
  <si>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</si>
  <si>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</si>
  <si>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</si>
  <si>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</si>
  <si>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</si>
  <si>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</si>
  <si>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</si>
  <si>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</si>
  <si>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</si>
  <si>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</si>
  <si>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</si>
  <si>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</si>
  <si>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</si>
  <si>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</si>
  <si>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</si>
  <si>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</si>
  <si>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</si>
  <si>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</si>
  <si>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</si>
  <si>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</si>
  <si>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</si>
  <si>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</si>
  <si>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</si>
  <si>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</si>
  <si>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</si>
  <si>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</si>
  <si>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</si>
  <si>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</si>
  <si>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</si>
  <si>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</si>
  <si>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</si>
  <si>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</si>
  <si>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</si>
  <si>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</si>
  <si>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</si>
  <si>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</si>
  <si>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</si>
  <si>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</si>
  <si>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</si>
  <si>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</si>
  <si>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</si>
  <si>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</si>
  <si>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</si>
  <si>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</si>
  <si>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</si>
  <si>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</si>
  <si>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</si>
  <si>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</si>
  <si>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</si>
  <si>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</si>
  <si>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</si>
  <si>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</si>
  <si>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</si>
  <si>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</si>
  <si>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</si>
  <si>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</si>
  <si>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</si>
  <si>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</si>
  <si>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</si>
  <si>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</si>
  <si>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</si>
  <si>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</si>
  <si>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</si>
  <si>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</si>
  <si>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</si>
  <si>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</si>
  <si>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</si>
  <si>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</si>
  <si>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</si>
  <si>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</si>
  <si>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</si>
  <si>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</si>
  <si>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</si>
  <si>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</si>
  <si>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</si>
  <si>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</si>
  <si>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</si>
  <si>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</si>
  <si>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</si>
  <si>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</si>
  <si>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</si>
  <si>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</si>
  <si>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</si>
  <si>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</si>
  <si>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</si>
  <si>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</si>
  <si>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</si>
  <si>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</si>
  <si>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</si>
  <si>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</si>
  <si>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</si>
  <si>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</si>
  <si>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</si>
  <si>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</si>
  <si>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</si>
  <si>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</si>
  <si>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</si>
  <si>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</si>
  <si>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</si>
  <si>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</si>
  <si>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</si>
  <si>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</si>
  <si>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</si>
  <si>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</si>
  <si>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</si>
  <si>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</si>
  <si>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</si>
  <si>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</si>
  <si>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</si>
  <si>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</si>
  <si>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</si>
  <si>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</si>
  <si>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</si>
  <si>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</si>
  <si>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</si>
  <si>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</si>
  <si>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</si>
  <si>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</si>
  <si>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</si>
  <si>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</si>
  <si>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</si>
  <si>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</si>
  <si>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</si>
  <si>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</si>
  <si>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</si>
  <si>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</si>
  <si>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</si>
  <si>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</si>
  <si>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</si>
  <si>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</si>
  <si>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</si>
  <si>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</si>
  <si>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</si>
  <si>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</si>
  <si>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</si>
  <si>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</si>
  <si>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</si>
  <si>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</si>
  <si>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</si>
  <si>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</si>
  <si>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</si>
  <si>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</si>
  <si>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</si>
  <si>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</si>
  <si>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</si>
  <si>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</si>
  <si>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</si>
  <si>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</si>
  <si>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</si>
  <si>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</si>
  <si>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</si>
  <si>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</si>
  <si>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</si>
  <si>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</si>
  <si>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</si>
  <si>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</si>
  <si>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</si>
  <si>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</si>
  <si>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</si>
  <si>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</si>
  <si>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</si>
  <si>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</si>
  <si>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</si>
  <si>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</si>
  <si>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</si>
  <si>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</si>
  <si>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</si>
  <si>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</si>
  <si>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</si>
  <si>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</si>
  <si>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</si>
  <si>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</si>
  <si>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</si>
  <si>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</si>
  <si>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</si>
  <si>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</si>
  <si>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</si>
  <si>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</si>
  <si>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</si>
  <si>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</si>
  <si>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</si>
  <si>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</si>
  <si>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</si>
  <si>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</si>
  <si>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</si>
  <si>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</si>
  <si>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</si>
  <si>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</si>
  <si>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</si>
  <si>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</si>
  <si>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</si>
  <si>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</si>
  <si>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</si>
  <si>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</si>
  <si>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</si>
  <si>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</si>
  <si>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</si>
  <si>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</si>
  <si>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</si>
  <si>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</si>
  <si>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</si>
  <si>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</si>
  <si>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</si>
  <si>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</si>
  <si>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</si>
  <si>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</si>
  <si>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</si>
  <si>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</si>
  <si>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</si>
  <si>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</si>
  <si>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</si>
  <si>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</si>
  <si>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</si>
  <si>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</si>
  <si>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</si>
  <si>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</si>
  <si>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</si>
  <si>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</si>
  <si>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</si>
  <si>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</si>
  <si>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</si>
  <si>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</si>
  <si>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</si>
  <si>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</si>
  <si>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</si>
  <si>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</si>
  <si>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</si>
  <si>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</si>
  <si>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</si>
  <si>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</si>
  <si>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</si>
  <si>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</si>
  <si>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</si>
  <si>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</si>
  <si>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</si>
  <si>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</si>
  <si>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</si>
  <si>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</si>
  <si>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</si>
  <si>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</si>
  <si>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</si>
  <si>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</si>
  <si>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</si>
  <si>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</si>
  <si>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</si>
  <si>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</si>
  <si>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</si>
  <si>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</si>
  <si>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</si>
  <si>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</si>
  <si>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</si>
  <si>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</si>
  <si>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</si>
  <si>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</si>
  <si>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</si>
  <si>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</si>
  <si>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</si>
  <si>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</si>
  <si>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</si>
  <si>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</si>
  <si>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</si>
  <si>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</si>
  <si>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</si>
  <si>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</si>
  <si>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</si>
  <si>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</si>
  <si>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</si>
  <si>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</si>
  <si>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</si>
  <si>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</si>
  <si>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</si>
  <si>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</si>
  <si>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</si>
  <si>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</si>
  <si>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</si>
  <si>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</si>
  <si>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</si>
  <si>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</si>
  <si>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</si>
  <si>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</si>
  <si>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</si>
  <si>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</si>
  <si>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</si>
  <si>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</si>
  <si>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</si>
  <si>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</si>
  <si>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</si>
  <si>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</si>
  <si>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</si>
  <si>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</si>
  <si>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</si>
  <si>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</si>
  <si>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</si>
  <si>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</si>
  <si>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</si>
  <si>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</si>
  <si>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</si>
  <si>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</si>
  <si>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</si>
  <si>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</si>
  <si>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</si>
  <si>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</si>
  <si>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</si>
  <si>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</si>
  <si>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</si>
  <si>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</si>
  <si>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</si>
  <si>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</si>
  <si>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</si>
  <si>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</si>
  <si>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</si>
  <si>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</si>
  <si>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</si>
  <si>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</si>
  <si>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</si>
  <si>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</si>
  <si>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</si>
  <si>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</si>
  <si>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</si>
  <si>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</si>
  <si>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</si>
  <si>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</si>
  <si>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</si>
  <si>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</si>
  <si>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</si>
  <si>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</si>
  <si>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</si>
  <si>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</si>
  <si>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</si>
  <si>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</si>
  <si>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</si>
  <si>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</si>
  <si>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</si>
  <si>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</si>
  <si>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</si>
  <si>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</si>
  <si>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</si>
  <si>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</si>
  <si>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</si>
  <si>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</si>
  <si>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</si>
  <si>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</si>
  <si>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</si>
  <si>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</si>
  <si>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</si>
  <si>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</si>
  <si>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</si>
  <si>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</si>
  <si>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</si>
  <si>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</si>
  <si>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</si>
  <si>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</si>
  <si>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</si>
  <si>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</si>
  <si>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</si>
  <si>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</si>
  <si>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</si>
  <si>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</si>
  <si>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</si>
  <si>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</si>
  <si>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</si>
  <si>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</si>
  <si>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</si>
  <si>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</si>
  <si>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</si>
  <si>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</si>
  <si>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</si>
  <si>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</si>
  <si>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</si>
  <si>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</si>
  <si>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</si>
  <si>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</si>
  <si>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</si>
  <si>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</si>
  <si>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</si>
  <si>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</si>
  <si>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</si>
  <si>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</si>
  <si>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</si>
  <si>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</si>
  <si>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</si>
  <si>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</si>
  <si>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</si>
  <si>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</si>
  <si>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</si>
  <si>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</si>
  <si>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</si>
  <si>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</si>
  <si>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</si>
  <si>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</si>
  <si>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</si>
  <si>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</si>
  <si>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</si>
  <si>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</si>
  <si>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</si>
  <si>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</si>
  <si>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</si>
  <si>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</si>
  <si>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</si>
  <si>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</si>
  <si>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</si>
  <si>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</si>
  <si>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</si>
  <si>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</si>
  <si>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</si>
  <si>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</si>
  <si>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</si>
  <si>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</si>
  <si>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</si>
  <si>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</si>
  <si>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</si>
  <si>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</si>
  <si>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</si>
  <si>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</si>
  <si>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</si>
  <si>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</si>
  <si>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</si>
  <si>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</si>
  <si>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</si>
  <si>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</si>
  <si>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</si>
  <si>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</si>
  <si>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</si>
  <si>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</si>
  <si>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</si>
  <si>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</si>
  <si>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</si>
  <si>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</si>
  <si>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</si>
  <si>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</si>
  <si>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</si>
  <si>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</si>
  <si>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</si>
  <si>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</si>
  <si>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</si>
  <si>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</si>
  <si>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</si>
  <si>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</si>
  <si>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</si>
  <si>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</si>
  <si>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</si>
  <si>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</si>
  <si>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</si>
  <si>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</si>
  <si>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</si>
  <si>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</si>
  <si>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</si>
  <si>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</si>
  <si>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</si>
  <si>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</si>
  <si>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</si>
  <si>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</si>
  <si>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</si>
  <si>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</si>
  <si>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</si>
  <si>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</si>
  <si>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</si>
  <si>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</si>
  <si>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</si>
  <si>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</si>
  <si>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</si>
  <si>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</si>
  <si>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</si>
  <si>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</si>
  <si>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</si>
  <si>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</si>
  <si>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</si>
  <si>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</si>
  <si>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</si>
  <si>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</si>
  <si>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</si>
  <si>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</si>
  <si>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</si>
  <si>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</si>
  <si>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</si>
  <si>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</si>
  <si>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</si>
  <si>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</si>
  <si>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</si>
  <si>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</si>
  <si>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</si>
  <si>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</si>
  <si>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</si>
  <si>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</si>
  <si>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</si>
  <si>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</si>
  <si>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</si>
  <si>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</si>
  <si>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</si>
  <si>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</si>
  <si>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</si>
  <si>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</si>
  <si>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</si>
  <si>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</si>
  <si>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</si>
  <si>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</si>
  <si>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</si>
  <si>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</si>
  <si>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</si>
  <si>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</si>
  <si>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</si>
  <si>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</si>
  <si>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</si>
  <si>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</si>
  <si>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</si>
  <si>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</si>
  <si>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</si>
  <si>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</si>
  <si>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</si>
  <si>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</si>
  <si>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</si>
  <si>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</si>
  <si>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</si>
  <si>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</si>
  <si>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</si>
  <si>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</si>
  <si>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</si>
  <si>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</si>
  <si>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</si>
  <si>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</si>
  <si>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</si>
  <si>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</si>
  <si>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</si>
  <si>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</si>
  <si>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</si>
  <si>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</si>
  <si>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</si>
  <si>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</si>
  <si>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</si>
  <si>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</si>
  <si>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</si>
  <si>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</si>
  <si>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</si>
  <si>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</si>
  <si>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</si>
  <si>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</si>
  <si>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</si>
  <si>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</si>
  <si>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</si>
  <si>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</si>
  <si>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</si>
  <si>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</si>
  <si>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</si>
  <si>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</si>
  <si>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</si>
  <si>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</si>
  <si>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</si>
  <si>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</si>
  <si>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</si>
  <si>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</si>
  <si>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</si>
  <si>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</si>
  <si>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</si>
  <si>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</si>
  <si>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</si>
  <si>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</si>
  <si>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</si>
  <si>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</si>
  <si>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</si>
  <si>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</si>
  <si>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</si>
  <si>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</si>
  <si>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</si>
  <si>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</si>
  <si>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</si>
  <si>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</si>
  <si>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</si>
  <si>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</si>
  <si>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</si>
  <si>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</si>
  <si>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</si>
  <si>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</si>
  <si>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</si>
  <si>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</si>
  <si>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</si>
  <si>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</si>
  <si>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</si>
  <si>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</si>
  <si>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</si>
  <si>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</si>
  <si>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</si>
  <si>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</si>
  <si>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</si>
  <si>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</si>
  <si>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</si>
  <si>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</si>
  <si>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</si>
  <si>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</si>
  <si>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</si>
  <si>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</si>
  <si>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</si>
  <si>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</si>
  <si>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</si>
  <si>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</si>
  <si>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</si>
  <si>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</si>
  <si>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</si>
  <si>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</si>
  <si>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</si>
  <si>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</si>
  <si>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</si>
  <si>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</si>
  <si>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</si>
  <si>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</si>
  <si>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</si>
  <si>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</si>
  <si>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</si>
  <si>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</si>
  <si>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</si>
  <si>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</si>
  <si>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</si>
  <si>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</si>
  <si>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</si>
  <si>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</si>
  <si>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</si>
  <si>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</si>
  <si>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</si>
  <si>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</si>
  <si>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</si>
  <si>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</si>
  <si>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</si>
  <si>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</si>
  <si>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</si>
  <si>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</si>
  <si>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</si>
  <si>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</si>
  <si>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</si>
  <si>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</si>
  <si>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</si>
  <si>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</si>
  <si>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</si>
  <si>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</si>
  <si>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</si>
  <si>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</si>
  <si>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</si>
  <si>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</si>
  <si>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</si>
  <si>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</si>
  <si>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</si>
  <si>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</si>
  <si>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</si>
  <si>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</si>
  <si>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</si>
  <si>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</si>
  <si>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</si>
  <si>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</si>
  <si>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</si>
  <si>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</si>
  <si>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</si>
  <si>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</si>
  <si>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</si>
  <si>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</si>
  <si>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</si>
  <si>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</si>
  <si>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</si>
  <si>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</si>
  <si>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</si>
  <si>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</si>
  <si>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</si>
  <si>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</si>
  <si>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</si>
  <si>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</si>
  <si>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</si>
  <si>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</si>
  <si>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</si>
  <si>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</si>
  <si>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</si>
  <si>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</si>
  <si>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</si>
  <si>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</si>
  <si>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</si>
  <si>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</si>
  <si>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</si>
  <si>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</si>
  <si>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</si>
  <si>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</si>
  <si>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</si>
  <si>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</si>
  <si>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</si>
  <si>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</si>
  <si>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</si>
  <si>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</si>
  <si>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</si>
  <si>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</si>
  <si>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</si>
  <si>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</si>
  <si>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</si>
  <si>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</si>
  <si>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</si>
  <si>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</si>
  <si>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</si>
  <si>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</si>
  <si>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</si>
  <si>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</si>
  <si>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</si>
  <si>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</si>
  <si>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</si>
  <si>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</si>
  <si>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</si>
  <si>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</si>
  <si>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</si>
  <si>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</si>
  <si>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</si>
  <si>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</si>
  <si>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</si>
  <si>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</si>
  <si>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</si>
  <si>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</si>
  <si>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</si>
  <si>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</si>
  <si>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</si>
  <si>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</si>
  <si>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</si>
  <si>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</si>
  <si>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</si>
  <si>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</si>
  <si>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</si>
  <si>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</si>
  <si>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</si>
  <si>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</si>
  <si>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</si>
  <si>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</si>
  <si>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</si>
  <si>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</si>
  <si>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</si>
  <si>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</si>
  <si>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</si>
  <si>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</si>
  <si>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</si>
  <si>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</si>
  <si>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</si>
  <si>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</si>
  <si>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</si>
  <si>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</si>
  <si>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</si>
  <si>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</si>
  <si>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</si>
  <si>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</si>
  <si>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</si>
  <si>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</si>
  <si>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</si>
  <si>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</si>
  <si>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</si>
  <si>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</si>
  <si>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</si>
  <si>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</si>
  <si>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</si>
  <si>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</si>
  <si>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</si>
  <si>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</si>
  <si>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</si>
  <si>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</si>
  <si>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</si>
  <si>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</si>
  <si>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</si>
  <si>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</si>
  <si>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</si>
  <si>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</si>
  <si>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</si>
  <si>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</si>
  <si>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</si>
  <si>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</si>
  <si>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</si>
  <si>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</si>
  <si>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</si>
  <si>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</si>
  <si>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</si>
  <si>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</si>
  <si>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</si>
  <si>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</si>
  <si>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</si>
  <si>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</si>
  <si>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</si>
  <si>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</si>
  <si>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</si>
  <si>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</si>
  <si>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</si>
  <si>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</si>
  <si>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</si>
  <si>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</si>
  <si>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</si>
  <si>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</si>
  <si>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</si>
  <si>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</si>
  <si>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</si>
  <si>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</si>
  <si>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</si>
  <si>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</si>
  <si>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</si>
  <si>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</si>
  <si>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</si>
  <si>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</si>
  <si>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</si>
  <si>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</si>
  <si>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</si>
  <si>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</si>
  <si>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</si>
  <si>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</si>
  <si>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</si>
  <si>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</si>
  <si>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</si>
  <si>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</si>
  <si>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</si>
  <si>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</si>
  <si>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</si>
  <si>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</si>
  <si>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</si>
  <si>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</si>
  <si>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</si>
  <si>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</si>
  <si>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</si>
  <si>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</si>
  <si>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</si>
  <si>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</si>
  <si>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</si>
  <si>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</si>
  <si>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</si>
  <si>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</si>
  <si>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</si>
  <si>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</si>
  <si>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</si>
  <si>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</si>
  <si>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</si>
  <si>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</si>
  <si>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</si>
  <si>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</si>
  <si>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</si>
  <si>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</si>
  <si>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</si>
  <si>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</si>
  <si>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</si>
  <si>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</si>
  <si>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</si>
  <si>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</si>
  <si>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</si>
  <si>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</si>
  <si>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</si>
  <si>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</si>
  <si>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</si>
  <si>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</si>
  <si>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</si>
  <si>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</si>
  <si>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</si>
  <si>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</si>
  <si>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</si>
  <si>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</si>
  <si>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</si>
  <si>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</si>
  <si>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</si>
  <si>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</si>
  <si>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</si>
  <si>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</si>
  <si>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</si>
  <si>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</si>
  <si>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</si>
  <si>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</si>
  <si>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</si>
  <si>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</si>
  <si>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</si>
  <si>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</si>
  <si>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</si>
  <si>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</si>
  <si>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</si>
  <si>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</si>
  <si>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</si>
  <si>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</si>
  <si>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</si>
  <si>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</si>
  <si>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</si>
  <si>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</si>
  <si>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</si>
  <si>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</si>
  <si>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</si>
  <si>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</si>
  <si>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</si>
  <si>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</si>
  <si>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</si>
  <si>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</si>
  <si>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</si>
  <si>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</si>
  <si>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</si>
  <si>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</si>
  <si>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</si>
  <si>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</si>
  <si>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</si>
  <si>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</si>
  <si>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</si>
  <si>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</si>
  <si>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</si>
  <si>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</si>
  <si>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</si>
  <si>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</si>
  <si>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</si>
  <si>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</si>
  <si>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</si>
  <si>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</si>
  <si>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</si>
  <si>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</si>
  <si>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</si>
  <si>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</si>
  <si>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</si>
  <si>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</si>
  <si>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</si>
  <si>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</si>
  <si>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</si>
  <si>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</si>
  <si>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</si>
  <si>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</si>
  <si>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</si>
  <si>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</si>
  <si>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</si>
  <si>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</si>
  <si>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</si>
  <si>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</si>
  <si>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</si>
  <si>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</si>
  <si>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</si>
  <si>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</si>
  <si>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</si>
  <si>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</si>
  <si>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</si>
  <si>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</si>
  <si>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</si>
  <si>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</si>
  <si>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</si>
  <si>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</si>
  <si>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</si>
  <si>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</si>
  <si>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</si>
  <si>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</si>
  <si>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</si>
  <si>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</si>
  <si>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</si>
  <si>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</si>
  <si>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</si>
  <si>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</si>
  <si>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</si>
  <si>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</si>
  <si>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</si>
  <si>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</si>
  <si>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</si>
  <si>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</si>
  <si>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</si>
  <si>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</si>
  <si>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</si>
  <si>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</si>
  <si>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</si>
  <si>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</si>
  <si>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</si>
  <si>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</si>
  <si>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</si>
  <si>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</si>
  <si>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</si>
  <si>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</si>
  <si>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</si>
  <si>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</si>
  <si>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</si>
  <si>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</si>
  <si>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</si>
  <si>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</si>
  <si>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</si>
  <si>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</si>
  <si>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</si>
  <si>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</si>
  <si>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</si>
  <si>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</si>
  <si>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</si>
  <si>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</si>
  <si>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</si>
  <si>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</si>
  <si>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</si>
  <si>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</si>
  <si>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</si>
  <si>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</si>
  <si>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</si>
  <si>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</si>
  <si>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</si>
  <si>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</si>
  <si>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</si>
  <si>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</si>
  <si>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</si>
  <si>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</si>
  <si>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</si>
  <si>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</si>
  <si>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</si>
  <si>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</si>
  <si>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</si>
  <si>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</si>
  <si>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</si>
  <si>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</si>
  <si>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</si>
  <si>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</si>
  <si>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</si>
  <si>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</si>
  <si>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</si>
  <si>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</si>
  <si>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</si>
  <si>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</si>
  <si>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</si>
  <si>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</si>
  <si>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</si>
  <si>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</si>
  <si>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</si>
  <si>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</si>
  <si>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</si>
  <si>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</si>
  <si>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</si>
  <si>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</si>
  <si>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</si>
  <si>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</si>
  <si>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</si>
  <si>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</si>
  <si>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</si>
  <si>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</si>
  <si>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</si>
  <si>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</si>
  <si>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</si>
  <si>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</si>
  <si>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</si>
  <si>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</si>
  <si>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</si>
  <si>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</si>
  <si>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</si>
  <si>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</si>
  <si>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</si>
  <si>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</si>
  <si>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</si>
  <si>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</si>
  <si>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</si>
  <si>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</si>
  <si>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</si>
  <si>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</si>
  <si>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</si>
  <si>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</si>
  <si>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</si>
  <si>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</si>
  <si>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</si>
  <si>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</si>
  <si>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</si>
  <si>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</si>
  <si>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</si>
  <si>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</si>
  <si>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</si>
  <si>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</si>
  <si>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</si>
  <si>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</si>
  <si>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</si>
  <si>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</si>
  <si>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</si>
  <si>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</si>
  <si>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</si>
  <si>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</si>
  <si>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</si>
  <si>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</si>
  <si>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</si>
  <si>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</si>
  <si>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</si>
  <si>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</si>
  <si>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</si>
  <si>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</si>
  <si>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</si>
  <si>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</si>
  <si>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</si>
  <si>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</si>
  <si>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</si>
  <si>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</si>
  <si>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</si>
  <si>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</si>
  <si>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</si>
  <si>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</si>
  <si>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</si>
  <si>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</si>
  <si>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</si>
  <si>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</si>
  <si>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</si>
  <si>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</si>
  <si>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</si>
  <si>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</si>
  <si>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</si>
  <si>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</si>
  <si>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</si>
  <si>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</si>
  <si>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</si>
  <si>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</si>
  <si>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</si>
  <si>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</si>
  <si>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</si>
  <si>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</si>
  <si>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</si>
  <si>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</si>
  <si>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</si>
  <si>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</si>
  <si>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</si>
  <si>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</si>
  <si>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</si>
  <si>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</si>
  <si>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</si>
  <si>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</si>
  <si>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</si>
  <si>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</si>
  <si>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</si>
  <si>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</si>
  <si>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</si>
  <si>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</si>
  <si>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</si>
  <si>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</si>
  <si>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</si>
  <si>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</si>
  <si>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</si>
  <si>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</si>
  <si>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</si>
  <si>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</si>
  <si>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</si>
  <si>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</si>
  <si>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</si>
  <si>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</si>
  <si>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</si>
  <si>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</si>
  <si>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</si>
  <si>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</si>
  <si>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</si>
  <si>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</si>
  <si>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</si>
  <si>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</si>
  <si>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</si>
  <si>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</si>
  <si>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</si>
  <si>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</si>
  <si>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</si>
  <si>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</si>
  <si>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</si>
  <si>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</si>
  <si>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</si>
  <si>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</si>
  <si>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</si>
  <si>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</si>
  <si>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</si>
  <si>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</si>
  <si>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</si>
  <si>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</si>
  <si>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</si>
  <si>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</si>
  <si>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</si>
  <si>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</si>
  <si>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</si>
  <si>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</si>
  <si>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</si>
  <si>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</si>
  <si>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</si>
  <si>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</si>
  <si>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</si>
  <si>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</si>
  <si>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</si>
  <si>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</si>
  <si>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</si>
  <si>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</si>
  <si>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</si>
  <si>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</si>
  <si>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</si>
  <si>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</si>
  <si>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</si>
  <si>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</si>
  <si>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</si>
  <si>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</si>
  <si>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</si>
  <si>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</si>
  <si>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</si>
  <si>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</si>
  <si>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</si>
  <si>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</si>
  <si>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</si>
  <si>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</si>
  <si>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</si>
  <si>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</si>
  <si>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</si>
  <si>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</si>
  <si>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</si>
  <si>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</si>
  <si>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</si>
  <si>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</si>
  <si>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</si>
  <si>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</si>
  <si>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</si>
  <si>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</si>
  <si>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</si>
  <si>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</si>
  <si>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</si>
  <si>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</si>
  <si>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</si>
  <si>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</si>
  <si>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</si>
  <si>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</si>
  <si>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</si>
  <si>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</si>
  <si>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</si>
  <si>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</si>
  <si>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</si>
  <si>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</si>
  <si>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</si>
  <si>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</si>
  <si>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</si>
  <si>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</si>
  <si>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</si>
  <si>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</si>
  <si>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</si>
  <si>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</si>
  <si>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</si>
  <si>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</si>
  <si>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</si>
  <si>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</si>
  <si>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</si>
  <si>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</si>
  <si>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</si>
  <si>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</si>
  <si>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</si>
  <si>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</si>
  <si>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</si>
  <si>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</si>
  <si>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</si>
  <si>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</si>
  <si>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</si>
  <si>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</si>
  <si>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</si>
  <si>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</si>
  <si>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</si>
  <si>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</si>
  <si>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</si>
  <si>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</si>
  <si>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</si>
  <si>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</si>
  <si>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</si>
  <si>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</si>
  <si>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</si>
  <si>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</si>
  <si>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</si>
  <si>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</si>
  <si>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</si>
  <si>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</si>
  <si>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</si>
  <si>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</si>
  <si>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</si>
  <si>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</si>
  <si>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</si>
  <si>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</si>
  <si>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</si>
  <si>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</si>
  <si>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</si>
  <si>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</si>
  <si>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</si>
  <si>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</si>
  <si>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</si>
  <si>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</si>
  <si>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</si>
  <si>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</si>
  <si>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</si>
  <si>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</si>
  <si>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</si>
  <si>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</si>
  <si>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</si>
  <si>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</si>
  <si>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</si>
  <si>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</si>
  <si>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</si>
  <si>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</si>
  <si>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</si>
  <si>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</si>
  <si>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</si>
  <si>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</si>
  <si>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</si>
  <si>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</si>
  <si>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</si>
  <si>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</si>
  <si>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</si>
  <si>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</si>
  <si>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</si>
  <si>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</si>
  <si>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</si>
  <si>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</si>
  <si>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</si>
  <si>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</si>
  <si>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</si>
  <si>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</si>
  <si>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</si>
  <si>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</si>
  <si>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</si>
  <si>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</si>
  <si>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</si>
  <si>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</si>
  <si>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</si>
  <si>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</si>
  <si>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</si>
  <si>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</si>
  <si>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</si>
  <si>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</si>
  <si>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</si>
  <si>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</si>
  <si>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</si>
  <si>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</si>
  <si>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</si>
  <si>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</si>
  <si>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</si>
  <si>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</si>
  <si>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</si>
  <si>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</si>
  <si>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</si>
  <si>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</si>
  <si>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</si>
  <si>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</si>
  <si>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</si>
  <si>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</si>
  <si>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</si>
  <si>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</si>
  <si>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</si>
  <si>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</si>
  <si>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</si>
  <si>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</si>
  <si>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</si>
  <si>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</si>
  <si>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</si>
  <si>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</si>
  <si>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</si>
  <si>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</si>
  <si>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</si>
  <si>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</si>
  <si>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</si>
  <si>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</si>
  <si>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</si>
  <si>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</si>
  <si>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</si>
  <si>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</si>
  <si>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</si>
  <si>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</si>
  <si>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</si>
  <si>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</si>
  <si>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</si>
  <si>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</si>
  <si>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</si>
  <si>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</si>
  <si>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</si>
  <si>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</si>
  <si>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</si>
  <si>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</si>
  <si>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</si>
  <si>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</si>
  <si>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</si>
  <si>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</si>
  <si>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</si>
  <si>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</si>
  <si>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</si>
  <si>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</si>
  <si>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</si>
  <si>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</si>
  <si>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</si>
  <si>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</si>
  <si>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</si>
  <si>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</si>
  <si>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</si>
  <si>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</si>
  <si>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</si>
  <si>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</si>
  <si>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</si>
  <si>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</si>
  <si>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</si>
  <si>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</si>
  <si>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</si>
  <si>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</si>
  <si>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</si>
  <si>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</si>
  <si>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</si>
  <si>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</si>
  <si>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</si>
  <si>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</si>
  <si>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</si>
  <si>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</si>
  <si>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</si>
  <si>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</si>
  <si>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</si>
  <si>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</si>
  <si>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</si>
  <si>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</si>
  <si>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</si>
  <si>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</si>
  <si>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</si>
  <si>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</si>
  <si>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</si>
  <si>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</si>
  <si>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</si>
  <si>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</si>
  <si>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</si>
  <si>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</si>
  <si>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</si>
  <si>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</si>
  <si>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</si>
  <si>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</si>
  <si>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</si>
  <si>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</si>
  <si>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</si>
  <si>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</si>
  <si>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</si>
  <si>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</si>
  <si>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</si>
  <si>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</si>
  <si>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</si>
  <si>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</si>
  <si>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</si>
  <si>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</si>
  <si>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</si>
  <si>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</si>
  <si>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</si>
  <si>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</si>
  <si>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</si>
  <si>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</si>
  <si>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</si>
  <si>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</si>
  <si>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</si>
  <si>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</si>
  <si>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</si>
  <si>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</si>
  <si>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</si>
  <si>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</si>
  <si>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</si>
  <si>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</si>
  <si>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</si>
  <si>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</si>
  <si>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</si>
  <si>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</si>
  <si>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</si>
  <si>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</si>
  <si>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</si>
  <si>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</si>
  <si>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</si>
  <si>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</si>
  <si>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</si>
  <si>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</si>
  <si>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</si>
  <si>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</si>
  <si>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</si>
  <si>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</si>
  <si>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</si>
  <si>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</si>
  <si>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</si>
  <si>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</si>
  <si>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</si>
  <si>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</si>
  <si>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</si>
  <si>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</si>
  <si>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</si>
  <si>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</si>
  <si>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</si>
  <si>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</si>
  <si>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</si>
  <si>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</si>
  <si>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</si>
  <si>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</si>
  <si>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</si>
  <si>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</si>
  <si>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</si>
  <si>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</si>
  <si>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</si>
  <si>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</si>
  <si>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</si>
  <si>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</si>
  <si>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</si>
  <si>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</si>
  <si>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</si>
  <si>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</si>
  <si>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</si>
  <si>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</si>
  <si>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</si>
  <si>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</si>
  <si>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</si>
  <si>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</si>
  <si>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</si>
  <si>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</si>
  <si>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</si>
  <si>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</si>
  <si>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</si>
  <si>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</si>
  <si>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</si>
  <si>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</si>
  <si>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</si>
  <si>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</si>
  <si>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</si>
  <si>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</si>
  <si>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</si>
  <si>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</si>
  <si>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</si>
  <si>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</si>
  <si>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</si>
  <si>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</si>
  <si>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</si>
  <si>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</si>
  <si>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</si>
  <si>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</si>
  <si>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</si>
  <si>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</si>
  <si>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</si>
  <si>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</si>
  <si>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</si>
  <si>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</si>
  <si>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</si>
  <si>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</si>
  <si>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</si>
  <si>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</si>
  <si>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</si>
  <si>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</si>
  <si>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</si>
  <si>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</si>
  <si>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</si>
  <si>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</si>
  <si>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</si>
  <si>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</si>
  <si>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</si>
  <si>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</si>
  <si>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</si>
  <si>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</si>
  <si>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</si>
  <si>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</si>
  <si>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</si>
  <si>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</si>
  <si>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</si>
  <si>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</si>
  <si>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</si>
  <si>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</si>
  <si>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</si>
  <si>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</si>
  <si>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</si>
  <si>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</si>
  <si>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</si>
  <si>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</si>
  <si>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</si>
  <si>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</si>
  <si>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</si>
  <si>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</si>
  <si>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</si>
  <si>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</si>
  <si>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</si>
  <si>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</si>
  <si>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</si>
  <si>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</si>
  <si>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</si>
  <si>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</si>
  <si>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</si>
  <si>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</si>
  <si>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</si>
  <si>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</si>
  <si>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</si>
  <si>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</si>
  <si>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</si>
  <si>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</si>
  <si>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</si>
  <si>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</si>
  <si>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</si>
  <si>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</si>
  <si>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</si>
  <si>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</si>
  <si>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</si>
  <si>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</si>
  <si>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</si>
  <si>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</si>
  <si>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</si>
  <si>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</si>
  <si>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</si>
  <si>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</si>
  <si>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</si>
  <si>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</si>
  <si>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</si>
  <si>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</si>
  <si>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</si>
  <si>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</si>
  <si>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</si>
  <si>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</si>
  <si>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</si>
  <si>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</si>
  <si>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</si>
  <si>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</si>
  <si>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</si>
  <si>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</si>
  <si>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</si>
  <si>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</si>
  <si>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</si>
  <si>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</si>
  <si>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</si>
  <si>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</si>
  <si>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</si>
  <si>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</si>
  <si>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</si>
  <si>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</si>
  <si>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</si>
  <si>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</si>
  <si>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</si>
  <si>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</si>
  <si>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</si>
  <si>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</si>
  <si>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</si>
  <si>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</si>
  <si>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</si>
  <si>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</si>
  <si>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</si>
  <si>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</si>
  <si>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</si>
  <si>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</si>
  <si>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</si>
  <si>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</si>
  <si>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</si>
  <si>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</si>
  <si>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</si>
  <si>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</si>
  <si>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</si>
  <si>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</si>
  <si>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</si>
  <si>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</si>
  <si>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</si>
  <si>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</si>
  <si>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</si>
  <si>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</si>
  <si>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</si>
  <si>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</si>
  <si>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</si>
  <si>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</si>
  <si>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</si>
  <si>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</si>
  <si>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</si>
  <si>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</si>
  <si>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</si>
  <si>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</si>
  <si>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</si>
  <si>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</si>
  <si>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</si>
  <si>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</si>
  <si>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</si>
  <si>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</si>
  <si>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</si>
  <si>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</si>
  <si>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</si>
  <si>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</si>
  <si>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</si>
  <si>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</si>
  <si>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</si>
  <si>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</si>
  <si>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</si>
  <si>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</si>
  <si>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</si>
  <si>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</si>
  <si>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</si>
  <si>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</si>
  <si>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</si>
  <si>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</si>
  <si>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</si>
  <si>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</si>
  <si>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</si>
  <si>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</si>
  <si>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</si>
  <si>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</si>
  <si>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</si>
  <si>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</si>
  <si>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</si>
  <si>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</si>
  <si>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</si>
  <si>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</si>
  <si>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</si>
  <si>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</si>
  <si>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</si>
  <si>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</si>
  <si>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</si>
  <si>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</si>
  <si>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</si>
  <si>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</si>
  <si>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</si>
  <si>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</si>
  <si>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</si>
  <si>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</si>
  <si>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</si>
  <si>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</si>
  <si>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</si>
  <si>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</si>
  <si>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</si>
  <si>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</si>
  <si>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</si>
  <si>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</si>
  <si>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</si>
  <si>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</si>
  <si>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</si>
  <si>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</si>
  <si>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</si>
  <si>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</si>
  <si>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</si>
  <si>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</si>
  <si>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</si>
  <si>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</si>
  <si>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</si>
  <si>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</si>
  <si>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</si>
  <si>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</si>
  <si>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</si>
  <si>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</si>
  <si>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</si>
  <si>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</si>
  <si>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</si>
  <si>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</si>
  <si>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</si>
  <si>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</si>
  <si>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</si>
  <si>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</si>
  <si>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</si>
  <si>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</si>
  <si>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</si>
  <si>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</si>
  <si>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</si>
  <si>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</si>
  <si>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</si>
  <si>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</si>
  <si>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</si>
  <si>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</si>
  <si>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</si>
  <si>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</si>
  <si>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</si>
  <si>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</si>
  <si>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</si>
  <si>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</si>
  <si>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</si>
  <si>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</si>
  <si>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</si>
  <si>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</si>
  <si>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</si>
  <si>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</si>
  <si>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</si>
  <si>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</si>
  <si>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</si>
  <si>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</si>
  <si>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</si>
  <si>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</si>
  <si>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</si>
  <si>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</si>
  <si>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</si>
  <si>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</si>
  <si>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</si>
  <si>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</si>
  <si>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</si>
  <si>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</si>
  <si>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</si>
  <si>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</si>
  <si>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</si>
  <si>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</si>
  <si>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</si>
  <si>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</si>
  <si>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</si>
  <si>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</si>
  <si>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</si>
  <si>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</si>
  <si>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</si>
  <si>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</si>
  <si>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</si>
  <si>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</si>
  <si>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</si>
  <si>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</si>
  <si>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</si>
  <si>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</si>
  <si>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</si>
  <si>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</si>
  <si>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</si>
  <si>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</si>
  <si>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</si>
  <si>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</si>
  <si>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</si>
  <si>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</si>
  <si>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</si>
  <si>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</si>
  <si>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</si>
  <si>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</si>
  <si>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</si>
  <si>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</si>
  <si>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</si>
  <si>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</si>
  <si>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</si>
  <si>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</si>
  <si>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</si>
  <si>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</si>
  <si>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</si>
  <si>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</si>
  <si>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</si>
  <si>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</si>
  <si>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</si>
  <si>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</si>
  <si>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</si>
  <si>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</si>
  <si>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</si>
  <si>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</si>
  <si>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</si>
  <si>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</si>
  <si>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</si>
  <si>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</si>
  <si>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</si>
  <si>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</si>
  <si>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</si>
  <si>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</si>
  <si>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</si>
  <si>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</si>
  <si>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</si>
  <si>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</si>
  <si>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</si>
  <si>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</si>
  <si>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</si>
  <si>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</si>
  <si>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</si>
  <si>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</si>
  <si>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</si>
  <si>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</si>
  <si>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</si>
  <si>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</si>
  <si>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</si>
  <si>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</si>
  <si>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</si>
  <si>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</si>
  <si>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</si>
  <si>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</si>
  <si>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</si>
  <si>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</si>
  <si>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</si>
  <si>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</si>
  <si>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</si>
  <si>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</si>
  <si>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</si>
  <si>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</si>
  <si>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</si>
  <si>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</si>
  <si>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</si>
  <si>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</si>
  <si>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</si>
  <si>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</si>
  <si>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</si>
  <si>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</si>
  <si>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</si>
  <si>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</si>
  <si>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</si>
  <si>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</si>
  <si>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</si>
  <si>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</si>
  <si>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</si>
  <si>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</si>
  <si>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</si>
  <si>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</si>
  <si>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</si>
  <si>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</si>
  <si>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</si>
  <si>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</si>
  <si>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</si>
  <si>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</si>
  <si>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</si>
  <si>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</si>
  <si>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</si>
  <si>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</si>
  <si>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</si>
  <si>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</si>
  <si>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</si>
  <si>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</si>
  <si>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</si>
  <si>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</si>
  <si>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</si>
  <si>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</si>
  <si>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</si>
  <si>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</si>
  <si>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</si>
  <si>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</si>
  <si>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</si>
  <si>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</si>
  <si>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</si>
  <si>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</si>
  <si>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</si>
  <si>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</si>
  <si>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</si>
  <si>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</si>
  <si>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</si>
  <si>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</si>
  <si>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</si>
  <si>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</si>
  <si>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</si>
  <si>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</si>
  <si>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</si>
  <si>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</si>
  <si>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</si>
  <si>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</si>
  <si>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</si>
  <si>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</si>
  <si>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</si>
  <si>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</si>
  <si>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</si>
  <si>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</si>
  <si>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</si>
  <si>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</si>
  <si>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</si>
  <si>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</si>
  <si>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</si>
  <si>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</si>
  <si>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</si>
  <si>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</si>
  <si>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</si>
  <si>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</si>
  <si>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</si>
  <si>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</si>
  <si>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</si>
  <si>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</si>
  <si>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</si>
  <si>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</si>
  <si>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</si>
  <si>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</si>
  <si>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</si>
  <si>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</si>
  <si>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</si>
  <si>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</si>
  <si>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</si>
  <si>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</si>
  <si>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</si>
  <si>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</si>
  <si>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</si>
  <si>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</si>
  <si>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</si>
  <si>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</si>
  <si>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</si>
  <si>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</si>
  <si>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</si>
  <si>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</si>
  <si>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</si>
  <si>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</si>
  <si>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</si>
  <si>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</si>
  <si>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</si>
  <si>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</si>
  <si>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</si>
  <si>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</si>
  <si>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</si>
  <si>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</si>
  <si>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</si>
  <si>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</si>
  <si>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</si>
  <si>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</si>
  <si>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</si>
  <si>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</si>
  <si>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</si>
  <si>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</si>
  <si>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</si>
  <si>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</si>
  <si>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</si>
  <si>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</si>
  <si>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</si>
  <si>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</si>
  <si>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</si>
  <si>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</si>
  <si>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</si>
  <si>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</si>
  <si>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</si>
  <si>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</si>
  <si>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</si>
  <si>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</si>
  <si>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</si>
  <si>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</si>
  <si>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</si>
  <si>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</si>
  <si>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</si>
  <si>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</si>
  <si>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</si>
  <si>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</si>
  <si>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</si>
  <si>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</si>
  <si>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</si>
  <si>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</si>
  <si>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</si>
  <si>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</si>
  <si>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</si>
  <si>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</si>
  <si>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</si>
  <si>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</si>
  <si>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</si>
  <si>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</si>
  <si>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</si>
  <si>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</si>
  <si>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</si>
  <si>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</si>
  <si>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</si>
  <si>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</si>
  <si>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</si>
  <si>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</si>
  <si>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</si>
  <si>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</si>
  <si>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</si>
  <si>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</si>
  <si>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</si>
  <si>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</si>
  <si>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</si>
  <si>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</si>
  <si>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</si>
  <si>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</si>
  <si>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</si>
  <si>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</si>
  <si>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</si>
  <si>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</si>
  <si>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</si>
  <si>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</si>
  <si>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</si>
  <si>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</si>
  <si>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</si>
  <si>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</si>
  <si>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</si>
  <si>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</si>
  <si>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</si>
  <si>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</si>
  <si>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</si>
  <si>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</si>
  <si>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</si>
  <si>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</si>
  <si>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</si>
  <si>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</si>
  <si>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</si>
  <si>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</si>
  <si>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</si>
  <si>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</si>
  <si>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</si>
  <si>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</si>
  <si>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</si>
  <si>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</si>
  <si>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</si>
  <si>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</si>
  <si>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</si>
  <si>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</si>
  <si>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</si>
  <si>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</si>
  <si>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</si>
  <si>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</si>
  <si>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</si>
  <si>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</si>
  <si>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</si>
  <si>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</si>
  <si>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</si>
  <si>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</si>
  <si>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</si>
  <si>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</si>
  <si>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</si>
  <si>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</si>
  <si>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</si>
  <si>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</si>
  <si>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</si>
  <si>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</si>
  <si>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</si>
  <si>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</si>
  <si>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</si>
  <si>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</si>
  <si>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</si>
  <si>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</si>
  <si>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</si>
  <si>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</si>
  <si>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</si>
  <si>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</si>
  <si>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</si>
  <si>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</si>
  <si>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</si>
  <si>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</si>
  <si>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</si>
  <si>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</si>
  <si>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</si>
  <si>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</si>
  <si>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</si>
  <si>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</si>
  <si>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</si>
  <si>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</si>
  <si>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</si>
  <si>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</si>
  <si>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</si>
  <si>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</si>
  <si>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</si>
  <si>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</si>
  <si>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</si>
  <si>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</si>
  <si>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</si>
  <si>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</si>
  <si>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</si>
  <si>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</si>
  <si>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</si>
  <si>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</si>
  <si>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</si>
  <si>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</si>
  <si>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</si>
  <si>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</si>
  <si>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</si>
  <si>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</si>
  <si>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</si>
  <si>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</si>
  <si>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</si>
  <si>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</si>
  <si>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</si>
  <si>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</si>
  <si>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</si>
  <si>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</si>
  <si>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</si>
  <si>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</si>
  <si>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</si>
  <si>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</si>
  <si>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</si>
  <si>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</si>
  <si>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</si>
  <si>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</si>
  <si>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</si>
  <si>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</si>
  <si>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</si>
  <si>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</si>
  <si>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</si>
  <si>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</si>
  <si>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</si>
  <si>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</si>
  <si>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</si>
  <si>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</si>
  <si>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</si>
  <si>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</si>
  <si>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</si>
  <si>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</si>
  <si>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</si>
  <si>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</si>
  <si>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</si>
  <si>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</si>
  <si>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</si>
  <si>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</si>
  <si>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</si>
  <si>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</si>
  <si>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</si>
  <si>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</si>
  <si>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</si>
  <si>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</si>
  <si>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</si>
  <si>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</si>
  <si>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</si>
  <si>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</si>
  <si>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</si>
  <si>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</si>
  <si>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</si>
  <si>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</si>
  <si>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</si>
  <si>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</si>
  <si>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</si>
  <si>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</si>
  <si>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</si>
  <si>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</si>
  <si>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</si>
  <si>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</si>
  <si>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</si>
  <si>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</si>
  <si>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</si>
  <si>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</si>
  <si>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</si>
  <si>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</si>
  <si>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</si>
  <si>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</si>
  <si>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</si>
  <si>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</si>
  <si>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</si>
  <si>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</si>
  <si>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</si>
  <si>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</si>
  <si>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</si>
  <si>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</si>
  <si>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</si>
  <si>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</si>
  <si>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</si>
  <si>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</si>
  <si>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</si>
  <si>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</si>
  <si>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</si>
  <si>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</si>
  <si>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</si>
  <si>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</si>
  <si>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</si>
  <si>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</si>
  <si>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</si>
  <si>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</si>
  <si>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</si>
  <si>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</si>
  <si>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</si>
  <si>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</si>
  <si>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</si>
  <si>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</si>
  <si>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</si>
  <si>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</si>
  <si>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</si>
  <si>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</si>
  <si>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</si>
  <si>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</si>
  <si>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</si>
  <si>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</si>
  <si>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</si>
  <si>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</si>
  <si>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</si>
  <si>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</si>
  <si>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</si>
  <si>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</si>
  <si>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</si>
  <si>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</si>
  <si>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</si>
  <si>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</si>
  <si>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</si>
  <si>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</si>
  <si>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</si>
  <si>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</si>
  <si>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</si>
  <si>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</si>
  <si>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</si>
  <si>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</si>
  <si>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</si>
  <si>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</si>
  <si>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</si>
  <si>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</si>
  <si>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</si>
  <si>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</si>
  <si>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</si>
  <si>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</si>
  <si>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</si>
  <si>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</si>
  <si>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</si>
  <si>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</si>
  <si>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</si>
  <si>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</si>
  <si>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</si>
  <si>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</si>
  <si>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</si>
  <si>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</si>
  <si>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</si>
  <si>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</si>
  <si>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</si>
  <si>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</si>
  <si>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</si>
  <si>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</si>
  <si>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</si>
  <si>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</si>
  <si>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</si>
  <si>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</si>
  <si>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</si>
  <si>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</si>
  <si>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</si>
  <si>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</si>
  <si>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</si>
  <si>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</si>
  <si>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</si>
  <si>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</si>
  <si>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</si>
  <si>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</si>
  <si>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</si>
  <si>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</si>
  <si>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</si>
  <si>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</si>
  <si>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</si>
  <si>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</si>
  <si>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</si>
  <si>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</si>
  <si>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</si>
  <si>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</si>
  <si>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</si>
  <si>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</si>
  <si>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</si>
  <si>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</si>
  <si>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</si>
  <si>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</si>
  <si>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</si>
  <si>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</si>
  <si>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</si>
  <si>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</si>
  <si>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</si>
  <si>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</si>
  <si>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</si>
  <si>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</si>
  <si>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</si>
  <si>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</si>
  <si>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</si>
  <si>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</si>
  <si>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</si>
  <si>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</si>
  <si>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</si>
  <si>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</si>
  <si>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</si>
  <si>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</si>
  <si>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</si>
  <si>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</si>
  <si>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</si>
  <si>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</si>
  <si>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</si>
  <si>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</si>
  <si>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</si>
  <si>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</si>
  <si>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</si>
  <si>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</si>
  <si>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</si>
  <si>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</si>
  <si>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</si>
  <si>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</si>
  <si>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</si>
  <si>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</si>
  <si>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</si>
  <si>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</si>
  <si>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</si>
  <si>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</si>
  <si>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</si>
  <si>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</si>
  <si>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</si>
  <si>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</si>
  <si>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</si>
  <si>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</si>
  <si>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</si>
  <si>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</si>
  <si>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</si>
  <si>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</si>
  <si>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</si>
  <si>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</si>
  <si>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</si>
  <si>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</si>
  <si>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</si>
  <si>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</si>
  <si>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</si>
  <si>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</si>
  <si>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</si>
  <si>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</si>
  <si>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</si>
  <si>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</si>
  <si>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</si>
  <si>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</si>
  <si>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</si>
  <si>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</si>
  <si>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</si>
  <si>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</si>
  <si>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</si>
  <si>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</si>
  <si>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</si>
  <si>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</si>
  <si>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</si>
  <si>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</si>
  <si>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</si>
  <si>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</si>
  <si>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</si>
  <si>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</si>
  <si>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</si>
  <si>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</si>
  <si>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</si>
  <si>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</si>
  <si>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</si>
  <si>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</si>
  <si>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</si>
  <si>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</si>
  <si>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</si>
  <si>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</si>
  <si>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</si>
  <si>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</si>
  <si>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</si>
  <si>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</si>
  <si>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</si>
  <si>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</si>
  <si>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</si>
  <si>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</si>
  <si>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</si>
  <si>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</si>
  <si>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</si>
  <si>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</si>
  <si>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</si>
  <si>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</si>
  <si>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</si>
  <si>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</si>
  <si>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</si>
  <si>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</si>
  <si>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</si>
  <si>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</si>
  <si>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</si>
  <si>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</si>
  <si>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</si>
  <si>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</si>
  <si>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</si>
  <si>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</si>
  <si>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</si>
  <si>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</si>
  <si>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</si>
  <si>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</si>
  <si>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</si>
  <si>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</si>
  <si>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</si>
  <si>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</si>
  <si>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</si>
  <si>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</si>
  <si>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</si>
  <si>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</si>
  <si>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</si>
  <si>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</si>
  <si>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</si>
  <si>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</si>
  <si>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</si>
  <si>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</si>
  <si>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</si>
  <si>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</si>
  <si>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</si>
  <si>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</si>
  <si>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</si>
  <si>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</si>
  <si>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</si>
  <si>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</si>
  <si>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</si>
  <si>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</si>
  <si>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</si>
  <si>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</si>
  <si>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</si>
  <si>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</si>
  <si>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</si>
  <si>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</si>
  <si>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</si>
  <si>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</si>
  <si>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</si>
  <si>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</si>
  <si>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</si>
  <si>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</si>
  <si>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</si>
  <si>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</si>
  <si>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</si>
  <si>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</si>
  <si>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</si>
  <si>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</si>
  <si>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</si>
  <si>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</si>
  <si>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</si>
  <si>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</si>
  <si>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</si>
  <si>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</si>
  <si>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</si>
  <si>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</si>
  <si>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</si>
  <si>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</si>
  <si>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</si>
  <si>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</si>
  <si>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</si>
  <si>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</si>
  <si>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</si>
  <si>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</si>
  <si>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</si>
  <si>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</si>
  <si>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</si>
  <si>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</si>
  <si>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</si>
  <si>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</si>
  <si>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</si>
  <si>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</si>
  <si>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</si>
  <si>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</si>
  <si>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</si>
  <si>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</si>
  <si>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</si>
  <si>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</si>
  <si>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</si>
  <si>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</si>
  <si>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</si>
  <si>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</si>
  <si>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</si>
  <si>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</si>
  <si>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</si>
  <si>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</si>
  <si>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</si>
  <si>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</si>
  <si>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</si>
  <si>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</si>
  <si>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</si>
  <si>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</si>
  <si>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</si>
  <si>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</si>
  <si>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</si>
  <si>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</si>
  <si>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</si>
  <si>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</si>
  <si>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</si>
  <si>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</si>
  <si>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</si>
  <si>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</si>
  <si>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</si>
  <si>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</si>
  <si>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</si>
  <si>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</si>
  <si>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</si>
  <si>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</si>
  <si>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</si>
  <si>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</si>
  <si>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</si>
  <si>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</si>
  <si>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</si>
  <si>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</si>
  <si>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</si>
  <si>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</si>
  <si>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</si>
  <si>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</si>
  <si>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</si>
  <si>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</si>
  <si>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</si>
  <si>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</si>
  <si>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</si>
  <si>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</si>
  <si>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</si>
  <si>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</si>
  <si>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</si>
  <si>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</si>
  <si>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</si>
  <si>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</si>
  <si>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</si>
  <si>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</si>
  <si>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</si>
  <si>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</si>
  <si>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</si>
  <si>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</si>
  <si>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</si>
  <si>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</si>
  <si>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</si>
  <si>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</si>
  <si>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</si>
  <si>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</si>
  <si>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</si>
  <si>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</si>
  <si>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</si>
  <si>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</si>
  <si>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</si>
  <si>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</si>
  <si>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</si>
  <si>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</si>
  <si>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</si>
  <si>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</si>
  <si>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</si>
  <si>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</si>
  <si>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</si>
  <si>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</si>
  <si>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</si>
  <si>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</si>
  <si>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</si>
  <si>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</si>
  <si>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</si>
  <si>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</si>
  <si>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</si>
  <si>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</si>
  <si>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</si>
  <si>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</si>
  <si>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</si>
  <si>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</si>
  <si>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</si>
  <si>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</si>
  <si>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</si>
  <si>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</si>
  <si>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</si>
  <si>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</si>
  <si>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</si>
  <si>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</si>
  <si>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</si>
  <si>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</si>
  <si>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</si>
  <si>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</si>
  <si>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</si>
  <si>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</si>
  <si>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</si>
  <si>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</si>
  <si>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</si>
  <si>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</si>
  <si>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</si>
  <si>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</si>
  <si>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</si>
  <si>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</si>
  <si>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</si>
  <si>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</si>
  <si>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</si>
  <si>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</si>
  <si>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</si>
  <si>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</si>
  <si>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</si>
  <si>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</si>
  <si>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</si>
  <si>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</si>
  <si>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</si>
  <si>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</si>
  <si>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</si>
  <si>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</si>
  <si>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</si>
  <si>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</si>
  <si>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</si>
  <si>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</si>
  <si>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</si>
  <si>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</si>
  <si>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</si>
  <si>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</si>
  <si>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</si>
  <si>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</si>
  <si>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</si>
  <si>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</si>
  <si>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</si>
  <si>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</si>
  <si>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</si>
  <si>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</si>
  <si>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</si>
  <si>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</si>
  <si>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</si>
  <si>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</si>
  <si>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</si>
  <si>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</si>
  <si>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</si>
  <si>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</si>
  <si>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</si>
  <si>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</si>
  <si>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</si>
  <si>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</si>
  <si>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</si>
  <si>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</si>
  <si>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</si>
  <si>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</si>
  <si>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</si>
  <si>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</si>
  <si>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</si>
  <si>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</si>
  <si>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</si>
  <si>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</si>
  <si>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</si>
  <si>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</si>
  <si>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</si>
  <si>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</si>
  <si>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</si>
  <si>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</si>
  <si>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</si>
  <si>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</si>
  <si>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</si>
  <si>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</si>
  <si>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</si>
  <si>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</si>
  <si>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</si>
  <si>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</si>
  <si>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</si>
  <si>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</si>
  <si>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</si>
  <si>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</si>
  <si>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</si>
  <si>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</si>
  <si>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</si>
  <si>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</si>
  <si>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</si>
  <si>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</si>
  <si>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</si>
  <si>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</si>
  <si>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</si>
  <si>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</si>
  <si>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</si>
  <si>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</si>
  <si>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</si>
  <si>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</si>
  <si>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</si>
  <si>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</si>
  <si>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</si>
  <si>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</si>
  <si>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</si>
  <si>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</si>
  <si>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</si>
  <si>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</si>
  <si>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</si>
  <si>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</si>
  <si>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</si>
  <si>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</si>
  <si>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</si>
  <si>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</si>
  <si>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</si>
  <si>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</si>
  <si>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</si>
  <si>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</si>
  <si>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</si>
  <si>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</si>
  <si>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</si>
  <si>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</si>
  <si>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</si>
  <si>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</si>
  <si>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</si>
  <si>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</si>
  <si>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</si>
  <si>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</si>
  <si>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</si>
  <si>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</si>
  <si>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</si>
  <si>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</si>
  <si>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</si>
  <si>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</si>
  <si>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</si>
  <si>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</si>
  <si>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</si>
  <si>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</si>
  <si>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</si>
  <si>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</si>
  <si>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</si>
  <si>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</si>
  <si>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</si>
  <si>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</si>
  <si>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</si>
  <si>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</si>
  <si>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</si>
  <si>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</si>
  <si>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</si>
  <si>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</si>
  <si>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</si>
  <si>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</si>
  <si>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</si>
  <si>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</si>
  <si>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</si>
  <si>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</si>
  <si>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</si>
  <si>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</si>
  <si>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</si>
  <si>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</si>
  <si>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</si>
  <si>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</si>
  <si>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</si>
  <si>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</si>
  <si>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</si>
  <si>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</si>
  <si>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</si>
  <si>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</si>
  <si>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</si>
  <si>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</si>
  <si>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</si>
  <si>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</si>
  <si>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</si>
  <si>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</si>
  <si>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</si>
  <si>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</si>
  <si>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</si>
  <si>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</si>
  <si>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</si>
  <si>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</si>
  <si>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</si>
  <si>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</si>
  <si>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</si>
  <si>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</si>
  <si>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</si>
  <si>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</si>
  <si>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</si>
  <si>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</si>
  <si>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</si>
  <si>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</si>
  <si>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</si>
  <si>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</si>
  <si>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</si>
  <si>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</si>
  <si>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</si>
  <si>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</si>
  <si>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</si>
  <si>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</si>
  <si>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</si>
  <si>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</si>
  <si>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</si>
  <si>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</si>
  <si>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</si>
  <si>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</si>
  <si>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</si>
  <si>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</si>
  <si>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</si>
  <si>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</si>
  <si>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</si>
  <si>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</si>
  <si>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</si>
  <si>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</si>
  <si>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</si>
  <si>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</si>
  <si>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</si>
  <si>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</si>
  <si>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</si>
  <si>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</si>
  <si>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</si>
  <si>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</si>
  <si>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</si>
  <si>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</si>
  <si>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</si>
  <si>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</si>
  <si>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</si>
  <si>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</si>
  <si>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</si>
  <si>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</si>
  <si>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</si>
  <si>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</si>
  <si>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</si>
  <si>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</si>
  <si>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</si>
  <si>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</si>
  <si>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</si>
  <si>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</si>
  <si>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</si>
  <si>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</si>
  <si>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</si>
  <si>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</si>
  <si>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</si>
  <si>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</si>
  <si>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</si>
  <si>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</si>
  <si>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</si>
  <si>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</si>
  <si>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</si>
  <si>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</si>
  <si>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</si>
  <si>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</si>
  <si>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</si>
  <si>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</si>
  <si>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</si>
  <si>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</si>
  <si>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</si>
  <si>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</si>
  <si>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</si>
  <si>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</si>
  <si>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</si>
  <si>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</si>
  <si>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</si>
  <si>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</si>
  <si>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</si>
  <si>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</si>
  <si>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</si>
  <si>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</si>
  <si>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</si>
  <si>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</si>
  <si>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</si>
  <si>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</si>
  <si>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</si>
  <si>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</si>
  <si>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</si>
  <si>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</si>
  <si>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</si>
  <si>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</si>
  <si>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</si>
  <si>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</si>
  <si>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</si>
  <si>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</si>
  <si>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</si>
  <si>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</si>
  <si>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</si>
  <si>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</si>
  <si>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</si>
  <si>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</si>
  <si>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</si>
  <si>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</si>
  <si>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</si>
  <si>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</si>
  <si>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</si>
  <si>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</si>
  <si>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</si>
  <si>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</si>
  <si>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</si>
  <si>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</si>
  <si>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</si>
  <si>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</si>
  <si>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</si>
  <si>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</si>
  <si>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</si>
  <si>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</si>
  <si>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</si>
  <si>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</si>
  <si>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</si>
  <si>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</si>
  <si>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</si>
  <si>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</si>
  <si>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</si>
  <si>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</si>
  <si>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</si>
  <si>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</si>
  <si>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</si>
  <si>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</si>
  <si>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</si>
  <si>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</si>
  <si>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</si>
  <si>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</si>
  <si>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</si>
  <si>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</si>
  <si>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</si>
  <si>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商业</t>
    <phoneticPr fontId="3" type="noConversion"/>
  </si>
  <si>
    <t>地上</t>
  </si>
  <si>
    <t>是</t>
  </si>
  <si>
    <t>成新度</t>
  </si>
  <si>
    <t>自定义容积率</t>
  </si>
  <si>
    <t>不临65条商业街</t>
  </si>
  <si>
    <t>与级别开发程度一致</t>
  </si>
  <si>
    <t>中心城区以外</t>
  </si>
  <si>
    <t>较好</t>
  </si>
  <si>
    <t>一般</t>
  </si>
  <si>
    <t>好</t>
  </si>
  <si>
    <t>Ⅵ-兴1</t>
  </si>
  <si>
    <t>挂牌</t>
    <phoneticPr fontId="3" type="noConversion"/>
  </si>
  <si>
    <t>街角地</t>
  </si>
  <si>
    <t>多面临街</t>
  </si>
  <si>
    <t>双面临街</t>
  </si>
  <si>
    <t>单面临街</t>
  </si>
  <si>
    <t>不临街</t>
  </si>
  <si>
    <t>沿街外铺</t>
    <phoneticPr fontId="3" type="noConversion"/>
  </si>
  <si>
    <t>内铺</t>
    <phoneticPr fontId="3" type="noConversion"/>
  </si>
  <si>
    <t>大</t>
  </si>
  <si>
    <t>较大</t>
  </si>
  <si>
    <t>较小</t>
  </si>
  <si>
    <t>小</t>
  </si>
  <si>
    <t>一层</t>
  </si>
  <si>
    <t>二层</t>
  </si>
  <si>
    <t>商场</t>
    <phoneticPr fontId="134" type="noConversion"/>
  </si>
  <si>
    <t>步行街</t>
    <phoneticPr fontId="134" type="noConversion"/>
  </si>
  <si>
    <t>住宅配套商业</t>
  </si>
  <si>
    <t>写字楼底商</t>
  </si>
  <si>
    <t>钢混</t>
  </si>
  <si>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</si>
  <si>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</si>
  <si>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</si>
  <si>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</si>
  <si>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</si>
  <si>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</si>
  <si>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</si>
  <si>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</si>
  <si>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</si>
  <si>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</si>
  <si>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</si>
  <si>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</si>
  <si>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单套模式</t>
  </si>
  <si>
    <t>售价</t>
  </si>
  <si>
    <t>正常</t>
  </si>
  <si>
    <t>挂牌</t>
  </si>
  <si>
    <t>商业</t>
    <phoneticPr fontId="30" type="noConversion"/>
  </si>
  <si>
    <t>建成年代</t>
    <phoneticPr fontId="30" type="noConversion"/>
  </si>
  <si>
    <t>较好</t>
    <phoneticPr fontId="30" type="noConversion"/>
  </si>
  <si>
    <t>3米</t>
  </si>
  <si>
    <t>砖混</t>
  </si>
  <si>
    <t>砖混</t>
    <phoneticPr fontId="30" type="noConversion"/>
  </si>
  <si>
    <r>
      <t>1-2</t>
    </r>
    <r>
      <rPr>
        <sz val="11"/>
        <color indexed="8"/>
        <rFont val="宋体"/>
        <family val="3"/>
        <charset val="134"/>
      </rPr>
      <t>层</t>
    </r>
    <phoneticPr fontId="30" type="noConversion"/>
  </si>
  <si>
    <t>1-2层</t>
  </si>
  <si>
    <t>押一</t>
  </si>
  <si>
    <t>非生产用房</t>
  </si>
  <si>
    <t>比较法-商业</t>
  </si>
  <si>
    <t>收益法 (元)</t>
  </si>
  <si>
    <t>否</t>
  </si>
  <si>
    <t>楼层</t>
    <phoneticPr fontId="3" type="noConversion"/>
  </si>
  <si>
    <t>系数</t>
    <phoneticPr fontId="3" type="noConversion"/>
  </si>
  <si>
    <t>租金</t>
    <phoneticPr fontId="3" type="noConversion"/>
  </si>
  <si>
    <t>面积</t>
    <phoneticPr fontId="3" type="noConversion"/>
  </si>
  <si>
    <t>售价</t>
    <phoneticPr fontId="3" type="noConversion"/>
  </si>
  <si>
    <t>北京市</t>
  </si>
  <si>
    <t>自然人</t>
  </si>
  <si>
    <t>直线</t>
    <phoneticPr fontId="3" type="noConversion"/>
  </si>
  <si>
    <t>观察</t>
    <phoneticPr fontId="3" type="noConversion"/>
  </si>
  <si>
    <r>
      <t>30-40</t>
    </r>
    <r>
      <rPr>
        <sz val="11"/>
        <rFont val="宋体"/>
        <family val="3"/>
        <charset val="134"/>
      </rPr>
      <t>年</t>
    </r>
    <phoneticPr fontId="30" type="noConversion"/>
  </si>
  <si>
    <r>
      <t>20-30</t>
    </r>
    <r>
      <rPr>
        <sz val="11"/>
        <rFont val="宋体"/>
        <family val="3"/>
        <charset val="134"/>
      </rPr>
      <t>年</t>
    </r>
    <phoneticPr fontId="30" type="noConversion"/>
  </si>
  <si>
    <r>
      <t>10-20</t>
    </r>
    <r>
      <rPr>
        <sz val="11"/>
        <rFont val="宋体"/>
        <family val="3"/>
        <charset val="134"/>
      </rPr>
      <t>年</t>
    </r>
    <phoneticPr fontId="30" type="noConversion"/>
  </si>
  <si>
    <t>土地剩余年限</t>
    <phoneticPr fontId="30" type="noConversion"/>
  </si>
  <si>
    <r>
      <t>10-20</t>
    </r>
    <r>
      <rPr>
        <sz val="11"/>
        <color indexed="8"/>
        <rFont val="宋体"/>
        <family val="3"/>
        <charset val="134"/>
      </rPr>
      <t>年</t>
    </r>
    <phoneticPr fontId="30" type="noConversion"/>
  </si>
  <si>
    <r>
      <t>20-30</t>
    </r>
    <r>
      <rPr>
        <sz val="11"/>
        <color indexed="8"/>
        <rFont val="宋体"/>
        <family val="3"/>
        <charset val="134"/>
      </rPr>
      <t>年</t>
    </r>
    <phoneticPr fontId="30" type="noConversion"/>
  </si>
  <si>
    <r>
      <t>30-40</t>
    </r>
    <r>
      <rPr>
        <sz val="11"/>
        <color indexed="8"/>
        <rFont val="宋体"/>
        <family val="3"/>
        <charset val="134"/>
      </rPr>
      <t>年</t>
    </r>
    <phoneticPr fontId="30" type="noConversion"/>
  </si>
  <si>
    <t>租金</t>
  </si>
  <si>
    <t>美容美发租约</t>
    <phoneticPr fontId="134" type="noConversion"/>
  </si>
  <si>
    <t>年份</t>
    <phoneticPr fontId="134" type="noConversion"/>
  </si>
  <si>
    <t>老周拉面</t>
    <phoneticPr fontId="134" type="noConversion"/>
  </si>
  <si>
    <t>租金（万）</t>
    <phoneticPr fontId="134" type="noConversion"/>
  </si>
  <si>
    <t>艺苑桐城底商</t>
    <phoneticPr fontId="3" type="noConversion"/>
  </si>
  <si>
    <t>中建港悦大厦底商</t>
    <phoneticPr fontId="3" type="noConversion"/>
  </si>
  <si>
    <t>波普公社底商</t>
    <phoneticPr fontId="3" type="noConversion"/>
  </si>
  <si>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</si>
  <si>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</si>
  <si>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</si>
  <si>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未包含在土地购买价格中</t>
  </si>
  <si>
    <t>已包含在土地取得成本中</t>
  </si>
  <si>
    <t>楼层修正</t>
  </si>
  <si>
    <t>地下一层</t>
    <phoneticPr fontId="134" type="noConversion"/>
  </si>
  <si>
    <t>康庄路52号院底商</t>
    <phoneticPr fontId="3" type="noConversion"/>
  </si>
  <si>
    <t>保利茉莉公馆商业</t>
    <phoneticPr fontId="3" type="noConversion"/>
  </si>
  <si>
    <t>星瑞家园底商</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</si>
</sst>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77" fillId="12" borderId="1" xfId="10"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113" fillId="12" borderId="1" xfId="1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51" fillId="5" borderId="23" xfId="0" applyFont="1" applyFill="1" applyBorder="1" applyAlignment="1" applyProtection="1">
      <alignment horizontal="center" vertical="center" wrapText="1"/>
      <protection locked="0"/>
    </xf>
    <xf numFmtId="0" fontId="0" fillId="0" borderId="1" xfId="0" applyBorder="1" applyAlignment="1">
      <alignment horizontal="left" vertical="center"/>
    </xf>
    <xf numFmtId="0" fontId="271" fillId="0" borderId="1" xfId="0" applyFont="1" applyBorder="1" applyAlignment="1">
      <alignment horizontal="left" vertical="center"/>
    </xf>
    <xf numFmtId="0" fontId="271" fillId="0" borderId="0" xfId="0" applyFont="1" applyAlignment="1">
      <alignment horizontal="left" vertical="center"/>
    </xf>
    <xf numFmtId="179" fontId="44" fillId="9" borderId="23" xfId="0" applyNumberFormat="1" applyFont="1" applyFill="1" applyBorder="1" applyAlignment="1" applyProtection="1">
      <alignment horizontal="center" vertical="center"/>
      <protection locked="0"/>
    </xf>
    <xf numFmtId="0" fontId="44" fillId="9" borderId="5"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24" fillId="12" borderId="0" xfId="0" applyFont="1" applyFill="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48</xdr:row>
      <xdr:rowOff>153733</xdr:rowOff>
    </xdr:from>
    <xdr:to>
      <xdr:col>16</xdr:col>
      <xdr:colOff>446841</xdr:colOff>
      <xdr:row>66</xdr:row>
      <xdr:rowOff>142246</xdr:rowOff>
    </xdr:to>
    <xdr:grpSp>
      <xdr:nvGrpSpPr>
        <xdr:cNvPr id="7" name="组合 6">
          <a:extLst>
            <a:ext uri="{FF2B5EF4-FFF2-40B4-BE49-F238E27FC236}">
              <a16:creationId xmlns:a16="http://schemas.microsoft.com/office/drawing/2014/main" id="{3BBD16BC-314B-E5F9-5748-D3E2AE68FBC4}"/>
            </a:ext>
          </a:extLst>
        </xdr:cNvPr>
        <xdr:cNvGrpSpPr/>
      </xdr:nvGrpSpPr>
      <xdr:grpSpPr>
        <a:xfrm>
          <a:off x="0" y="8383333"/>
          <a:ext cx="11419641" cy="3074613"/>
          <a:chOff x="0" y="3287458"/>
          <a:chExt cx="11419641" cy="3074613"/>
        </a:xfrm>
      </xdr:grpSpPr>
      <xdr:pic>
        <xdr:nvPicPr>
          <xdr:cNvPr id="5" name="图片 4">
            <a:extLst>
              <a:ext uri="{FF2B5EF4-FFF2-40B4-BE49-F238E27FC236}">
                <a16:creationId xmlns:a16="http://schemas.microsoft.com/office/drawing/2014/main" id="{ADD6F198-BD4C-7BBE-0626-FF3B13CAA7AD}"/>
              </a:ext>
            </a:extLst>
          </xdr:cNvPr>
          <xdr:cNvPicPr>
            <a:picLocks noChangeAspect="1"/>
          </xdr:cNvPicPr>
        </xdr:nvPicPr>
        <xdr:blipFill>
          <a:blip xmlns:r="http://schemas.openxmlformats.org/officeDocument/2006/relationships" r:embed="rId1"/>
          <a:stretch>
            <a:fillRect/>
          </a:stretch>
        </xdr:blipFill>
        <xdr:spPr>
          <a:xfrm>
            <a:off x="0" y="3291031"/>
            <a:ext cx="6886575" cy="3071040"/>
          </a:xfrm>
          <a:prstGeom prst="rect">
            <a:avLst/>
          </a:prstGeom>
        </xdr:spPr>
      </xdr:pic>
      <xdr:pic>
        <xdr:nvPicPr>
          <xdr:cNvPr id="6" name="图片 5">
            <a:extLst>
              <a:ext uri="{FF2B5EF4-FFF2-40B4-BE49-F238E27FC236}">
                <a16:creationId xmlns:a16="http://schemas.microsoft.com/office/drawing/2014/main" id="{87E06776-84A0-2DB2-29FA-1F1FFF2B2F3D}"/>
              </a:ext>
            </a:extLst>
          </xdr:cNvPr>
          <xdr:cNvPicPr>
            <a:picLocks noChangeAspect="1"/>
          </xdr:cNvPicPr>
        </xdr:nvPicPr>
        <xdr:blipFill>
          <a:blip xmlns:r="http://schemas.openxmlformats.org/officeDocument/2006/relationships" r:embed="rId2"/>
          <a:stretch>
            <a:fillRect/>
          </a:stretch>
        </xdr:blipFill>
        <xdr:spPr>
          <a:xfrm>
            <a:off x="6886574" y="3287458"/>
            <a:ext cx="4533067" cy="2991824"/>
          </a:xfrm>
          <a:prstGeom prst="rect">
            <a:avLst/>
          </a:prstGeom>
        </xdr:spPr>
      </xdr:pic>
    </xdr:grpSp>
    <xdr:clientData/>
  </xdr:twoCellAnchor>
  <xdr:twoCellAnchor>
    <xdr:from>
      <xdr:col>0</xdr:col>
      <xdr:colOff>0</xdr:colOff>
      <xdr:row>31</xdr:row>
      <xdr:rowOff>76200</xdr:rowOff>
    </xdr:from>
    <xdr:to>
      <xdr:col>16</xdr:col>
      <xdr:colOff>390525</xdr:colOff>
      <xdr:row>48</xdr:row>
      <xdr:rowOff>152400</xdr:rowOff>
    </xdr:to>
    <xdr:grpSp>
      <xdr:nvGrpSpPr>
        <xdr:cNvPr id="10" name="组合 9">
          <a:extLst>
            <a:ext uri="{FF2B5EF4-FFF2-40B4-BE49-F238E27FC236}">
              <a16:creationId xmlns:a16="http://schemas.microsoft.com/office/drawing/2014/main" id="{2A0CCB64-0934-D920-6CBC-D49A6ECE24BD}"/>
            </a:ext>
          </a:extLst>
        </xdr:cNvPr>
        <xdr:cNvGrpSpPr/>
      </xdr:nvGrpSpPr>
      <xdr:grpSpPr>
        <a:xfrm>
          <a:off x="0" y="5391150"/>
          <a:ext cx="11363325" cy="2990850"/>
          <a:chOff x="0" y="0"/>
          <a:chExt cx="11733931" cy="3046812"/>
        </a:xfrm>
      </xdr:grpSpPr>
      <xdr:pic>
        <xdr:nvPicPr>
          <xdr:cNvPr id="2" name="图片 1">
            <a:extLst>
              <a:ext uri="{FF2B5EF4-FFF2-40B4-BE49-F238E27FC236}">
                <a16:creationId xmlns:a16="http://schemas.microsoft.com/office/drawing/2014/main" id="{45E58448-4961-AED2-348A-153C5055C188}"/>
              </a:ext>
            </a:extLst>
          </xdr:cNvPr>
          <xdr:cNvPicPr>
            <a:picLocks noChangeAspect="1"/>
          </xdr:cNvPicPr>
        </xdr:nvPicPr>
        <xdr:blipFill>
          <a:blip xmlns:r="http://schemas.openxmlformats.org/officeDocument/2006/relationships" r:embed="rId3"/>
          <a:stretch>
            <a:fillRect/>
          </a:stretch>
        </xdr:blipFill>
        <xdr:spPr>
          <a:xfrm>
            <a:off x="0" y="0"/>
            <a:ext cx="6819900" cy="3022197"/>
          </a:xfrm>
          <a:prstGeom prst="rect">
            <a:avLst/>
          </a:prstGeom>
        </xdr:spPr>
      </xdr:pic>
      <xdr:pic>
        <xdr:nvPicPr>
          <xdr:cNvPr id="9" name="图片 8">
            <a:extLst>
              <a:ext uri="{FF2B5EF4-FFF2-40B4-BE49-F238E27FC236}">
                <a16:creationId xmlns:a16="http://schemas.microsoft.com/office/drawing/2014/main" id="{EBA48F75-274A-65F2-B4FB-929591B9D261}"/>
              </a:ext>
            </a:extLst>
          </xdr:cNvPr>
          <xdr:cNvPicPr>
            <a:picLocks noChangeAspect="1"/>
          </xdr:cNvPicPr>
        </xdr:nvPicPr>
        <xdr:blipFill>
          <a:blip xmlns:r="http://schemas.openxmlformats.org/officeDocument/2006/relationships" r:embed="rId4"/>
          <a:stretch>
            <a:fillRect/>
          </a:stretch>
        </xdr:blipFill>
        <xdr:spPr>
          <a:xfrm>
            <a:off x="6791325" y="0"/>
            <a:ext cx="4942606" cy="3046812"/>
          </a:xfrm>
          <a:prstGeom prst="rect">
            <a:avLst/>
          </a:prstGeom>
        </xdr:spPr>
      </xdr:pic>
    </xdr:grpSp>
    <xdr:clientData/>
  </xdr:twoCellAnchor>
  <xdr:twoCellAnchor>
    <xdr:from>
      <xdr:col>0</xdr:col>
      <xdr:colOff>0</xdr:colOff>
      <xdr:row>66</xdr:row>
      <xdr:rowOff>171449</xdr:rowOff>
    </xdr:from>
    <xdr:to>
      <xdr:col>16</xdr:col>
      <xdr:colOff>514350</xdr:colOff>
      <xdr:row>84</xdr:row>
      <xdr:rowOff>170904</xdr:rowOff>
    </xdr:to>
    <xdr:grpSp>
      <xdr:nvGrpSpPr>
        <xdr:cNvPr id="13" name="组合 12">
          <a:extLst>
            <a:ext uri="{FF2B5EF4-FFF2-40B4-BE49-F238E27FC236}">
              <a16:creationId xmlns:a16="http://schemas.microsoft.com/office/drawing/2014/main" id="{E7D2CAC4-1585-C624-44A5-569EA6F69925}"/>
            </a:ext>
          </a:extLst>
        </xdr:cNvPr>
        <xdr:cNvGrpSpPr/>
      </xdr:nvGrpSpPr>
      <xdr:grpSpPr>
        <a:xfrm>
          <a:off x="0" y="11487149"/>
          <a:ext cx="11487150" cy="3085555"/>
          <a:chOff x="0" y="6562725"/>
          <a:chExt cx="11819663" cy="3171280"/>
        </a:xfrm>
      </xdr:grpSpPr>
      <xdr:pic>
        <xdr:nvPicPr>
          <xdr:cNvPr id="11" name="图片 10">
            <a:extLst>
              <a:ext uri="{FF2B5EF4-FFF2-40B4-BE49-F238E27FC236}">
                <a16:creationId xmlns:a16="http://schemas.microsoft.com/office/drawing/2014/main" id="{FB75A2B5-B839-9B74-E9A9-DE6A7A0DF719}"/>
              </a:ext>
            </a:extLst>
          </xdr:cNvPr>
          <xdr:cNvPicPr>
            <a:picLocks noChangeAspect="1"/>
          </xdr:cNvPicPr>
        </xdr:nvPicPr>
        <xdr:blipFill>
          <a:blip xmlns:r="http://schemas.openxmlformats.org/officeDocument/2006/relationships" r:embed="rId5"/>
          <a:stretch>
            <a:fillRect/>
          </a:stretch>
        </xdr:blipFill>
        <xdr:spPr>
          <a:xfrm>
            <a:off x="0" y="6562725"/>
            <a:ext cx="6900020" cy="3085470"/>
          </a:xfrm>
          <a:prstGeom prst="rect">
            <a:avLst/>
          </a:prstGeom>
        </xdr:spPr>
      </xdr:pic>
      <xdr:pic>
        <xdr:nvPicPr>
          <xdr:cNvPr id="12" name="图片 11">
            <a:extLst>
              <a:ext uri="{FF2B5EF4-FFF2-40B4-BE49-F238E27FC236}">
                <a16:creationId xmlns:a16="http://schemas.microsoft.com/office/drawing/2014/main" id="{68E1085A-8B89-7FA9-6EC6-3139189006B8}"/>
              </a:ext>
            </a:extLst>
          </xdr:cNvPr>
          <xdr:cNvPicPr>
            <a:picLocks noChangeAspect="1"/>
          </xdr:cNvPicPr>
        </xdr:nvPicPr>
        <xdr:blipFill>
          <a:blip xmlns:r="http://schemas.openxmlformats.org/officeDocument/2006/relationships" r:embed="rId6"/>
          <a:stretch>
            <a:fillRect/>
          </a:stretch>
        </xdr:blipFill>
        <xdr:spPr>
          <a:xfrm>
            <a:off x="6810375" y="6565146"/>
            <a:ext cx="5009288" cy="3168859"/>
          </a:xfrm>
          <a:prstGeom prst="rect">
            <a:avLst/>
          </a:prstGeom>
        </xdr:spPr>
      </xdr:pic>
    </xdr:grpSp>
    <xdr:clientData/>
  </xdr:twoCellAnchor>
  <xdr:twoCellAnchor editAs="oneCell">
    <xdr:from>
      <xdr:col>0</xdr:col>
      <xdr:colOff>0</xdr:colOff>
      <xdr:row>0</xdr:row>
      <xdr:rowOff>0</xdr:rowOff>
    </xdr:from>
    <xdr:to>
      <xdr:col>12</xdr:col>
      <xdr:colOff>264986</xdr:colOff>
      <xdr:row>31</xdr:row>
      <xdr:rowOff>9524</xdr:rowOff>
    </xdr:to>
    <xdr:pic>
      <xdr:nvPicPr>
        <xdr:cNvPr id="3" name="图片 2">
          <a:extLst>
            <a:ext uri="{FF2B5EF4-FFF2-40B4-BE49-F238E27FC236}">
              <a16:creationId xmlns:a16="http://schemas.microsoft.com/office/drawing/2014/main" id="{58F510A2-C42A-3A8F-FC51-0843C7C493E7}"/>
            </a:ext>
          </a:extLst>
        </xdr:cNvPr>
        <xdr:cNvPicPr>
          <a:picLocks noChangeAspect="1"/>
        </xdr:cNvPicPr>
      </xdr:nvPicPr>
      <xdr:blipFill>
        <a:blip xmlns:r="http://schemas.openxmlformats.org/officeDocument/2006/relationships" r:embed="rId7"/>
        <a:stretch>
          <a:fillRect/>
        </a:stretch>
      </xdr:blipFill>
      <xdr:spPr>
        <a:xfrm>
          <a:off x="0" y="0"/>
          <a:ext cx="8494586" cy="5324474"/>
        </a:xfrm>
        <a:prstGeom prst="rect">
          <a:avLst/>
        </a:prstGeom>
      </xdr:spPr>
    </xdr:pic>
    <xdr:clientData/>
  </xdr:twoCellAnchor>
  <xdr:twoCellAnchor>
    <xdr:from>
      <xdr:col>3</xdr:col>
      <xdr:colOff>419099</xdr:colOff>
      <xdr:row>24</xdr:row>
      <xdr:rowOff>76200</xdr:rowOff>
    </xdr:from>
    <xdr:to>
      <xdr:col>5</xdr:col>
      <xdr:colOff>485774</xdr:colOff>
      <xdr:row>26</xdr:row>
      <xdr:rowOff>47625</xdr:rowOff>
    </xdr:to>
    <xdr:sp macro="" textlink="">
      <xdr:nvSpPr>
        <xdr:cNvPr id="4" name="对话气泡: 矩形 3">
          <a:extLst>
            <a:ext uri="{FF2B5EF4-FFF2-40B4-BE49-F238E27FC236}">
              <a16:creationId xmlns:a16="http://schemas.microsoft.com/office/drawing/2014/main" id="{2846743D-061B-407A-4414-4177362E774E}"/>
            </a:ext>
          </a:extLst>
        </xdr:cNvPr>
        <xdr:cNvSpPr/>
      </xdr:nvSpPr>
      <xdr:spPr>
        <a:xfrm>
          <a:off x="2476499" y="4191000"/>
          <a:ext cx="1438275" cy="314325"/>
        </a:xfrm>
        <a:prstGeom prst="wedgeRectCallout">
          <a:avLst>
            <a:gd name="adj1" fmla="val -21944"/>
            <a:gd name="adj2" fmla="val 10189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艺苑桐城</a:t>
          </a:r>
          <a:r>
            <a:rPr lang="en-US" altLang="zh-CN" sz="1100"/>
            <a:t>4.8</a:t>
          </a:r>
          <a:r>
            <a:rPr lang="zh-CN" altLang="en-US" sz="1100"/>
            <a:t>万</a:t>
          </a:r>
          <a:r>
            <a:rPr lang="en-US" altLang="zh-CN" sz="1100"/>
            <a:t>/</a:t>
          </a:r>
          <a:r>
            <a:rPr lang="zh-CN" altLang="en-US" sz="1100"/>
            <a:t>平</a:t>
          </a:r>
        </a:p>
      </xdr:txBody>
    </xdr:sp>
    <xdr:clientData/>
  </xdr:twoCellAnchor>
  <xdr:twoCellAnchor>
    <xdr:from>
      <xdr:col>2</xdr:col>
      <xdr:colOff>323850</xdr:colOff>
      <xdr:row>3</xdr:row>
      <xdr:rowOff>76200</xdr:rowOff>
    </xdr:from>
    <xdr:to>
      <xdr:col>4</xdr:col>
      <xdr:colOff>390525</xdr:colOff>
      <xdr:row>5</xdr:row>
      <xdr:rowOff>47625</xdr:rowOff>
    </xdr:to>
    <xdr:sp macro="" textlink="">
      <xdr:nvSpPr>
        <xdr:cNvPr id="8" name="对话气泡: 矩形 7">
          <a:extLst>
            <a:ext uri="{FF2B5EF4-FFF2-40B4-BE49-F238E27FC236}">
              <a16:creationId xmlns:a16="http://schemas.microsoft.com/office/drawing/2014/main" id="{C7EA73FC-728D-41A8-ADDE-8F3167B9BB22}"/>
            </a:ext>
          </a:extLst>
        </xdr:cNvPr>
        <xdr:cNvSpPr/>
      </xdr:nvSpPr>
      <xdr:spPr>
        <a:xfrm>
          <a:off x="1695450" y="590550"/>
          <a:ext cx="1438275" cy="314325"/>
        </a:xfrm>
        <a:prstGeom prst="wedgeRectCallout">
          <a:avLst>
            <a:gd name="adj1" fmla="val 52228"/>
            <a:gd name="adj2" fmla="val 9886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波普公社</a:t>
          </a:r>
          <a:r>
            <a:rPr lang="en-US" altLang="zh-CN" sz="1100"/>
            <a:t>5.5</a:t>
          </a:r>
          <a:r>
            <a:rPr lang="zh-CN" altLang="en-US" sz="1100"/>
            <a:t>万</a:t>
          </a:r>
          <a:r>
            <a:rPr lang="en-US" altLang="zh-CN" sz="1100"/>
            <a:t>/</a:t>
          </a:r>
          <a:r>
            <a:rPr lang="zh-CN" altLang="en-US" sz="1100"/>
            <a:t>平</a:t>
          </a:r>
        </a:p>
      </xdr:txBody>
    </xdr:sp>
    <xdr:clientData/>
  </xdr:twoCellAnchor>
  <xdr:twoCellAnchor>
    <xdr:from>
      <xdr:col>5</xdr:col>
      <xdr:colOff>76200</xdr:colOff>
      <xdr:row>0</xdr:row>
      <xdr:rowOff>104775</xdr:rowOff>
    </xdr:from>
    <xdr:to>
      <xdr:col>7</xdr:col>
      <xdr:colOff>142875</xdr:colOff>
      <xdr:row>2</xdr:row>
      <xdr:rowOff>76200</xdr:rowOff>
    </xdr:to>
    <xdr:sp macro="" textlink="">
      <xdr:nvSpPr>
        <xdr:cNvPr id="14" name="对话气泡: 矩形 13">
          <a:extLst>
            <a:ext uri="{FF2B5EF4-FFF2-40B4-BE49-F238E27FC236}">
              <a16:creationId xmlns:a16="http://schemas.microsoft.com/office/drawing/2014/main" id="{188B07C6-B5D6-43CA-8A8C-2AD4689D54CF}"/>
            </a:ext>
          </a:extLst>
        </xdr:cNvPr>
        <xdr:cNvSpPr/>
      </xdr:nvSpPr>
      <xdr:spPr>
        <a:xfrm>
          <a:off x="3505200" y="104775"/>
          <a:ext cx="1438275" cy="314325"/>
        </a:xfrm>
        <a:prstGeom prst="wedgeRectCallout">
          <a:avLst>
            <a:gd name="adj1" fmla="val -39825"/>
            <a:gd name="adj2" fmla="val 10795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中建港悦</a:t>
          </a:r>
          <a:r>
            <a:rPr lang="en-US" altLang="zh-CN" sz="1100"/>
            <a:t>5.3</a:t>
          </a:r>
          <a:r>
            <a:rPr lang="zh-CN" altLang="en-US" sz="1100"/>
            <a:t>万</a:t>
          </a:r>
          <a:r>
            <a:rPr lang="en-US" altLang="zh-CN" sz="1100"/>
            <a:t>/</a:t>
          </a:r>
          <a:r>
            <a:rPr lang="zh-CN" altLang="en-US" sz="1100"/>
            <a:t>平</a:t>
          </a:r>
        </a:p>
      </xdr:txBody>
    </xdr:sp>
    <xdr:clientData/>
  </xdr:twoCellAnchor>
  <xdr:twoCellAnchor>
    <xdr:from>
      <xdr:col>6</xdr:col>
      <xdr:colOff>47625</xdr:colOff>
      <xdr:row>14</xdr:row>
      <xdr:rowOff>114300</xdr:rowOff>
    </xdr:from>
    <xdr:to>
      <xdr:col>6</xdr:col>
      <xdr:colOff>428625</xdr:colOff>
      <xdr:row>16</xdr:row>
      <xdr:rowOff>133350</xdr:rowOff>
    </xdr:to>
    <xdr:sp macro="" textlink="">
      <xdr:nvSpPr>
        <xdr:cNvPr id="15" name="星形: 五角 14">
          <a:extLst>
            <a:ext uri="{FF2B5EF4-FFF2-40B4-BE49-F238E27FC236}">
              <a16:creationId xmlns:a16="http://schemas.microsoft.com/office/drawing/2014/main" id="{89F9862F-5094-47FF-DCEA-4A0A8A353B10}"/>
            </a:ext>
          </a:extLst>
        </xdr:cNvPr>
        <xdr:cNvSpPr/>
      </xdr:nvSpPr>
      <xdr:spPr>
        <a:xfrm>
          <a:off x="4162425" y="2514600"/>
          <a:ext cx="381000" cy="361950"/>
        </a:xfrm>
        <a:prstGeom prst="star5">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27</xdr:row>
      <xdr:rowOff>95250</xdr:rowOff>
    </xdr:from>
    <xdr:to>
      <xdr:col>20</xdr:col>
      <xdr:colOff>113508</xdr:colOff>
      <xdr:row>47</xdr:row>
      <xdr:rowOff>104775</xdr:rowOff>
    </xdr:to>
    <xdr:grpSp>
      <xdr:nvGrpSpPr>
        <xdr:cNvPr id="13" name="组合 12">
          <a:extLst>
            <a:ext uri="{FF2B5EF4-FFF2-40B4-BE49-F238E27FC236}">
              <a16:creationId xmlns:a16="http://schemas.microsoft.com/office/drawing/2014/main" id="{7EDD76AA-DC55-E725-4646-BC8B28F05A39}"/>
            </a:ext>
          </a:extLst>
        </xdr:cNvPr>
        <xdr:cNvGrpSpPr/>
      </xdr:nvGrpSpPr>
      <xdr:grpSpPr>
        <a:xfrm>
          <a:off x="0" y="4724400"/>
          <a:ext cx="13829508" cy="3438525"/>
          <a:chOff x="1" y="0"/>
          <a:chExt cx="13829508" cy="3438525"/>
        </a:xfrm>
      </xdr:grpSpPr>
      <xdr:pic>
        <xdr:nvPicPr>
          <xdr:cNvPr id="11" name="图片 10">
            <a:extLst>
              <a:ext uri="{FF2B5EF4-FFF2-40B4-BE49-F238E27FC236}">
                <a16:creationId xmlns:a16="http://schemas.microsoft.com/office/drawing/2014/main" id="{D438CE37-06BD-8229-9FE0-7898BD2E5F2E}"/>
              </a:ext>
            </a:extLst>
          </xdr:cNvPr>
          <xdr:cNvPicPr>
            <a:picLocks noChangeAspect="1"/>
          </xdr:cNvPicPr>
        </xdr:nvPicPr>
        <xdr:blipFill>
          <a:blip xmlns:r="http://schemas.openxmlformats.org/officeDocument/2006/relationships" r:embed="rId1"/>
          <a:stretch>
            <a:fillRect/>
          </a:stretch>
        </xdr:blipFill>
        <xdr:spPr>
          <a:xfrm>
            <a:off x="1" y="0"/>
            <a:ext cx="7634038" cy="3438525"/>
          </a:xfrm>
          <a:prstGeom prst="rect">
            <a:avLst/>
          </a:prstGeom>
        </xdr:spPr>
      </xdr:pic>
      <xdr:pic>
        <xdr:nvPicPr>
          <xdr:cNvPr id="12" name="图片 11">
            <a:extLst>
              <a:ext uri="{FF2B5EF4-FFF2-40B4-BE49-F238E27FC236}">
                <a16:creationId xmlns:a16="http://schemas.microsoft.com/office/drawing/2014/main" id="{B05C98EC-4586-97B5-33A5-852A95DC3942}"/>
              </a:ext>
            </a:extLst>
          </xdr:cNvPr>
          <xdr:cNvPicPr>
            <a:picLocks noChangeAspect="1"/>
          </xdr:cNvPicPr>
        </xdr:nvPicPr>
        <xdr:blipFill>
          <a:blip xmlns:r="http://schemas.openxmlformats.org/officeDocument/2006/relationships" r:embed="rId2"/>
          <a:stretch>
            <a:fillRect/>
          </a:stretch>
        </xdr:blipFill>
        <xdr:spPr>
          <a:xfrm>
            <a:off x="7505700" y="914400"/>
            <a:ext cx="6323809" cy="1790476"/>
          </a:xfrm>
          <a:prstGeom prst="rect">
            <a:avLst/>
          </a:prstGeom>
        </xdr:spPr>
      </xdr:pic>
    </xdr:grpSp>
    <xdr:clientData/>
  </xdr:twoCellAnchor>
  <xdr:twoCellAnchor>
    <xdr:from>
      <xdr:col>0</xdr:col>
      <xdr:colOff>0</xdr:colOff>
      <xdr:row>47</xdr:row>
      <xdr:rowOff>47625</xdr:rowOff>
    </xdr:from>
    <xdr:to>
      <xdr:col>19</xdr:col>
      <xdr:colOff>618355</xdr:colOff>
      <xdr:row>66</xdr:row>
      <xdr:rowOff>161304</xdr:rowOff>
    </xdr:to>
    <xdr:grpSp>
      <xdr:nvGrpSpPr>
        <xdr:cNvPr id="16" name="组合 15">
          <a:extLst>
            <a:ext uri="{FF2B5EF4-FFF2-40B4-BE49-F238E27FC236}">
              <a16:creationId xmlns:a16="http://schemas.microsoft.com/office/drawing/2014/main" id="{D30A6EDA-719F-445A-112C-DE2CB4A83DF5}"/>
            </a:ext>
          </a:extLst>
        </xdr:cNvPr>
        <xdr:cNvGrpSpPr/>
      </xdr:nvGrpSpPr>
      <xdr:grpSpPr>
        <a:xfrm>
          <a:off x="0" y="8105775"/>
          <a:ext cx="13648555" cy="3371229"/>
          <a:chOff x="0" y="3486150"/>
          <a:chExt cx="13648555" cy="3371229"/>
        </a:xfrm>
      </xdr:grpSpPr>
      <xdr:pic>
        <xdr:nvPicPr>
          <xdr:cNvPr id="14" name="图片 13">
            <a:extLst>
              <a:ext uri="{FF2B5EF4-FFF2-40B4-BE49-F238E27FC236}">
                <a16:creationId xmlns:a16="http://schemas.microsoft.com/office/drawing/2014/main" id="{F9423F44-88B5-B240-D6D7-CFEE7F386BC7}"/>
              </a:ext>
            </a:extLst>
          </xdr:cNvPr>
          <xdr:cNvPicPr>
            <a:picLocks noChangeAspect="1"/>
          </xdr:cNvPicPr>
        </xdr:nvPicPr>
        <xdr:blipFill>
          <a:blip xmlns:r="http://schemas.openxmlformats.org/officeDocument/2006/relationships" r:embed="rId3"/>
          <a:stretch>
            <a:fillRect/>
          </a:stretch>
        </xdr:blipFill>
        <xdr:spPr>
          <a:xfrm>
            <a:off x="0" y="3486150"/>
            <a:ext cx="7582035" cy="3371229"/>
          </a:xfrm>
          <a:prstGeom prst="rect">
            <a:avLst/>
          </a:prstGeom>
        </xdr:spPr>
      </xdr:pic>
      <xdr:pic>
        <xdr:nvPicPr>
          <xdr:cNvPr id="15" name="图片 14">
            <a:extLst>
              <a:ext uri="{FF2B5EF4-FFF2-40B4-BE49-F238E27FC236}">
                <a16:creationId xmlns:a16="http://schemas.microsoft.com/office/drawing/2014/main" id="{8116A599-EA84-95CD-54CD-875F82B67CA3}"/>
              </a:ext>
            </a:extLst>
          </xdr:cNvPr>
          <xdr:cNvPicPr>
            <a:picLocks noChangeAspect="1"/>
          </xdr:cNvPicPr>
        </xdr:nvPicPr>
        <xdr:blipFill>
          <a:blip xmlns:r="http://schemas.openxmlformats.org/officeDocument/2006/relationships" r:embed="rId4"/>
          <a:stretch>
            <a:fillRect/>
          </a:stretch>
        </xdr:blipFill>
        <xdr:spPr>
          <a:xfrm>
            <a:off x="7486650" y="4105275"/>
            <a:ext cx="6161905" cy="1780952"/>
          </a:xfrm>
          <a:prstGeom prst="rect">
            <a:avLst/>
          </a:prstGeom>
        </xdr:spPr>
      </xdr:pic>
    </xdr:grpSp>
    <xdr:clientData/>
  </xdr:twoCellAnchor>
  <xdr:twoCellAnchor>
    <xdr:from>
      <xdr:col>0</xdr:col>
      <xdr:colOff>0</xdr:colOff>
      <xdr:row>67</xdr:row>
      <xdr:rowOff>0</xdr:rowOff>
    </xdr:from>
    <xdr:to>
      <xdr:col>18</xdr:col>
      <xdr:colOff>199217</xdr:colOff>
      <xdr:row>86</xdr:row>
      <xdr:rowOff>94632</xdr:rowOff>
    </xdr:to>
    <xdr:grpSp>
      <xdr:nvGrpSpPr>
        <xdr:cNvPr id="19" name="组合 18">
          <a:extLst>
            <a:ext uri="{FF2B5EF4-FFF2-40B4-BE49-F238E27FC236}">
              <a16:creationId xmlns:a16="http://schemas.microsoft.com/office/drawing/2014/main" id="{3C3391B3-0F93-3438-0219-D24E5686B2CE}"/>
            </a:ext>
          </a:extLst>
        </xdr:cNvPr>
        <xdr:cNvGrpSpPr/>
      </xdr:nvGrpSpPr>
      <xdr:grpSpPr>
        <a:xfrm>
          <a:off x="0" y="11487150"/>
          <a:ext cx="12543617" cy="3352182"/>
          <a:chOff x="0" y="7058025"/>
          <a:chExt cx="12543617" cy="3352182"/>
        </a:xfrm>
      </xdr:grpSpPr>
      <xdr:pic>
        <xdr:nvPicPr>
          <xdr:cNvPr id="17" name="图片 16">
            <a:extLst>
              <a:ext uri="{FF2B5EF4-FFF2-40B4-BE49-F238E27FC236}">
                <a16:creationId xmlns:a16="http://schemas.microsoft.com/office/drawing/2014/main" id="{713F0D4B-EAA6-DF8D-DD50-E48DA2F90784}"/>
              </a:ext>
            </a:extLst>
          </xdr:cNvPr>
          <xdr:cNvPicPr>
            <a:picLocks noChangeAspect="1"/>
          </xdr:cNvPicPr>
        </xdr:nvPicPr>
        <xdr:blipFill>
          <a:blip xmlns:r="http://schemas.openxmlformats.org/officeDocument/2006/relationships" r:embed="rId5"/>
          <a:stretch>
            <a:fillRect/>
          </a:stretch>
        </xdr:blipFill>
        <xdr:spPr>
          <a:xfrm>
            <a:off x="0" y="7058025"/>
            <a:ext cx="7589237" cy="3352182"/>
          </a:xfrm>
          <a:prstGeom prst="rect">
            <a:avLst/>
          </a:prstGeom>
        </xdr:spPr>
      </xdr:pic>
      <xdr:pic>
        <xdr:nvPicPr>
          <xdr:cNvPr id="18" name="图片 17">
            <a:extLst>
              <a:ext uri="{FF2B5EF4-FFF2-40B4-BE49-F238E27FC236}">
                <a16:creationId xmlns:a16="http://schemas.microsoft.com/office/drawing/2014/main" id="{B374E8A9-F3AD-88FC-2483-D07DD4CD1B22}"/>
              </a:ext>
            </a:extLst>
          </xdr:cNvPr>
          <xdr:cNvPicPr>
            <a:picLocks noChangeAspect="1"/>
          </xdr:cNvPicPr>
        </xdr:nvPicPr>
        <xdr:blipFill>
          <a:blip xmlns:r="http://schemas.openxmlformats.org/officeDocument/2006/relationships" r:embed="rId6"/>
          <a:stretch>
            <a:fillRect/>
          </a:stretch>
        </xdr:blipFill>
        <xdr:spPr>
          <a:xfrm>
            <a:off x="7496175" y="7450176"/>
            <a:ext cx="5047442" cy="2512571"/>
          </a:xfrm>
          <a:prstGeom prst="rect">
            <a:avLst/>
          </a:prstGeom>
        </xdr:spPr>
      </xdr:pic>
    </xdr:grpSp>
    <xdr:clientData/>
  </xdr:twoCellAnchor>
  <xdr:twoCellAnchor editAs="oneCell">
    <xdr:from>
      <xdr:col>0</xdr:col>
      <xdr:colOff>0</xdr:colOff>
      <xdr:row>0</xdr:row>
      <xdr:rowOff>0</xdr:rowOff>
    </xdr:from>
    <xdr:to>
      <xdr:col>9</xdr:col>
      <xdr:colOff>171450</xdr:colOff>
      <xdr:row>27</xdr:row>
      <xdr:rowOff>124991</xdr:rowOff>
    </xdr:to>
    <xdr:pic>
      <xdr:nvPicPr>
        <xdr:cNvPr id="20" name="图片 19">
          <a:extLst>
            <a:ext uri="{FF2B5EF4-FFF2-40B4-BE49-F238E27FC236}">
              <a16:creationId xmlns:a16="http://schemas.microsoft.com/office/drawing/2014/main" id="{D1C259EB-2EA0-A4B4-55EA-AB8675B846E8}"/>
            </a:ext>
          </a:extLst>
        </xdr:cNvPr>
        <xdr:cNvPicPr>
          <a:picLocks noChangeAspect="1"/>
        </xdr:cNvPicPr>
      </xdr:nvPicPr>
      <xdr:blipFill>
        <a:blip xmlns:r="http://schemas.openxmlformats.org/officeDocument/2006/relationships" r:embed="rId7"/>
        <a:stretch>
          <a:fillRect/>
        </a:stretch>
      </xdr:blipFill>
      <xdr:spPr>
        <a:xfrm>
          <a:off x="0" y="0"/>
          <a:ext cx="6343650" cy="4754141"/>
        </a:xfrm>
        <a:prstGeom prst="rect">
          <a:avLst/>
        </a:prstGeom>
      </xdr:spPr>
    </xdr:pic>
    <xdr:clientData/>
  </xdr:twoCellAnchor>
  <xdr:twoCellAnchor>
    <xdr:from>
      <xdr:col>1</xdr:col>
      <xdr:colOff>114300</xdr:colOff>
      <xdr:row>22</xdr:row>
      <xdr:rowOff>19050</xdr:rowOff>
    </xdr:from>
    <xdr:to>
      <xdr:col>3</xdr:col>
      <xdr:colOff>180975</xdr:colOff>
      <xdr:row>23</xdr:row>
      <xdr:rowOff>161925</xdr:rowOff>
    </xdr:to>
    <xdr:sp macro="" textlink="">
      <xdr:nvSpPr>
        <xdr:cNvPr id="21" name="对话气泡: 矩形 20">
          <a:extLst>
            <a:ext uri="{FF2B5EF4-FFF2-40B4-BE49-F238E27FC236}">
              <a16:creationId xmlns:a16="http://schemas.microsoft.com/office/drawing/2014/main" id="{C41FF5C1-D196-4995-A6F8-9E759AF0FB54}"/>
            </a:ext>
          </a:extLst>
        </xdr:cNvPr>
        <xdr:cNvSpPr/>
      </xdr:nvSpPr>
      <xdr:spPr>
        <a:xfrm>
          <a:off x="800100" y="3790950"/>
          <a:ext cx="1438275" cy="314325"/>
        </a:xfrm>
        <a:prstGeom prst="wedgeRectCallout">
          <a:avLst>
            <a:gd name="adj1" fmla="val 52228"/>
            <a:gd name="adj2" fmla="val 9886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星瑞家园</a:t>
          </a:r>
          <a:r>
            <a:rPr lang="en-US" altLang="zh-CN" sz="1100"/>
            <a:t>6.6</a:t>
          </a:r>
          <a:r>
            <a:rPr lang="zh-CN" altLang="en-US" sz="1100"/>
            <a:t>元</a:t>
          </a:r>
          <a:r>
            <a:rPr lang="en-US" altLang="zh-CN" sz="1100"/>
            <a:t>/</a:t>
          </a:r>
          <a:r>
            <a:rPr lang="zh-CN" altLang="en-US" sz="1100"/>
            <a:t>平</a:t>
          </a:r>
        </a:p>
      </xdr:txBody>
    </xdr:sp>
    <xdr:clientData/>
  </xdr:twoCellAnchor>
  <xdr:twoCellAnchor>
    <xdr:from>
      <xdr:col>1</xdr:col>
      <xdr:colOff>371475</xdr:colOff>
      <xdr:row>0</xdr:row>
      <xdr:rowOff>0</xdr:rowOff>
    </xdr:from>
    <xdr:to>
      <xdr:col>3</xdr:col>
      <xdr:colOff>438150</xdr:colOff>
      <xdr:row>1</xdr:row>
      <xdr:rowOff>142875</xdr:rowOff>
    </xdr:to>
    <xdr:sp macro="" textlink="">
      <xdr:nvSpPr>
        <xdr:cNvPr id="22" name="对话气泡: 矩形 21">
          <a:extLst>
            <a:ext uri="{FF2B5EF4-FFF2-40B4-BE49-F238E27FC236}">
              <a16:creationId xmlns:a16="http://schemas.microsoft.com/office/drawing/2014/main" id="{7C2288E0-9829-4E71-AD65-C0387E591C2D}"/>
            </a:ext>
          </a:extLst>
        </xdr:cNvPr>
        <xdr:cNvSpPr/>
      </xdr:nvSpPr>
      <xdr:spPr>
        <a:xfrm>
          <a:off x="1057275" y="0"/>
          <a:ext cx="1438275" cy="314325"/>
        </a:xfrm>
        <a:prstGeom prst="wedgeRectCallout">
          <a:avLst>
            <a:gd name="adj1" fmla="val 52228"/>
            <a:gd name="adj2" fmla="val 123106"/>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保利茉莉</a:t>
          </a:r>
          <a:r>
            <a:rPr lang="en-US" altLang="zh-CN" sz="1100"/>
            <a:t>6.29</a:t>
          </a:r>
          <a:r>
            <a:rPr lang="zh-CN" altLang="en-US" sz="1100"/>
            <a:t>元</a:t>
          </a:r>
          <a:r>
            <a:rPr lang="en-US" altLang="zh-CN" sz="1100"/>
            <a:t>/</a:t>
          </a:r>
          <a:r>
            <a:rPr lang="zh-CN" altLang="en-US" sz="1100"/>
            <a:t>平</a:t>
          </a:r>
        </a:p>
      </xdr:txBody>
    </xdr:sp>
    <xdr:clientData/>
  </xdr:twoCellAnchor>
  <xdr:twoCellAnchor>
    <xdr:from>
      <xdr:col>0</xdr:col>
      <xdr:colOff>0</xdr:colOff>
      <xdr:row>10</xdr:row>
      <xdr:rowOff>104775</xdr:rowOff>
    </xdr:from>
    <xdr:to>
      <xdr:col>2</xdr:col>
      <xdr:colOff>66675</xdr:colOff>
      <xdr:row>12</xdr:row>
      <xdr:rowOff>76200</xdr:rowOff>
    </xdr:to>
    <xdr:sp macro="" textlink="">
      <xdr:nvSpPr>
        <xdr:cNvPr id="23" name="对话气泡: 矩形 22">
          <a:extLst>
            <a:ext uri="{FF2B5EF4-FFF2-40B4-BE49-F238E27FC236}">
              <a16:creationId xmlns:a16="http://schemas.microsoft.com/office/drawing/2014/main" id="{6FEB10D3-C30F-4870-8701-69CA1C02CAA4}"/>
            </a:ext>
          </a:extLst>
        </xdr:cNvPr>
        <xdr:cNvSpPr/>
      </xdr:nvSpPr>
      <xdr:spPr>
        <a:xfrm>
          <a:off x="0" y="1819275"/>
          <a:ext cx="1438275" cy="314325"/>
        </a:xfrm>
        <a:prstGeom prst="wedgeRectCallout">
          <a:avLst>
            <a:gd name="adj1" fmla="val 44943"/>
            <a:gd name="adj2" fmla="val 13522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康庄路</a:t>
          </a:r>
          <a:r>
            <a:rPr lang="en-US" altLang="zh-CN" sz="1100"/>
            <a:t>52</a:t>
          </a:r>
          <a:r>
            <a:rPr lang="zh-CN" altLang="en-US" sz="1100"/>
            <a:t>号</a:t>
          </a:r>
          <a:r>
            <a:rPr lang="en-US" altLang="zh-CN" sz="1100"/>
            <a:t>6</a:t>
          </a:r>
          <a:r>
            <a:rPr lang="zh-CN" altLang="en-US" sz="1100"/>
            <a:t>元</a:t>
          </a:r>
          <a:r>
            <a:rPr lang="en-US" altLang="zh-CN" sz="1100"/>
            <a:t>/</a:t>
          </a:r>
          <a:r>
            <a:rPr lang="zh-CN" altLang="en-US" sz="1100"/>
            <a:t>平</a:t>
          </a:r>
        </a:p>
      </xdr:txBody>
    </xdr:sp>
    <xdr:clientData/>
  </xdr:twoCellAnchor>
  <xdr:twoCellAnchor>
    <xdr:from>
      <xdr:col>4</xdr:col>
      <xdr:colOff>333375</xdr:colOff>
      <xdr:row>20</xdr:row>
      <xdr:rowOff>0</xdr:rowOff>
    </xdr:from>
    <xdr:to>
      <xdr:col>5</xdr:col>
      <xdr:colOff>28575</xdr:colOff>
      <xdr:row>22</xdr:row>
      <xdr:rowOff>19050</xdr:rowOff>
    </xdr:to>
    <xdr:sp macro="" textlink="">
      <xdr:nvSpPr>
        <xdr:cNvPr id="24" name="星形: 五角 23">
          <a:extLst>
            <a:ext uri="{FF2B5EF4-FFF2-40B4-BE49-F238E27FC236}">
              <a16:creationId xmlns:a16="http://schemas.microsoft.com/office/drawing/2014/main" id="{771D73B7-6550-4A09-918B-F394938AC6CB}"/>
            </a:ext>
          </a:extLst>
        </xdr:cNvPr>
        <xdr:cNvSpPr/>
      </xdr:nvSpPr>
      <xdr:spPr>
        <a:xfrm>
          <a:off x="3076575" y="3429000"/>
          <a:ext cx="381000" cy="361950"/>
        </a:xfrm>
        <a:prstGeom prst="star5">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估价对象为北京市房地产，为所有。根据《国有土地使用证》[]，估价对象（分摊）出让国有建设用地使用权面积为0平方米，建筑面积为255.78平方米。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估价对象为北京市房地产,属开发建设的，该项目尚在开发建设中。根据《国有土地使用证》[]，估价对象（分摊）出让国有建设用地使用权面积为0平方米，规划建筑面积为255.78平方米。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2025年2月8日（评估专业人员实地查勘之日）</v>
      </c>
    </row>
    <row r="13" spans="1:2">
      <c r="A13" s="1118" t="s">
        <v>529</v>
      </c>
      <c r="B13" s="1119" t="str">
        <f>'预评函-1'!A18</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255.78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3331</v>
      </c>
    </row>
    <row r="8" spans="1:23">
      <c r="A8" s="1440" t="s">
        <v>1026</v>
      </c>
      <c r="B8" s="1440" t="s">
        <v>1027</v>
      </c>
      <c r="C8" s="1441" t="s">
        <v>319</v>
      </c>
      <c r="F8" s="1442" t="s">
        <v>1028</v>
      </c>
      <c r="H8" s="1442" t="s">
        <v>2568</v>
      </c>
      <c r="I8" s="1442" t="s">
        <v>3332</v>
      </c>
    </row>
    <row r="9" spans="1:23">
      <c r="A9" s="1440" t="s">
        <v>1029</v>
      </c>
      <c r="B9" s="1440" t="s">
        <v>1030</v>
      </c>
      <c r="C9" s="1441" t="s">
        <v>320</v>
      </c>
      <c r="F9" s="1442" t="s">
        <v>1031</v>
      </c>
      <c r="H9" s="1442"/>
      <c r="I9" s="1444" t="s">
        <v>3333</v>
      </c>
    </row>
    <row r="10" spans="1:23">
      <c r="A10" s="1440" t="s">
        <v>1032</v>
      </c>
      <c r="B10" s="1440" t="s">
        <v>1033</v>
      </c>
      <c r="C10" s="1441" t="s">
        <v>321</v>
      </c>
      <c r="F10" s="1442" t="s">
        <v>2569</v>
      </c>
      <c r="I10" s="1444" t="s">
        <v>3334</v>
      </c>
    </row>
    <row r="11" spans="1:23">
      <c r="A11" s="1440" t="s">
        <v>1034</v>
      </c>
      <c r="B11" s="1440" t="s">
        <v>1035</v>
      </c>
      <c r="C11" s="1441" t="s">
        <v>322</v>
      </c>
      <c r="F11" s="1442" t="s">
        <v>13</v>
      </c>
      <c r="I11" s="1444" t="s">
        <v>3335</v>
      </c>
    </row>
    <row r="12" spans="1:23">
      <c r="A12" s="1440" t="s">
        <v>1036</v>
      </c>
      <c r="B12" s="1440" t="s">
        <v>1037</v>
      </c>
      <c r="C12" s="1441" t="s">
        <v>323</v>
      </c>
      <c r="I12" s="1444" t="s">
        <v>3336</v>
      </c>
    </row>
    <row r="13" spans="1:23">
      <c r="A13" s="1440" t="s">
        <v>1038</v>
      </c>
      <c r="B13" s="1440" t="s">
        <v>1039</v>
      </c>
      <c r="C13" s="1441" t="s">
        <v>324</v>
      </c>
      <c r="I13" s="1444" t="s">
        <v>3337</v>
      </c>
    </row>
    <row r="14" spans="1:23">
      <c r="A14" s="1440" t="s">
        <v>1040</v>
      </c>
      <c r="B14" s="1440" t="s">
        <v>1041</v>
      </c>
      <c r="C14" s="1442" t="s">
        <v>13</v>
      </c>
      <c r="I14" s="1444" t="s">
        <v>3338</v>
      </c>
    </row>
    <row r="15" spans="1:23">
      <c r="A15" s="1440" t="s">
        <v>1042</v>
      </c>
      <c r="B15" s="1440" t="s">
        <v>1043</v>
      </c>
      <c r="C15" s="1441"/>
      <c r="I15" s="1444" t="s">
        <v>3339</v>
      </c>
    </row>
    <row r="16" spans="1:23">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6" t="s">
        <v>385</v>
      </c>
      <c r="C54" s="1444" t="s">
        <v>583</v>
      </c>
    </row>
    <row r="55" spans="1:4">
      <c r="A55" s="3220"/>
      <c r="B55" s="1446" t="s">
        <v>386</v>
      </c>
      <c r="C55" s="1444" t="s">
        <v>584</v>
      </c>
    </row>
    <row r="56" spans="1:4">
      <c r="A56" s="3220"/>
      <c r="B56" s="1446" t="s">
        <v>387</v>
      </c>
      <c r="C56" s="1444" t="s">
        <v>588</v>
      </c>
    </row>
    <row r="57" spans="1:4">
      <c r="A57" s="322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1" t="s">
        <v>2571</v>
      </c>
      <c r="J2" s="3221"/>
      <c r="K2" s="3221"/>
      <c r="L2" s="3221"/>
      <c r="M2" s="3221"/>
      <c r="N2" s="3221"/>
      <c r="O2" s="3221"/>
      <c r="P2" s="3221"/>
      <c r="Q2" s="3221"/>
      <c r="R2" s="3221"/>
    </row>
    <row r="3" spans="1:18">
      <c r="A3" s="2762" t="s">
        <v>2492</v>
      </c>
      <c r="B3" s="2763">
        <f>项目基本情况!D3</f>
        <v>45696</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1.86</v>
      </c>
      <c r="D5" s="2767">
        <f>IF(ISERROR(ROUND(POWER(1+E5,A5-C5)*(POWER(1+E5,C5)-1)/(POWER(1+E5,A5)-1),3)),0,ROUND(POWER(1+E5,A5-C5)*(POWER(1+E5,C5)-1)/(POWER(1+E5,A5)-1),4))</f>
        <v>8.8900000000000007E-2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11.86</v>
      </c>
      <c r="D6" s="2767">
        <f>IF(ISERROR(ROUND(POWER(1+E6,A6-C6)*(POWER(1+E6,C6)-1)/(POWER(1+E6,A6)-1),3)),0,ROUND(POWER(1+E6,A6-C6)*(POWER(1+E6,C6)-1)/(POWER(1+E6,A6)-1),4))</f>
        <v>0.43290000000000001</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31.88</v>
      </c>
      <c r="D7" s="2767">
        <f>IF(ISERROR(ROUND(POWER(1+E7,A7-C7)*(POWER(1+E7,C7)-1)/(POWER(1+E7,A7)-1),3)),0,ROUND(POWER(1+E7,A7-C7)*(POWER(1+E7,C7)-1)/(POWER(1+E7,A7)-1),4))</f>
        <v>0.76259999999999994</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3379</v>
      </c>
    </row>
    <row r="50" spans="1:4">
      <c r="A50" s="3144" t="s">
        <v>3380</v>
      </c>
      <c r="B50" s="3144" t="s">
        <v>3381</v>
      </c>
      <c r="C50" s="3144" t="s">
        <v>3382</v>
      </c>
      <c r="D50" s="3144" t="s">
        <v>3383</v>
      </c>
    </row>
    <row r="51" spans="1:4">
      <c r="A51" s="3144" t="s">
        <v>3384</v>
      </c>
      <c r="B51" s="2764">
        <f>B52+B53</f>
        <v>15000</v>
      </c>
      <c r="C51" s="3145">
        <f>D51/B51</f>
        <v>2666.6666666666665</v>
      </c>
      <c r="D51" s="2764">
        <f>D52+D53</f>
        <v>40000000</v>
      </c>
    </row>
    <row r="52" spans="1:4">
      <c r="A52" s="3146" t="s">
        <v>3385</v>
      </c>
      <c r="B52" s="3147">
        <v>10000</v>
      </c>
      <c r="C52" s="3147">
        <v>1500</v>
      </c>
      <c r="D52" s="3148">
        <f>C52*B52</f>
        <v>15000000</v>
      </c>
    </row>
    <row r="53" spans="1:4">
      <c r="A53" s="3146" t="s">
        <v>3386</v>
      </c>
      <c r="B53" s="3147">
        <v>5000</v>
      </c>
      <c r="C53" s="3147">
        <v>5000</v>
      </c>
      <c r="D53" s="3148">
        <f>C53*B53</f>
        <v>25000000</v>
      </c>
    </row>
    <row r="54" spans="1:4">
      <c r="A54" s="3144" t="s">
        <v>3387</v>
      </c>
      <c r="B54" s="2764">
        <f>B51</f>
        <v>15000</v>
      </c>
      <c r="C54" s="2770">
        <v>700</v>
      </c>
      <c r="D54" s="2764">
        <f t="shared" ref="D54:D55" si="5">C54*B54</f>
        <v>10500000</v>
      </c>
    </row>
    <row r="55" spans="1:4">
      <c r="A55" s="3144" t="s">
        <v>3388</v>
      </c>
      <c r="B55" s="2764">
        <f>B51</f>
        <v>15000</v>
      </c>
      <c r="C55" s="2770">
        <v>1500</v>
      </c>
      <c r="D55" s="2764">
        <f t="shared" si="5"/>
        <v>22500000</v>
      </c>
    </row>
    <row r="56" spans="1:4">
      <c r="A56" s="3144" t="s">
        <v>3389</v>
      </c>
      <c r="B56" s="2764">
        <f>B51</f>
        <v>15000</v>
      </c>
      <c r="C56" s="3149">
        <f>C51+C54+C55</f>
        <v>4866.6666666666661</v>
      </c>
      <c r="D56" s="2764">
        <f>D51+D54+D55</f>
        <v>73000000</v>
      </c>
    </row>
    <row r="58" spans="1:4">
      <c r="A58" s="3144" t="s">
        <v>3390</v>
      </c>
      <c r="B58" s="3150">
        <v>0.05</v>
      </c>
      <c r="C58" s="2764">
        <f>C56*(1+B58)</f>
        <v>5110</v>
      </c>
      <c r="D58" s="2764">
        <f>D56*B58</f>
        <v>3650000</v>
      </c>
    </row>
    <row r="60" spans="1:4">
      <c r="A60" s="3144" t="s">
        <v>3391</v>
      </c>
      <c r="B60" s="2770">
        <v>3500</v>
      </c>
      <c r="C60" s="2770">
        <f>C53</f>
        <v>5000</v>
      </c>
      <c r="D60" s="2764">
        <f>C60*B60</f>
        <v>17500000</v>
      </c>
    </row>
    <row r="62" spans="1:4">
      <c r="A62" s="3144" t="s">
        <v>3392</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8" sqref="G2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45696</v>
      </c>
      <c r="C3" s="2185" t="s">
        <v>2171</v>
      </c>
      <c r="D3" s="2184">
        <f>B3</f>
        <v>45696</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3394</v>
      </c>
      <c r="C8" s="2200"/>
      <c r="D8" s="3232" t="s">
        <v>2177</v>
      </c>
      <c r="E8" s="2201" t="s">
        <v>3395</v>
      </c>
      <c r="F8" s="2202"/>
      <c r="G8" s="2441"/>
      <c r="H8" s="2441"/>
      <c r="I8" s="2441"/>
      <c r="J8" s="2244"/>
      <c r="K8" s="2399"/>
      <c r="L8" s="2398"/>
      <c r="M8" s="2398"/>
      <c r="N8" s="2244"/>
      <c r="O8" s="1669"/>
      <c r="P8" s="2244"/>
      <c r="Q8" s="2244"/>
      <c r="R8" s="2244"/>
    </row>
    <row r="9" spans="1:30" ht="13.5" thickBot="1">
      <c r="A9" s="2203" t="s">
        <v>2178</v>
      </c>
      <c r="B9" s="2204" t="s">
        <v>3395</v>
      </c>
      <c r="C9" s="2205"/>
      <c r="D9" s="3233"/>
      <c r="E9" s="2204" t="s">
        <v>43</v>
      </c>
      <c r="F9" s="2206"/>
      <c r="G9" s="2442"/>
      <c r="H9" s="2442"/>
      <c r="I9" s="2442"/>
      <c r="J9" s="2244"/>
      <c r="K9" s="2401"/>
      <c r="L9" s="2398"/>
      <c r="M9" s="2398"/>
      <c r="N9" s="2244"/>
      <c r="O9" s="1669"/>
      <c r="P9" s="2244"/>
      <c r="Q9" s="2244"/>
      <c r="R9" s="2244"/>
    </row>
    <row r="10" spans="1:30" ht="13.5" thickTop="1">
      <c r="A10" s="2207" t="s">
        <v>2179</v>
      </c>
      <c r="B10" s="2208" t="s">
        <v>3461</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3462</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3322</v>
      </c>
      <c r="B13" s="2217" t="s">
        <v>2190</v>
      </c>
      <c r="C13" s="802"/>
      <c r="D13" s="802">
        <v>51171</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39"/>
      <c r="C16" s="3240"/>
      <c r="D16" s="3241"/>
      <c r="E16" s="2221" t="s">
        <v>2194</v>
      </c>
      <c r="F16" s="3242"/>
      <c r="G16" s="3243"/>
      <c r="H16" s="3243"/>
      <c r="I16" s="3244"/>
      <c r="J16" s="2244"/>
      <c r="K16" s="2402"/>
      <c r="L16" s="1669"/>
      <c r="M16" s="1669"/>
      <c r="N16" s="2244"/>
      <c r="O16" s="1669"/>
      <c r="P16" s="2244"/>
      <c r="Q16" s="2244"/>
      <c r="R16" s="2244"/>
    </row>
    <row r="17" spans="1:28">
      <c r="A17" s="305" t="s">
        <v>2195</v>
      </c>
      <c r="B17" s="294" t="s">
        <v>2196</v>
      </c>
      <c r="C17" s="8">
        <f>'数据-汇总表'!E3</f>
        <v>255.78</v>
      </c>
      <c r="D17" s="1255" t="s">
        <v>2197</v>
      </c>
      <c r="E17" s="3245" t="s">
        <v>2198</v>
      </c>
      <c r="F17" s="3246"/>
      <c r="G17" s="3246"/>
      <c r="H17" s="3246"/>
      <c r="I17" s="3247"/>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48" t="s">
        <v>2202</v>
      </c>
      <c r="F18" s="3249"/>
      <c r="G18" s="3249"/>
      <c r="H18" s="3249"/>
      <c r="I18" s="3250"/>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35" t="s">
        <v>2206</v>
      </c>
      <c r="C20" s="3236"/>
      <c r="D20" s="3237" t="s">
        <v>2207</v>
      </c>
      <c r="E20" s="3238"/>
      <c r="F20" s="2429" t="s">
        <v>1056</v>
      </c>
      <c r="G20" s="2441"/>
      <c r="H20" s="2441"/>
      <c r="I20" s="2441"/>
      <c r="J20" s="2244"/>
      <c r="K20" s="3234"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3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3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3"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3"/>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3"/>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4"/>
      <c r="B30" s="294" t="s">
        <v>2218</v>
      </c>
      <c r="C30" s="3225"/>
      <c r="D30" s="3226"/>
      <c r="E30" s="2441"/>
      <c r="F30" s="2441"/>
      <c r="G30" s="2441"/>
      <c r="H30" s="2441"/>
      <c r="I30" s="2441"/>
      <c r="J30" s="2244"/>
      <c r="K30" s="2401"/>
      <c r="L30" s="2398"/>
      <c r="M30" s="2398"/>
      <c r="N30" s="2244"/>
      <c r="O30" s="1669"/>
      <c r="P30" s="2244"/>
      <c r="Q30" s="2244"/>
      <c r="R30" s="2244"/>
      <c r="S30" s="2244"/>
      <c r="T30" s="2244"/>
      <c r="U30" s="2244"/>
      <c r="V30" s="2244"/>
    </row>
    <row r="31" spans="1:28">
      <c r="A31" s="3227"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4"/>
      <c r="V34" s="2244"/>
    </row>
    <row r="35" spans="1:30">
      <c r="A35" s="2235"/>
      <c r="B35" s="3222" t="s">
        <v>2229</v>
      </c>
      <c r="C35" s="3222"/>
      <c r="D35" s="3222"/>
      <c r="E35" s="322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t="s">
        <v>29</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3407</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255.78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255.78</v>
      </c>
      <c r="H5" s="13">
        <f t="shared" ref="H5:AT5" si="0">SUM(H13:H656)</f>
        <v>255.78</v>
      </c>
      <c r="I5" s="13">
        <f t="shared" si="0"/>
        <v>255.78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255.78</v>
      </c>
      <c r="BA5" s="15">
        <f t="shared" si="1"/>
        <v>255.78</v>
      </c>
      <c r="BB5" s="15">
        <f t="shared" si="1"/>
        <v>255.78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3397</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53" t="s">
        <v>3396</v>
      </c>
      <c r="D13" s="1512" t="s">
        <v>3398</v>
      </c>
      <c r="E13" s="13">
        <f>IF($C$3="是",ROUND($A$3*G13/$B$3,2),ROUND($A$3*(G13-AT13)/$B$3,2))</f>
        <v>0</v>
      </c>
      <c r="F13" s="29"/>
      <c r="G13" s="30">
        <f>H13+AC13+AT13</f>
        <v>255.78</v>
      </c>
      <c r="H13" s="17">
        <f>SUMIF(I$12:AB$12,"总值",I13:AB13)</f>
        <v>255.78</v>
      </c>
      <c r="I13" s="1513">
        <v>255.78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255.78</v>
      </c>
      <c r="BA13" s="13">
        <f>SUM(BB13:BK13)</f>
        <v>255.78</v>
      </c>
      <c r="BB13" s="13">
        <f>IF($D13="是",I13-J13,0)</f>
        <v>255.78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45" sqref="E45"/>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0" t="s">
        <v>1131</v>
      </c>
      <c r="B2" s="3260"/>
      <c r="C2" s="3260"/>
      <c r="D2" s="747" t="s">
        <v>1107</v>
      </c>
      <c r="E2" s="1522" t="s">
        <v>1108</v>
      </c>
      <c r="F2" s="2438"/>
      <c r="G2" s="2431"/>
      <c r="H2" s="2432"/>
      <c r="I2" s="2145" t="s">
        <v>1132</v>
      </c>
      <c r="J2" s="2438"/>
      <c r="K2" s="2438"/>
      <c r="L2" s="2438"/>
      <c r="M2" s="2438"/>
      <c r="N2" s="2439"/>
      <c r="O2" s="2438"/>
      <c r="P2" s="2438"/>
    </row>
    <row r="3" spans="1:16" ht="15.75" thickBot="1">
      <c r="A3" s="3261" t="s">
        <v>1105</v>
      </c>
      <c r="B3" s="3261"/>
      <c r="C3" s="3261"/>
      <c r="D3" s="41">
        <f>'数据-基础表'!AY6</f>
        <v>0</v>
      </c>
      <c r="E3" s="41">
        <f>'数据-基础表'!AZ5</f>
        <v>255.78</v>
      </c>
      <c r="F3" s="2438"/>
      <c r="G3" s="42"/>
      <c r="H3" s="43" t="s">
        <v>1106</v>
      </c>
      <c r="I3" s="801" t="e">
        <f>ROUND('数据-基础表'!B3/'数据-基础表'!A3,2)</f>
        <v>#DIV/0!</v>
      </c>
      <c r="J3" s="2438"/>
      <c r="K3" s="2438"/>
      <c r="L3" s="2438"/>
      <c r="M3" s="2438"/>
      <c r="N3" s="2439"/>
      <c r="O3" s="2438"/>
      <c r="P3" s="2438"/>
    </row>
    <row r="4" spans="1:16" ht="15">
      <c r="A4" s="3262"/>
      <c r="B4" s="3263"/>
      <c r="C4" s="3264"/>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65" t="s">
        <v>1110</v>
      </c>
      <c r="C5" s="3265"/>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65" t="s">
        <v>1111</v>
      </c>
      <c r="C6" s="3265"/>
      <c r="D6" s="43">
        <f>ROUND($D$3*E6/$E$3,2)</f>
        <v>0</v>
      </c>
      <c r="E6" s="44">
        <f>E3-E5</f>
        <v>255.78</v>
      </c>
      <c r="F6" s="2438"/>
      <c r="G6" s="1528" t="s">
        <v>1112</v>
      </c>
      <c r="H6" s="45" t="s">
        <v>1113</v>
      </c>
      <c r="I6" s="2434" t="e">
        <f>ROUND(F31/D31,2)</f>
        <v>#DIV/0!</v>
      </c>
      <c r="J6" s="2438"/>
      <c r="K6" s="2438"/>
      <c r="L6" s="2438"/>
      <c r="M6" s="2438"/>
      <c r="N6" s="2438"/>
      <c r="O6" s="2438"/>
      <c r="P6" s="2438"/>
    </row>
    <row r="7" spans="1:16" ht="15.75" thickBot="1">
      <c r="A7" s="3257"/>
      <c r="B7" s="3258"/>
      <c r="C7" s="3259"/>
      <c r="D7" s="1523" t="s">
        <v>1107</v>
      </c>
      <c r="E7" s="1527"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255.78</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255.78</v>
      </c>
      <c r="F16" s="2438"/>
      <c r="G16" s="2438"/>
      <c r="H16" s="1530" t="s">
        <v>1135</v>
      </c>
      <c r="I16" s="1531"/>
      <c r="J16" s="1070"/>
      <c r="K16" s="3254" t="s">
        <v>1135</v>
      </c>
      <c r="L16" s="3255"/>
      <c r="M16" s="3255"/>
      <c r="N16" s="3255"/>
      <c r="O16" s="3255"/>
      <c r="P16" s="3256"/>
    </row>
    <row r="17" spans="1:19" ht="15">
      <c r="A17" s="1532" t="s">
        <v>1136</v>
      </c>
      <c r="B17" s="1533" t="s">
        <v>1137</v>
      </c>
      <c r="C17" s="1534" t="s">
        <v>1138</v>
      </c>
      <c r="D17" s="1535" t="s">
        <v>1126</v>
      </c>
      <c r="E17" s="1536" t="s">
        <v>1127</v>
      </c>
      <c r="F17" s="1537"/>
      <c r="G17" s="1538"/>
      <c r="H17" s="1539" t="s">
        <v>1139</v>
      </c>
      <c r="I17" s="1540" t="s">
        <v>1124</v>
      </c>
      <c r="J17" s="1070"/>
      <c r="K17" s="3251" t="s">
        <v>1140</v>
      </c>
      <c r="L17" s="3252"/>
      <c r="M17" s="3253"/>
      <c r="N17" s="3251" t="s">
        <v>1141</v>
      </c>
      <c r="O17" s="3252"/>
      <c r="P17" s="3253"/>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tr">
        <f>'数据-基础表'!C13</f>
        <v>商业</v>
      </c>
      <c r="D19" s="43">
        <f>ROUND($D$3*E19/$E$3,2)</f>
        <v>0</v>
      </c>
      <c r="E19" s="51">
        <f t="shared" ref="E19:E26" si="1">SUM(F19:G19)</f>
        <v>255.78</v>
      </c>
      <c r="F19" s="2557">
        <f>'数据-基础表'!I13</f>
        <v>255.78</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255.78</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255.78</v>
      </c>
      <c r="F27" s="1071">
        <f>IF(SUM(F19:F26)=E8,SUM(F19:F26),"地上面积有误")</f>
        <v>255.78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255.78</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255.78</v>
      </c>
      <c r="F31" s="643">
        <f>F27+F30</f>
        <v>255.78</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S29" sqref="S2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45696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3399</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51171</v>
      </c>
      <c r="F6" s="61">
        <f>SUMIF(项目基本情况!C$12:I$12,C6,项目基本情况!C$15:I$15)</f>
        <v>15</v>
      </c>
      <c r="G6" s="62">
        <f>IF(ISERROR(ROUND(POWER(1+H6,D6-F6)*(POWER(1+H6,F6)-1)/(POWER(1+H6,D6)-1),3)),0,ROUND(POWER(1+H6,D6-F6)*(POWER(1+H6,F6)-1)/(POWER(1+H6,D6)-1),3))</f>
        <v>0.60499999999999998</v>
      </c>
      <c r="H6" s="690">
        <v>0.05</v>
      </c>
      <c r="I6" s="690">
        <v>5.5E-2</v>
      </c>
      <c r="J6" s="63">
        <v>7.0000000000000007E-2</v>
      </c>
      <c r="K6" s="969">
        <f>SUMIF('数据-汇总表'!C$19:C$33,A6,'数据-汇总表'!E$19:E$33)</f>
        <v>255.78</v>
      </c>
      <c r="L6" s="691">
        <v>2500</v>
      </c>
      <c r="M6" s="64">
        <f t="shared" ref="M6:M14" si="0">ROUND(K6*L6/10000,0)</f>
        <v>64</v>
      </c>
      <c r="N6" s="689">
        <f>N20</f>
        <v>0.66</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78">
        <f>'租金比较法-商业'!C49</f>
        <v>5.3</v>
      </c>
      <c r="V6" s="67">
        <v>0.02</v>
      </c>
      <c r="W6" s="67">
        <v>0.1</v>
      </c>
      <c r="X6" s="978"/>
      <c r="Y6" s="68"/>
      <c r="Z6" s="69"/>
      <c r="AA6" s="63"/>
      <c r="AB6" s="63"/>
      <c r="AC6" s="978"/>
      <c r="AD6" s="70"/>
      <c r="AE6" s="979">
        <f ca="1">IF(AN6="",0,SUMIF(INDIRECT("'"&amp;AN6&amp;"'"&amp;"!E:E"),$AE$5,INDIRECT("'"&amp;AN6&amp;"'"&amp;"!F:F")))</f>
        <v>15</v>
      </c>
      <c r="AF6" s="74"/>
      <c r="AG6" s="130">
        <f>IF(AF6="",0,AE6-AF6)</f>
        <v>0</v>
      </c>
      <c r="AH6" s="71"/>
      <c r="AI6" s="73">
        <v>365</v>
      </c>
      <c r="AJ6" s="74"/>
      <c r="AK6" s="75">
        <v>2E-3</v>
      </c>
      <c r="AL6" s="76">
        <v>1E-3</v>
      </c>
      <c r="AM6" s="77">
        <v>5.0000000000000001E-3</v>
      </c>
      <c r="AN6" s="1588" t="s">
        <v>3454</v>
      </c>
      <c r="AO6" s="50">
        <f ca="1">SUMIF(INDIRECT("'"&amp;AN6&amp;"'"&amp;"!A:A"),"总价",INDIRECT("'"&amp;AN6&amp;"'"&amp;"!B:B"))</f>
        <v>480.97570000000002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0.60499999999999998</v>
      </c>
      <c r="H16" s="84">
        <f>ROUND(SUMPRODUCT(H6:H13,K6:K13)/SUMPRODUCT((H6:H13&gt;0)*(K6:K13)),3)</f>
        <v>0.05</v>
      </c>
      <c r="I16" s="85"/>
      <c r="J16" s="85"/>
      <c r="K16" s="86">
        <f>SUM(K6:K15)</f>
        <v>255.78</v>
      </c>
      <c r="L16" s="87">
        <f>ROUND(M16*10000/SUM(K6:K14),0)</f>
        <v>2502</v>
      </c>
      <c r="M16" s="87">
        <f>SUM(M6:M14)</f>
        <v>64</v>
      </c>
      <c r="N16" s="88">
        <f>ROUND(SUMPRODUCT(M6:M14,N6:N14)/M16,3)</f>
        <v>0.66</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72" t="s">
        <v>3463</v>
      </c>
      <c r="N18" s="3173">
        <f>ROUND(1-(2025-2002)/60,2)</f>
        <v>0.62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3172" t="s">
        <v>3464</v>
      </c>
      <c r="N19" s="3173">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3173"/>
      <c r="N20" s="3173">
        <f>ROUND((N18+N19)/2,2)</f>
        <v>0.66</v>
      </c>
      <c r="O20" s="2448"/>
      <c r="P20" s="3168" t="s">
        <v>3456</v>
      </c>
      <c r="Q20" s="3169" t="s">
        <v>3457</v>
      </c>
      <c r="R20" s="3169" t="s">
        <v>3458</v>
      </c>
      <c r="S20" s="3169" t="s">
        <v>3459</v>
      </c>
      <c r="T20" s="3168" t="s">
        <v>3460</v>
      </c>
      <c r="U20" s="3169"/>
      <c r="V20" s="3169"/>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3169">
        <v>1</v>
      </c>
      <c r="Q21" s="3169"/>
      <c r="R21" s="3169">
        <v>6.4</v>
      </c>
      <c r="S21" s="3169">
        <f>'数据-基础表'!I13/2</f>
        <v>127.89</v>
      </c>
      <c r="T21" s="3170">
        <v>38000</v>
      </c>
      <c r="U21" s="3169">
        <f>R21*S21</f>
        <v>818.49600000000009</v>
      </c>
      <c r="V21" s="3169">
        <f>S21*T21</f>
        <v>4859820</v>
      </c>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3169">
        <v>2</v>
      </c>
      <c r="Q22" s="3169">
        <v>0.7</v>
      </c>
      <c r="R22" s="3169">
        <f>$R$21*Q22</f>
        <v>4.4799999999999995</v>
      </c>
      <c r="S22" s="3169">
        <f>S21</f>
        <v>127.89</v>
      </c>
      <c r="T22" s="3169">
        <f>$T$21*Q22</f>
        <v>26600</v>
      </c>
      <c r="U22" s="3169">
        <f t="shared" ref="U22:V22" si="12">R22*S22</f>
        <v>572.94719999999995</v>
      </c>
      <c r="V22" s="3169">
        <f t="shared" si="12"/>
        <v>3401874</v>
      </c>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3168" t="s">
        <v>2801</v>
      </c>
      <c r="Q23" s="3169"/>
      <c r="R23" s="3171">
        <f>ROUND(U23/S23,2)</f>
        <v>5.44</v>
      </c>
      <c r="S23" s="3169">
        <f>SUM(S21:S22)</f>
        <v>255.78</v>
      </c>
      <c r="T23" s="3171">
        <f>ROUND(V23/S23,0)</f>
        <v>32300</v>
      </c>
      <c r="U23" s="3169">
        <f>SUM(U21:U22)</f>
        <v>1391.4432000000002</v>
      </c>
      <c r="V23" s="3169">
        <f>SUM(V17:V22)</f>
        <v>8261694</v>
      </c>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 (元)'!C10/10000</f>
        <v>5.1155999999999997</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3376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3377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3378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6" t="s">
        <v>2277</v>
      </c>
      <c r="B1" s="3267"/>
      <c r="C1" s="3267"/>
      <c r="D1" s="3267"/>
      <c r="E1" s="3267"/>
      <c r="F1" s="3267"/>
      <c r="G1" s="326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5" t="s">
        <v>2254</v>
      </c>
      <c r="C4" s="2268"/>
      <c r="D4" s="2265"/>
      <c r="E4" s="2269"/>
      <c r="F4" s="1280" t="s">
        <v>2255</v>
      </c>
      <c r="G4" s="2270"/>
      <c r="H4" s="750"/>
      <c r="I4" s="750"/>
      <c r="J4" s="750"/>
      <c r="K4" s="750"/>
      <c r="L4" s="750"/>
      <c r="M4" s="750"/>
      <c r="N4" s="750"/>
      <c r="O4" s="750"/>
      <c r="P4" s="750"/>
      <c r="Q4" s="750"/>
    </row>
    <row r="5" spans="1:29">
      <c r="A5" s="2247"/>
      <c r="B5" s="315" t="s">
        <v>2256</v>
      </c>
      <c r="C5" s="2268"/>
      <c r="D5" s="2265"/>
      <c r="E5" s="2269"/>
      <c r="F5" s="315" t="s">
        <v>2257</v>
      </c>
      <c r="G5" s="2270"/>
      <c r="H5" s="750"/>
      <c r="I5" s="750"/>
      <c r="J5" s="750"/>
      <c r="K5" s="750"/>
      <c r="L5" s="750"/>
      <c r="M5" s="750"/>
      <c r="N5" s="750"/>
      <c r="O5" s="750"/>
      <c r="P5" s="750"/>
      <c r="Q5" s="750"/>
    </row>
    <row r="6" spans="1:29">
      <c r="A6" s="2247"/>
      <c r="B6" s="315" t="s">
        <v>2258</v>
      </c>
      <c r="C6" s="2270"/>
      <c r="D6" s="2265"/>
      <c r="E6" s="2269"/>
      <c r="F6" s="315" t="s">
        <v>2259</v>
      </c>
      <c r="G6" s="2270"/>
      <c r="H6" s="750"/>
      <c r="I6" s="750"/>
      <c r="J6" s="750"/>
      <c r="K6" s="750"/>
      <c r="L6" s="750"/>
      <c r="M6" s="750"/>
      <c r="N6" s="750"/>
      <c r="O6" s="750"/>
      <c r="P6" s="750"/>
      <c r="Q6" s="750"/>
    </row>
    <row r="7" spans="1:29" ht="15" thickBot="1">
      <c r="A7" s="2247"/>
      <c r="B7" s="315" t="s">
        <v>2257</v>
      </c>
      <c r="C7" s="2270"/>
      <c r="D7" s="2244"/>
      <c r="E7" s="2271"/>
      <c r="F7" s="2272" t="s">
        <v>2260</v>
      </c>
      <c r="G7" s="2273"/>
      <c r="H7" s="750"/>
      <c r="I7" s="750"/>
      <c r="J7" s="750"/>
      <c r="K7" s="750"/>
      <c r="L7" s="750"/>
      <c r="M7" s="750"/>
      <c r="N7" s="750"/>
      <c r="O7" s="750"/>
      <c r="P7" s="750"/>
      <c r="Q7" s="750"/>
    </row>
    <row r="8" spans="1:29">
      <c r="A8" s="2247"/>
      <c r="B8" s="315" t="s">
        <v>2259</v>
      </c>
      <c r="C8" s="2270"/>
      <c r="D8" s="2244"/>
      <c r="E8" s="2244"/>
      <c r="F8" s="121"/>
      <c r="G8" s="121"/>
      <c r="H8" s="750"/>
      <c r="I8" s="750"/>
      <c r="J8" s="750"/>
      <c r="K8" s="750"/>
      <c r="L8" s="750"/>
      <c r="M8" s="750"/>
      <c r="N8" s="750"/>
      <c r="O8" s="750"/>
      <c r="P8" s="750"/>
      <c r="Q8" s="750"/>
    </row>
    <row r="9" spans="1:29">
      <c r="A9" s="2247"/>
      <c r="B9" s="315" t="s">
        <v>2261</v>
      </c>
      <c r="C9" s="2268"/>
      <c r="D9" s="2265"/>
      <c r="E9" s="2244"/>
      <c r="F9" s="121"/>
      <c r="G9" s="121"/>
      <c r="H9" s="750"/>
      <c r="I9" s="750"/>
      <c r="J9" s="750"/>
      <c r="K9" s="750"/>
      <c r="L9" s="750"/>
      <c r="M9" s="750"/>
      <c r="N9" s="750"/>
      <c r="O9" s="750"/>
      <c r="P9" s="750"/>
      <c r="Q9" s="750"/>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255.78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45696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875.61170000000004</v>
      </c>
      <c r="C5" s="2299">
        <f ca="1">IF(B5=D14,结果表!H102,ROUND(B5*10000/$B$1,0))</f>
        <v>0</v>
      </c>
      <c r="D5" s="2299" t="e">
        <f ca="1">ROUND(B5*10000/$B$2,0)</f>
        <v>#DIV/0!</v>
      </c>
      <c r="E5" s="2461"/>
      <c r="F5" s="2462"/>
      <c r="G5" s="2462"/>
      <c r="H5" s="2462"/>
      <c r="I5" s="2462"/>
      <c r="J5" s="2462"/>
      <c r="K5" s="2462"/>
    </row>
    <row r="6" spans="1:11" ht="16.5">
      <c r="A6" s="2299" t="s">
        <v>656</v>
      </c>
      <c r="B6" s="2299">
        <f ca="1">SUM(G14:G23)</f>
        <v>875.61170000000004</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3345</v>
      </c>
      <c r="D10" s="2299" t="s">
        <v>3346</v>
      </c>
      <c r="E10" s="3136"/>
      <c r="F10" s="3140" t="s">
        <v>3347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255.78</v>
      </c>
      <c r="C14" s="2305"/>
      <c r="D14" s="2305">
        <f ca="1">结果表!I20/10000</f>
        <v>875.61170000000004</v>
      </c>
      <c r="E14" s="2305">
        <f ca="1">ROUND(D14*10000/B14,0)</f>
        <v>34233</v>
      </c>
      <c r="F14" s="2305" t="e">
        <f ca="1">ROUND(D14*10000/C14,0)</f>
        <v>#DIV/0!</v>
      </c>
      <c r="G14" s="2305">
        <f ca="1">D14</f>
        <v>875.61170000000004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02" t="str">
        <f>项目基本情况!S2</f>
        <v>北京市房地产</v>
      </c>
      <c r="B2" s="3303"/>
      <c r="C2" s="3303"/>
      <c r="D2" s="3303"/>
      <c r="E2" s="3303"/>
      <c r="F2" s="3303"/>
      <c r="G2" s="3303"/>
      <c r="H2" s="3303"/>
      <c r="I2" s="3304"/>
    </row>
    <row r="3" spans="1:12" ht="12.75">
      <c r="A3" s="3306" t="s">
        <v>1264</v>
      </c>
      <c r="B3" s="3307"/>
      <c r="C3" s="3307"/>
      <c r="D3" s="3307"/>
      <c r="E3" s="3307"/>
      <c r="F3" s="3307"/>
      <c r="G3" s="3307"/>
      <c r="H3" s="3307"/>
      <c r="I3" s="3307"/>
    </row>
    <row r="4" spans="1:12" ht="14.25">
      <c r="A4" s="1623" t="s">
        <v>1265</v>
      </c>
      <c r="B4" s="1624" t="s">
        <v>1266</v>
      </c>
      <c r="C4" s="1625" t="s">
        <v>3453</v>
      </c>
      <c r="D4" s="1625" t="s">
        <v>3454</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1268</v>
      </c>
      <c r="B5" s="3269">
        <v>25</v>
      </c>
      <c r="C5" s="3285"/>
      <c r="D5" s="3305"/>
      <c r="E5" s="123" t="s">
        <v>1269</v>
      </c>
      <c r="F5" s="1626"/>
      <c r="G5" s="1626"/>
      <c r="H5" s="1626"/>
      <c r="I5" s="1280"/>
    </row>
    <row r="6" spans="1:12" ht="12.75">
      <c r="A6" s="3282"/>
      <c r="B6" s="3269"/>
      <c r="C6" s="3286"/>
      <c r="D6" s="3305"/>
      <c r="E6" s="123" t="s">
        <v>1270</v>
      </c>
      <c r="F6" s="1626"/>
      <c r="G6" s="1626"/>
      <c r="H6" s="1626"/>
      <c r="I6" s="1280"/>
    </row>
    <row r="7" spans="1:12" ht="12.75">
      <c r="A7" s="3282"/>
      <c r="B7" s="3269"/>
      <c r="C7" s="3287"/>
      <c r="D7" s="3305"/>
      <c r="E7" s="123" t="s">
        <v>1271</v>
      </c>
      <c r="F7" s="1626"/>
      <c r="G7" s="1626"/>
      <c r="H7" s="1626"/>
      <c r="I7" s="1280"/>
    </row>
    <row r="8" spans="1:12" ht="12.75">
      <c r="A8" s="3282" t="s">
        <v>1272</v>
      </c>
      <c r="B8" s="3269">
        <v>15</v>
      </c>
      <c r="C8" s="3285"/>
      <c r="D8" s="3305"/>
      <c r="E8" s="123" t="s">
        <v>1273</v>
      </c>
      <c r="F8" s="1626"/>
      <c r="G8" s="1626"/>
      <c r="H8" s="1626"/>
      <c r="I8" s="1280"/>
    </row>
    <row r="9" spans="1:12" ht="12.75">
      <c r="A9" s="3282"/>
      <c r="B9" s="3269"/>
      <c r="C9" s="3287"/>
      <c r="D9" s="3305"/>
      <c r="E9" s="123" t="s">
        <v>1274</v>
      </c>
      <c r="F9" s="1626"/>
      <c r="G9" s="1626"/>
      <c r="H9" s="1626"/>
      <c r="I9" s="1280"/>
    </row>
    <row r="10" spans="1:12" ht="12.75">
      <c r="A10" s="3282" t="s">
        <v>1275</v>
      </c>
      <c r="B10" s="3269">
        <v>15</v>
      </c>
      <c r="C10" s="3285"/>
      <c r="D10" s="3305"/>
      <c r="E10" s="123" t="s">
        <v>1276</v>
      </c>
      <c r="F10" s="1626"/>
      <c r="G10" s="1626"/>
      <c r="H10" s="1626"/>
      <c r="I10" s="1280"/>
    </row>
    <row r="11" spans="1:12" ht="12.75">
      <c r="A11" s="3282"/>
      <c r="B11" s="3269"/>
      <c r="C11" s="3287"/>
      <c r="D11" s="3305"/>
      <c r="E11" s="123" t="s">
        <v>1277</v>
      </c>
      <c r="F11" s="1626"/>
      <c r="G11" s="1626"/>
      <c r="H11" s="1626"/>
      <c r="I11" s="1280"/>
    </row>
    <row r="12" spans="1:12" ht="12.75">
      <c r="A12" s="3282" t="s">
        <v>1278</v>
      </c>
      <c r="B12" s="3269">
        <v>15</v>
      </c>
      <c r="C12" s="3285"/>
      <c r="D12" s="3305"/>
      <c r="E12" s="123" t="s">
        <v>1279</v>
      </c>
      <c r="F12" s="1626"/>
      <c r="G12" s="1626"/>
      <c r="H12" s="1626"/>
      <c r="I12" s="1280"/>
    </row>
    <row r="13" spans="1:12" ht="12.75">
      <c r="A13" s="3282"/>
      <c r="B13" s="3269"/>
      <c r="C13" s="3287"/>
      <c r="D13" s="3305"/>
      <c r="E13" s="123" t="s">
        <v>1280</v>
      </c>
      <c r="F13" s="1626"/>
      <c r="G13" s="1626"/>
      <c r="H13" s="1626"/>
      <c r="I13" s="1280"/>
    </row>
    <row r="14" spans="1:12" ht="12.75">
      <c r="A14" s="3282" t="s">
        <v>1281</v>
      </c>
      <c r="B14" s="3269">
        <v>30</v>
      </c>
      <c r="C14" s="3285">
        <v>7</v>
      </c>
      <c r="D14" s="3305">
        <v>3</v>
      </c>
      <c r="E14" s="123" t="s">
        <v>1282</v>
      </c>
      <c r="F14" s="1626"/>
      <c r="G14" s="1626"/>
      <c r="H14" s="1626"/>
      <c r="I14" s="1280"/>
    </row>
    <row r="15" spans="1:12" ht="12.75">
      <c r="A15" s="3282"/>
      <c r="B15" s="3269"/>
      <c r="C15" s="3286"/>
      <c r="D15" s="3305"/>
      <c r="E15" s="123" t="s">
        <v>1283</v>
      </c>
      <c r="F15" s="1626"/>
      <c r="G15" s="1626"/>
      <c r="H15" s="1626"/>
      <c r="I15" s="1280"/>
    </row>
    <row r="16" spans="1:12" ht="12.75">
      <c r="A16" s="3282"/>
      <c r="B16" s="3269"/>
      <c r="C16" s="3287"/>
      <c r="D16" s="3305"/>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92" t="s">
        <v>2131</v>
      </c>
      <c r="F18" s="3293"/>
      <c r="G18" s="3293"/>
      <c r="H18" s="3293"/>
      <c r="I18" s="3293"/>
      <c r="K18" s="294" t="s">
        <v>1289</v>
      </c>
      <c r="L18" s="294">
        <f>IF(C1="",'数据-汇总表'!E3,SUMIF(项目类型,C1,'数据-汇总表'!E17:E26)+SUMIF(项目类型,C1,'数据-汇总表'!I17:I26))</f>
        <v>255.78</v>
      </c>
      <c r="M18" s="294">
        <f>IF(C1="",'数据-汇总表'!E3,SUMIF(项目类型,C1,'数据-汇总表'!E17:E26))</f>
        <v>255.78</v>
      </c>
    </row>
    <row r="19" spans="1:36" ht="15">
      <c r="A19" s="1629" t="s">
        <v>1290</v>
      </c>
      <c r="B19" s="1630" t="s">
        <v>1291</v>
      </c>
      <c r="C19" s="126">
        <f ca="1">SUMIF(INDIRECT("'"&amp;C4&amp;"'"&amp;"!A:A"),结果表!B19,INDIRECT("'"&amp;C4&amp;"'"&amp;"!B:B"))</f>
        <v>1044.7334000000001</v>
      </c>
      <c r="D19" s="127">
        <f ca="1">SUMIF(INDIRECT("'"&amp;D4&amp;"'"&amp;"!A:A"),结果表!B19,INDIRECT("'"&amp;D4&amp;"'"&amp;"!B:B"))</f>
        <v>480.97570000000002</v>
      </c>
      <c r="E19" s="1629" t="s">
        <v>1292</v>
      </c>
      <c r="F19" s="1630" t="s">
        <v>1291</v>
      </c>
      <c r="G19" s="128">
        <f ca="1">ROUND(C19*$C$18+D19*$D$18,0)</f>
        <v>876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40845</v>
      </c>
      <c r="D20" s="130">
        <f ca="1">SUMIF(INDIRECT("'"&amp;D4&amp;"'"&amp;"!A:A"),结果表!B20,INDIRECT("'"&amp;D4&amp;"'"&amp;"!B:B"))</f>
        <v>18804</v>
      </c>
      <c r="E20" s="1632"/>
      <c r="F20" s="43" t="s">
        <v>1295</v>
      </c>
      <c r="G20" s="131">
        <f ca="1">ROUND(C20*$C$18+D20*$D$18,0)</f>
        <v>34233</v>
      </c>
      <c r="H20" s="759" t="s">
        <v>1296</v>
      </c>
      <c r="I20" s="121">
        <f ca="1">ROUND(G20*'数据-汇总表'!E3,0)</f>
        <v>8756117</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1.1721126451918464</v>
      </c>
      <c r="E22" s="121"/>
      <c r="F22" s="121"/>
      <c r="G22" s="121"/>
      <c r="H22" s="121"/>
      <c r="I22" s="121"/>
    </row>
    <row r="23" spans="1:36" ht="13.5" thickBot="1">
      <c r="A23" s="645"/>
      <c r="B23" s="645"/>
      <c r="C23" s="645"/>
      <c r="D23" s="645"/>
      <c r="E23" s="121"/>
      <c r="F23" s="121"/>
      <c r="G23" s="121"/>
      <c r="H23" s="121"/>
      <c r="I23" s="121"/>
    </row>
    <row r="24" spans="1:36" ht="14.25">
      <c r="A24" s="3276" t="s">
        <v>1299</v>
      </c>
      <c r="B24" s="1630" t="s">
        <v>1291</v>
      </c>
      <c r="C24" s="128">
        <f>IF(B30=0,0,D30)</f>
        <v>0</v>
      </c>
      <c r="D24" s="1636"/>
      <c r="E24" s="121"/>
      <c r="F24" s="121"/>
      <c r="G24" s="121"/>
      <c r="H24" s="121"/>
      <c r="I24" s="121"/>
    </row>
    <row r="25" spans="1:36" ht="14.25">
      <c r="A25" s="327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34233</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96" t="s">
        <v>1312</v>
      </c>
      <c r="B36" s="1651" t="s">
        <v>1313</v>
      </c>
      <c r="C36" s="137"/>
      <c r="D36" s="1652"/>
      <c r="E36" s="1566"/>
      <c r="F36" s="1653"/>
      <c r="G36" s="121"/>
      <c r="H36" s="121"/>
      <c r="I36" s="121"/>
    </row>
    <row r="37" spans="1:15" ht="15.75" thickBot="1">
      <c r="A37" s="3297"/>
      <c r="B37" s="1554" t="s">
        <v>1314</v>
      </c>
      <c r="C37" s="139"/>
      <c r="D37" s="1070"/>
      <c r="E37" s="1070"/>
      <c r="F37" s="1653"/>
      <c r="G37" s="121"/>
      <c r="H37" s="121"/>
      <c r="I37" s="121"/>
    </row>
    <row r="38" spans="1:15" ht="15.75" thickBot="1">
      <c r="A38" s="3298"/>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3" t="s">
        <v>1326</v>
      </c>
      <c r="B45" s="3274"/>
      <c r="C45" s="3275"/>
      <c r="D45" s="147" t="e">
        <f ca="1">ROUND(H101*F45,0)</f>
        <v>#REF!</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7"/>
      <c r="I46" s="151"/>
      <c r="J46" s="2309">
        <v>1</v>
      </c>
      <c r="K46" s="3332" t="s">
        <v>1331</v>
      </c>
      <c r="L46" s="3332"/>
      <c r="M46" s="3352"/>
      <c r="N46" s="3352"/>
      <c r="O46" s="3352"/>
    </row>
    <row r="47" spans="1:15" ht="12" customHeight="1">
      <c r="A47" s="152" t="s">
        <v>1332</v>
      </c>
      <c r="B47" s="153"/>
      <c r="C47" s="154"/>
      <c r="D47" s="1023" t="s">
        <v>1333</v>
      </c>
      <c r="E47" s="294" t="s">
        <v>1334</v>
      </c>
      <c r="F47" s="155" t="s">
        <v>1335</v>
      </c>
      <c r="G47" s="2332" t="s">
        <v>1336</v>
      </c>
      <c r="H47" s="2333"/>
      <c r="I47" s="151"/>
      <c r="J47" s="2309">
        <v>2</v>
      </c>
      <c r="K47" s="3332" t="s">
        <v>1337</v>
      </c>
      <c r="L47" s="3332"/>
      <c r="M47" s="3353">
        <f>'数据-取费表'!B2</f>
        <v>45696</v>
      </c>
      <c r="N47" s="3353"/>
      <c r="O47" s="3353"/>
    </row>
    <row r="48" spans="1:15" ht="25.5">
      <c r="A48" s="3301" t="s">
        <v>1338</v>
      </c>
      <c r="B48" s="3284"/>
      <c r="C48" s="3284"/>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32" t="s">
        <v>1340</v>
      </c>
      <c r="L48" s="3332"/>
      <c r="M48" s="3354" t="e">
        <f ca="1">H101</f>
        <v>#REF!</v>
      </c>
      <c r="N48" s="3354"/>
      <c r="O48" s="3354"/>
    </row>
    <row r="49" spans="1:35" ht="25.5" customHeight="1">
      <c r="A49" s="2151" t="s">
        <v>1341</v>
      </c>
      <c r="B49" s="3268" t="s">
        <v>1342</v>
      </c>
      <c r="C49" s="3268"/>
      <c r="D49" s="1477">
        <v>0</v>
      </c>
      <c r="E49" s="316" t="s">
        <v>1343</v>
      </c>
      <c r="F49" s="2232" t="s">
        <v>28</v>
      </c>
      <c r="G49" s="3338"/>
      <c r="H49" s="2133" t="s">
        <v>2134</v>
      </c>
      <c r="I49" s="2134"/>
      <c r="J49" s="2309">
        <v>4</v>
      </c>
      <c r="K49" s="3332" t="str">
        <f>IF(项目基本情况!E8="房地产抵押价值","房地产抵押价值","抵押担保权已注销时的房地产抵押价值")</f>
        <v>房地产抵押价值</v>
      </c>
      <c r="L49" s="3332"/>
      <c r="M49" s="3354" t="str">
        <f ca="1">IF(项目基本情况!E8="房地产抵押价值",H107,H109)</f>
        <v>——</v>
      </c>
      <c r="N49" s="3354"/>
      <c r="O49" s="3354"/>
    </row>
    <row r="50" spans="1:35" ht="25.5" customHeight="1">
      <c r="A50" s="2337"/>
      <c r="B50" s="3268" t="s">
        <v>1344</v>
      </c>
      <c r="C50" s="3268"/>
      <c r="D50" s="2188"/>
      <c r="E50" s="323"/>
      <c r="F50" s="2232"/>
      <c r="G50" s="3339"/>
      <c r="H50" s="2135" t="s">
        <v>2135</v>
      </c>
      <c r="I50" s="2134"/>
      <c r="J50" s="3351" t="s">
        <v>1345</v>
      </c>
      <c r="K50" s="3351"/>
      <c r="L50" s="3351"/>
      <c r="M50" s="3351"/>
      <c r="N50" s="3351"/>
      <c r="O50" s="3351"/>
    </row>
    <row r="51" spans="1:35" ht="20.45" customHeight="1">
      <c r="A51" s="2338"/>
      <c r="B51" s="3268" t="s">
        <v>1346</v>
      </c>
      <c r="C51" s="3268"/>
      <c r="D51" s="1023"/>
      <c r="E51" s="319"/>
      <c r="F51" s="2232"/>
      <c r="G51" s="3340"/>
      <c r="H51" s="2135" t="s">
        <v>2136</v>
      </c>
      <c r="I51" s="2134"/>
      <c r="J51" s="2310" t="s">
        <v>1347</v>
      </c>
      <c r="K51" s="3332" t="s">
        <v>1348</v>
      </c>
      <c r="L51" s="3332"/>
      <c r="M51" s="2310" t="s">
        <v>1349</v>
      </c>
      <c r="N51" s="2310" t="s">
        <v>1350</v>
      </c>
      <c r="O51" s="2310" t="s">
        <v>1351</v>
      </c>
    </row>
    <row r="52" spans="1:35" ht="24" customHeight="1">
      <c r="A52" s="2152" t="s">
        <v>1352</v>
      </c>
      <c r="B52" s="3268" t="s">
        <v>1353</v>
      </c>
      <c r="C52" s="3268"/>
      <c r="D52" s="1023" t="e">
        <f ca="1">ROUND(D45*'数据-取费表'!B41/(1+'数据-取费表'!C42),0)</f>
        <v>#REF!</v>
      </c>
      <c r="E52" s="1255" t="s">
        <v>1354</v>
      </c>
      <c r="F52" s="2339">
        <f>'数据-取费表'!B41</f>
        <v>5.5000000000000007E-2</v>
      </c>
      <c r="G52" s="2340"/>
      <c r="H52" s="2330"/>
      <c r="I52" s="1668"/>
      <c r="J52" s="2309">
        <v>1</v>
      </c>
      <c r="K52" s="3333" t="s">
        <v>1355</v>
      </c>
      <c r="L52" s="3333"/>
      <c r="M52" s="2311" t="b">
        <f>D48</f>
        <v>0</v>
      </c>
      <c r="N52" s="2309" t="str">
        <f>E48</f>
        <v>销售额×税（费）率</v>
      </c>
      <c r="O52" s="2312">
        <f>F48</f>
        <v>5.5000000000000007E-2</v>
      </c>
    </row>
    <row r="53" spans="1:35" ht="12" customHeight="1">
      <c r="A53" s="2152" t="s">
        <v>1356</v>
      </c>
      <c r="B53" s="3294" t="s">
        <v>2282</v>
      </c>
      <c r="C53" s="3295"/>
      <c r="D53" s="1023" t="e">
        <f ca="1">ROUND(D45*'数据-取费表'!B41/(1+'数据-取费表'!C42),0)</f>
        <v>#REF!</v>
      </c>
      <c r="E53" s="1255" t="s">
        <v>1354</v>
      </c>
      <c r="F53" s="2339">
        <f>'数据-取费表'!B41</f>
        <v>5.5000000000000007E-2</v>
      </c>
      <c r="G53" s="2340"/>
      <c r="H53" s="2330"/>
      <c r="I53" s="1668"/>
      <c r="J53" s="2309">
        <v>2</v>
      </c>
      <c r="K53" s="3333" t="s">
        <v>1357</v>
      </c>
      <c r="L53" s="3333"/>
      <c r="M53" s="2311" t="e">
        <f t="shared" ref="M53:O54" ca="1" si="0">D55</f>
        <v>#REF!</v>
      </c>
      <c r="N53" s="2309" t="str">
        <f t="shared" si="0"/>
        <v>销售额×税（费）率</v>
      </c>
      <c r="O53" s="2312" t="str">
        <f t="shared" si="0"/>
        <v>免征</v>
      </c>
    </row>
    <row r="54" spans="1:35" ht="12" customHeight="1">
      <c r="A54" s="2152" t="s">
        <v>1358</v>
      </c>
      <c r="B54" s="3294" t="s">
        <v>2283</v>
      </c>
      <c r="C54" s="3295"/>
      <c r="D54" s="1023" t="e">
        <f ca="1">C68</f>
        <v>#REF!</v>
      </c>
      <c r="E54" s="319" t="s">
        <v>1359</v>
      </c>
      <c r="F54" s="2339">
        <f>'数据-取费表'!B41</f>
        <v>5.5000000000000007E-2</v>
      </c>
      <c r="G54" s="2340"/>
      <c r="H54" s="2341"/>
      <c r="I54" s="1668"/>
      <c r="J54" s="2309">
        <v>3</v>
      </c>
      <c r="K54" s="3333" t="s">
        <v>1360</v>
      </c>
      <c r="L54" s="3333"/>
      <c r="M54" s="2311" t="e">
        <f t="shared" ca="1" si="0"/>
        <v>#REF!</v>
      </c>
      <c r="N54" s="2309" t="str">
        <f t="shared" si="0"/>
        <v>增值额×税（费）率</v>
      </c>
      <c r="O54" s="2313" t="str">
        <f t="shared" si="0"/>
        <v>免征</v>
      </c>
    </row>
    <row r="55" spans="1:35" ht="24" customHeight="1">
      <c r="A55" s="3283" t="s">
        <v>1361</v>
      </c>
      <c r="B55" s="3284"/>
      <c r="C55" s="3284"/>
      <c r="D55" s="12" t="e">
        <f ca="1">IF(H55="个人住宅",0,ROUND(D45*I55,0))</f>
        <v>#REF!</v>
      </c>
      <c r="E55" s="1255" t="s">
        <v>1362</v>
      </c>
      <c r="F55" s="2339" t="str">
        <f>IF(H55="正常",I55,"免征")</f>
        <v>免征</v>
      </c>
      <c r="G55" s="2340"/>
      <c r="H55" s="2336"/>
      <c r="I55" s="157">
        <f>'数据-取费表'!B49</f>
        <v>5.0000000000000001E-4</v>
      </c>
      <c r="J55" s="2309">
        <f>IF(H59="非个人房产","",4)</f>
        <v>4</v>
      </c>
      <c r="K55" s="3333" t="str">
        <f>IF(H59="非个人房产","——","个人所得税")</f>
        <v>个人所得税</v>
      </c>
      <c r="L55" s="3333"/>
      <c r="M55" s="2314" t="e">
        <f ca="1">D59</f>
        <v>#REF!</v>
      </c>
      <c r="N55" s="1882" t="str">
        <f>E59</f>
        <v>差额计税</v>
      </c>
      <c r="O55" s="2315">
        <f>F59</f>
        <v>0.01</v>
      </c>
    </row>
    <row r="56" spans="1:35" ht="24.75">
      <c r="A56" s="3283" t="s">
        <v>1363</v>
      </c>
      <c r="B56" s="3284"/>
      <c r="C56" s="3284"/>
      <c r="D56" s="12" t="e">
        <f ca="1">IF(H56="个人住宅",D57,D58)</f>
        <v>#REF!</v>
      </c>
      <c r="E56" s="1255" t="s">
        <v>1364</v>
      </c>
      <c r="F56" s="2339" t="str">
        <f>IF(H56="正常",F58,"免征")</f>
        <v>免征</v>
      </c>
      <c r="G56" s="2342" t="s">
        <v>1365</v>
      </c>
      <c r="H56" s="2343"/>
      <c r="I56" s="1669"/>
      <c r="J56" s="2309" t="str">
        <f>IF(项目基本情况!K6="上海银行",IF(J55="",4,J55+1),"")</f>
        <v/>
      </c>
      <c r="K56" s="3356" t="str">
        <f>IF(项目基本情况!K6="上海银行","其他处置费用","")</f>
        <v/>
      </c>
      <c r="L56" s="3357"/>
      <c r="M56" s="2311" t="str">
        <f>IF(项目基本情况!K6="上海银行",M69,"")</f>
        <v/>
      </c>
      <c r="N56" s="3356" t="str">
        <f>IF(项目基本情况!K6="上海银行","包含处置中涉及的律师、诉讼、拍卖、评估等费用","")</f>
        <v/>
      </c>
      <c r="O56" s="3359"/>
    </row>
    <row r="57" spans="1:35" ht="12.75">
      <c r="A57" s="2152" t="s">
        <v>1341</v>
      </c>
      <c r="B57" s="3294" t="s">
        <v>1366</v>
      </c>
      <c r="C57" s="3295"/>
      <c r="D57" s="1477">
        <v>0</v>
      </c>
      <c r="E57" s="316" t="s">
        <v>1343</v>
      </c>
      <c r="F57" s="294"/>
      <c r="G57" s="2340"/>
      <c r="H57" s="2344"/>
      <c r="I57" s="1669"/>
      <c r="J57" s="3333">
        <f>IF(AND(J55="",J56=""),4,IF(项目基本情况!K6="上海银行",结果表!J56+1,结果表!J55+1))</f>
        <v>5</v>
      </c>
      <c r="K57" s="3333" t="s">
        <v>1367</v>
      </c>
      <c r="L57" s="2316" t="s">
        <v>1368</v>
      </c>
      <c r="M57" s="2317"/>
      <c r="N57" s="2318">
        <f ca="1">SUMIF(M52:M56,"&lt;9e307")</f>
        <v>0</v>
      </c>
      <c r="O57" s="2319"/>
      <c r="P57" s="2464" t="e">
        <f ca="1">N57/M49</f>
        <v>#VALUE!</v>
      </c>
    </row>
    <row r="58" spans="1:35" ht="24.75">
      <c r="A58" s="2152" t="s">
        <v>1352</v>
      </c>
      <c r="B58" s="3294" t="s">
        <v>1369</v>
      </c>
      <c r="C58" s="3268"/>
      <c r="D58" s="12" t="e">
        <f ca="1">IF(H58="转让取得",C81,C97)</f>
        <v>#REF!</v>
      </c>
      <c r="E58" s="1255" t="s">
        <v>1364</v>
      </c>
      <c r="F58" s="294" t="s">
        <v>28</v>
      </c>
      <c r="G58" s="2340"/>
      <c r="H58" s="2343"/>
      <c r="I58" s="1669"/>
      <c r="J58" s="3333"/>
      <c r="K58" s="3333"/>
      <c r="L58" s="2316" t="s">
        <v>1370</v>
      </c>
      <c r="M58" s="2320"/>
      <c r="N58" s="2321" t="str">
        <f ca="1">NUMBERSTRING(INT(N57*10000),2)&amp;"元整"</f>
        <v>零元整</v>
      </c>
      <c r="O58" s="2322"/>
    </row>
    <row r="59" spans="1:35" ht="24.75" thickBot="1">
      <c r="A59" s="3336" t="s">
        <v>1371</v>
      </c>
      <c r="B59" s="3337"/>
      <c r="C59" s="333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4">
        <f>J57+1</f>
        <v>6</v>
      </c>
      <c r="K59" s="3333" t="s">
        <v>1372</v>
      </c>
      <c r="L59" s="2309" t="s">
        <v>1368</v>
      </c>
      <c r="M59" s="2323"/>
      <c r="N59" s="2324" t="e">
        <f ca="1">M49-N57</f>
        <v>#VALUE!</v>
      </c>
      <c r="O59" s="2325"/>
    </row>
    <row r="60" spans="1:35" ht="12" customHeight="1">
      <c r="A60" s="1670"/>
      <c r="B60" s="645"/>
      <c r="C60" s="645"/>
      <c r="D60" s="645"/>
      <c r="E60" s="1465"/>
      <c r="F60" s="1669"/>
      <c r="G60" s="1669"/>
      <c r="H60" s="151"/>
      <c r="I60" s="121"/>
      <c r="J60" s="3335"/>
      <c r="K60" s="3333"/>
      <c r="L60" s="2316" t="s">
        <v>1370</v>
      </c>
      <c r="M60" s="2320"/>
      <c r="N60" s="2321" t="e">
        <f ca="1">NUMBERSTRING(INT(N59*10000),2)&amp;"元整"</f>
        <v>#VALUE!</v>
      </c>
      <c r="O60" s="2322"/>
    </row>
    <row r="61" spans="1:35" ht="13.5" thickBot="1">
      <c r="A61" s="3281" t="s">
        <v>1373</v>
      </c>
      <c r="B61" s="3281"/>
      <c r="C61" s="3281"/>
      <c r="D61" s="3281"/>
      <c r="E61" s="3281"/>
      <c r="F61" s="1669"/>
      <c r="G61" s="1669"/>
      <c r="H61" s="151"/>
      <c r="I61" s="121"/>
      <c r="J61" s="2309">
        <f>J59+1</f>
        <v>7</v>
      </c>
      <c r="K61" s="3333" t="s">
        <v>1374</v>
      </c>
      <c r="L61" s="3333"/>
      <c r="M61" s="2326"/>
      <c r="N61" s="2327" t="e">
        <f ca="1">ROUND(N59*10000/'数据-汇总表'!E3,0)</f>
        <v>#VALUE!</v>
      </c>
      <c r="O61" s="2328"/>
    </row>
    <row r="62" spans="1:35" ht="12.75">
      <c r="A62" s="3299" t="s">
        <v>1375</v>
      </c>
      <c r="B62" s="3300"/>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58" t="s">
        <v>1379</v>
      </c>
      <c r="K63" s="1244" t="s">
        <v>1380</v>
      </c>
      <c r="L63" s="1244" t="e">
        <f ca="1">IF(M49&gt;10000,M49*0.5%,IF(AND(M49&gt;1000,M49&lt;=10000),M49*1%,IF(AND(M49&gt;100,M49&lt;=1000),M49*3%,IF(AND(M49&gt;10,M49&lt;=100),M49*5%,M49*8%))))</f>
        <v>#VALUE!</v>
      </c>
      <c r="M63" s="294" t="e">
        <f ca="1">ROUND(L63,1)</f>
        <v>#VALUE!</v>
      </c>
      <c r="N63" s="2329"/>
      <c r="Z63" s="1622"/>
      <c r="AI63" s="1560"/>
    </row>
    <row r="64" spans="1:35" ht="14.25" customHeight="1">
      <c r="A64" s="161" t="s">
        <v>325</v>
      </c>
      <c r="B64" s="162" t="s">
        <v>1381</v>
      </c>
      <c r="C64" s="2350" t="e">
        <f ca="1">D45</f>
        <v>#REF!</v>
      </c>
      <c r="D64" s="162" t="s">
        <v>26</v>
      </c>
      <c r="E64" s="164"/>
      <c r="F64" s="1669"/>
      <c r="G64" s="1669"/>
      <c r="H64" s="151"/>
      <c r="I64" s="121"/>
      <c r="J64" s="3358"/>
      <c r="K64" s="1244" t="s">
        <v>1382</v>
      </c>
      <c r="L64" s="1244"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2"/>
      <c r="AI64" s="1560"/>
    </row>
    <row r="65" spans="1:35" ht="14.25" customHeight="1">
      <c r="A65" s="161" t="s">
        <v>326</v>
      </c>
      <c r="B65" s="162" t="s">
        <v>1384</v>
      </c>
      <c r="C65" s="2351"/>
      <c r="D65" s="162"/>
      <c r="E65" s="164"/>
      <c r="F65" s="1669"/>
      <c r="G65" s="1669"/>
      <c r="H65" s="151"/>
      <c r="I65" s="121"/>
      <c r="J65" s="3358"/>
      <c r="K65" s="1244" t="s">
        <v>1385</v>
      </c>
      <c r="L65" s="1244" t="e">
        <f ca="1">IF(M49&gt;1000,M49*0.1%,IF(AND(M49&gt;500,M49&lt;=1000),M49*0.5%,IF(AND(M49&gt;50,M49&lt;=500),M49*1%,IF(AND(M49&gt;1,M49&lt;=50),M49*1.5%))))</f>
        <v>#VALUE!</v>
      </c>
      <c r="M65" s="294" t="e">
        <f t="shared" ca="1" si="1"/>
        <v>#VALUE!</v>
      </c>
      <c r="N65" s="2330" t="s">
        <v>1383</v>
      </c>
      <c r="Z65" s="1622"/>
      <c r="AI65" s="1560"/>
    </row>
    <row r="66" spans="1:35" ht="14.25" customHeight="1">
      <c r="A66" s="165" t="s">
        <v>327</v>
      </c>
      <c r="B66" s="166" t="s">
        <v>1386</v>
      </c>
      <c r="C66" s="2352"/>
      <c r="D66" s="166" t="s">
        <v>26</v>
      </c>
      <c r="E66" s="1250" t="s">
        <v>671</v>
      </c>
      <c r="F66" s="1669"/>
      <c r="G66" s="1669"/>
      <c r="H66" s="151"/>
      <c r="I66" s="121"/>
      <c r="J66" s="3358"/>
      <c r="K66" s="1244" t="s">
        <v>1387</v>
      </c>
      <c r="L66" s="1244" t="e">
        <f ca="1">M49*0.5%</f>
        <v>#VALUE!</v>
      </c>
      <c r="M66" s="294" t="e">
        <f ca="1">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58"/>
      <c r="K67" s="1244" t="s">
        <v>1390</v>
      </c>
      <c r="L67" s="1244"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2"/>
      <c r="AI67" s="1560"/>
    </row>
    <row r="68" spans="1:35" ht="14.25" customHeight="1" thickBot="1">
      <c r="A68" s="168" t="s">
        <v>329</v>
      </c>
      <c r="B68" s="169" t="s">
        <v>1391</v>
      </c>
      <c r="C68" s="2354" t="e">
        <f ca="1">IF(C67&lt;=0,0,ROUND(C67*D68,0))</f>
        <v>#REF!</v>
      </c>
      <c r="D68" s="2355">
        <f>'数据-取费表'!B41</f>
        <v>5.5000000000000007E-2</v>
      </c>
      <c r="E68" s="170"/>
      <c r="F68" s="1669"/>
      <c r="G68" s="1669"/>
      <c r="H68" s="151"/>
      <c r="I68" s="121"/>
      <c r="J68" s="3358"/>
      <c r="K68" s="1244" t="s">
        <v>1392</v>
      </c>
      <c r="L68" s="1244" t="e">
        <f ca="1">IF(M49&gt;10000,M49*0.5%,IF(AND(M49&gt;5000,M49&lt;=10000),M49*1%,IF(AND(M49&gt;1000,M49&lt;=5000),M49*2%,IF(AND(M49&gt;200,M49&lt;=1000),M49*3%,M49*5%))))</f>
        <v>#VALUE!</v>
      </c>
      <c r="M68" s="294" t="e">
        <f ca="1">ROUND(L68,1)</f>
        <v>#VALUE!</v>
      </c>
      <c r="N68" s="2329"/>
      <c r="Z68" s="1622"/>
      <c r="AI68" s="1560"/>
    </row>
    <row r="69" spans="1:35" ht="16.5" customHeight="1">
      <c r="A69" s="1671"/>
      <c r="B69" s="1672"/>
      <c r="C69" s="1673"/>
      <c r="D69" s="1674"/>
      <c r="E69" s="1675"/>
      <c r="F69" s="1465"/>
      <c r="G69" s="1465"/>
      <c r="H69" s="1466"/>
      <c r="I69" s="645"/>
      <c r="J69" s="3358"/>
      <c r="K69" s="1244" t="s">
        <v>1393</v>
      </c>
      <c r="L69" s="1244"/>
      <c r="M69" s="294" t="e">
        <f ca="1">ROUND(SUM(M63:M68),0)</f>
        <v>#VALUE!</v>
      </c>
      <c r="N69" s="2331" t="e">
        <f ca="1">M69/M49</f>
        <v>#VALUE!</v>
      </c>
      <c r="Z69" s="1622"/>
      <c r="AI69" s="1560"/>
    </row>
    <row r="70" spans="1:35" s="641" customFormat="1" ht="15" thickBot="1">
      <c r="A70" s="3320" t="s">
        <v>1394</v>
      </c>
      <c r="B70" s="3321"/>
      <c r="C70" s="3321"/>
      <c r="D70" s="3321"/>
      <c r="E70" s="3321"/>
      <c r="F70" s="3321"/>
      <c r="G70" s="3321"/>
      <c r="H70" s="332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9" t="s">
        <v>1375</v>
      </c>
      <c r="B71" s="330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94" t="s">
        <v>1402</v>
      </c>
      <c r="F76" s="3268"/>
      <c r="G76" s="3268"/>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5.000000000000001E-3</v>
      </c>
      <c r="E78" s="3278" t="s">
        <v>1406</v>
      </c>
      <c r="F78" s="3279"/>
      <c r="G78" s="3279"/>
      <c r="H78" s="328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9" t="s">
        <v>1375</v>
      </c>
      <c r="B84" s="330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60" t="s">
        <v>2129</v>
      </c>
      <c r="H90" s="3361"/>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78" t="s">
        <v>1419</v>
      </c>
      <c r="F91" s="3279"/>
      <c r="G91" s="327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78" t="s">
        <v>1422</v>
      </c>
      <c r="F92" s="3279"/>
      <c r="G92" s="3279"/>
      <c r="H92" s="3288"/>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5.000000000000001E-3</v>
      </c>
      <c r="E93" s="3278" t="s">
        <v>1406</v>
      </c>
      <c r="F93" s="3279"/>
      <c r="G93" s="3279"/>
      <c r="H93" s="328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89" t="s">
        <v>1426</v>
      </c>
      <c r="F94" s="3290"/>
      <c r="G94" s="3290"/>
      <c r="H94" s="329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2" t="s">
        <v>1428</v>
      </c>
      <c r="B100" s="3263"/>
      <c r="C100" s="3263"/>
      <c r="D100" s="3280"/>
      <c r="E100" s="3263" t="s">
        <v>1429</v>
      </c>
      <c r="F100" s="3263"/>
      <c r="G100" s="3263"/>
      <c r="H100" s="3280"/>
      <c r="I100" s="121"/>
    </row>
    <row r="101" spans="1:35" ht="18.75" customHeight="1">
      <c r="A101" s="3341" t="s">
        <v>1430</v>
      </c>
      <c r="B101" s="3342"/>
      <c r="C101" s="2370" t="str">
        <f>C4</f>
        <v>比较法-商业</v>
      </c>
      <c r="D101" s="2371" t="str">
        <f>D4</f>
        <v>收益法 (元)</v>
      </c>
      <c r="E101" s="3355" t="s">
        <v>1431</v>
      </c>
      <c r="F101" s="3312"/>
      <c r="G101" s="1686" t="s">
        <v>1432</v>
      </c>
      <c r="H101" s="2380" t="e">
        <f ca="1">H118</f>
        <v>#REF!</v>
      </c>
      <c r="I101" s="121"/>
    </row>
    <row r="102" spans="1:35" ht="18.75" customHeight="1">
      <c r="A102" s="3314" t="s">
        <v>1433</v>
      </c>
      <c r="B102" s="2369" t="s">
        <v>1432</v>
      </c>
      <c r="C102" s="2370">
        <f ca="1">IF(D32="楼面单价",ROUND(C19,0),C19)</f>
        <v>1044.7334000000001</v>
      </c>
      <c r="D102" s="2371">
        <f ca="1">IF(D32="楼面单价",ROUND(D19,0),D19)</f>
        <v>480.97570000000002</v>
      </c>
      <c r="E102" s="3355"/>
      <c r="F102" s="3312"/>
      <c r="G102" s="1686" t="s">
        <v>1434</v>
      </c>
      <c r="H102" s="2340" t="e">
        <f ca="1">I118</f>
        <v>#REF!</v>
      </c>
      <c r="I102" s="121"/>
    </row>
    <row r="103" spans="1:35" ht="42.75" customHeight="1">
      <c r="A103" s="3314"/>
      <c r="B103" s="2369" t="s">
        <v>1434</v>
      </c>
      <c r="C103" s="2372">
        <f ca="1">C20</f>
        <v>40845</v>
      </c>
      <c r="D103" s="2373">
        <f ca="1">D20</f>
        <v>18804</v>
      </c>
      <c r="E103" s="3349" t="s">
        <v>1435</v>
      </c>
      <c r="F103" s="3350"/>
      <c r="G103" s="1687" t="s">
        <v>1436</v>
      </c>
      <c r="H103" s="2380">
        <f>IF(D36="正常操作",H104+H105+H106,H105+H106)</f>
        <v>0</v>
      </c>
      <c r="I103" s="121"/>
    </row>
    <row r="104" spans="1:35" ht="18.75" customHeight="1">
      <c r="A104" s="3314"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5"/>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11" t="str">
        <f>IF(项目基本情况!E8="已注销","——","3.房地产抵押价值")</f>
        <v>3.房地产抵押价值</v>
      </c>
      <c r="F107" s="3312"/>
      <c r="G107" s="1686" t="s">
        <v>1432</v>
      </c>
      <c r="H107" s="2380" t="e">
        <f ca="1">IF(E107="——","——",H101-H103)</f>
        <v>#REF!</v>
      </c>
      <c r="I107" s="121"/>
    </row>
    <row r="108" spans="1:35" ht="18.75" customHeight="1">
      <c r="A108" s="121"/>
      <c r="B108" s="121"/>
      <c r="C108" s="121"/>
      <c r="D108" s="121"/>
      <c r="E108" s="3311"/>
      <c r="F108" s="3312"/>
      <c r="G108" s="1686" t="s">
        <v>1434</v>
      </c>
      <c r="H108" s="2340">
        <f ca="1">IF(H107=H101,H102,ROUND(H107*10000/'数据-汇总表'!E3,0))</f>
        <v>0</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6" t="s">
        <v>1432</v>
      </c>
      <c r="H109" s="2383" t="str">
        <f>IF(E109="——","——",H101-H105-H106)</f>
        <v>——</v>
      </c>
      <c r="I109" s="121"/>
    </row>
    <row r="110" spans="1:35" ht="18.75" customHeight="1">
      <c r="A110" s="121"/>
      <c r="B110" s="121"/>
      <c r="C110" s="121"/>
      <c r="D110" s="121"/>
      <c r="E110" s="3311"/>
      <c r="F110" s="3312"/>
      <c r="G110" s="1686" t="s">
        <v>1434</v>
      </c>
      <c r="H110" s="2340"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6" t="s">
        <v>1432</v>
      </c>
      <c r="H111" s="2380" t="str">
        <f>IF(E111="——","——",N59)</f>
        <v>——</v>
      </c>
      <c r="I111" s="121"/>
    </row>
    <row r="112" spans="1:35" ht="18.75" customHeight="1" thickBot="1">
      <c r="A112" s="121"/>
      <c r="B112" s="121"/>
      <c r="C112" s="121"/>
      <c r="D112" s="121"/>
      <c r="E112" s="3344"/>
      <c r="F112" s="3345"/>
      <c r="G112" s="1689" t="s">
        <v>1434</v>
      </c>
      <c r="H112" s="2384" t="str">
        <f>IF(E111="——","——",N61)</f>
        <v>——</v>
      </c>
      <c r="I112" s="121"/>
    </row>
    <row r="113" spans="1:27" ht="18.75" customHeight="1">
      <c r="A113" s="121"/>
      <c r="B113" s="121"/>
      <c r="C113" s="121"/>
      <c r="D113" s="121"/>
      <c r="E113" s="3316" t="s">
        <v>1440</v>
      </c>
      <c r="F113" s="3316"/>
      <c r="G113" s="3316"/>
      <c r="H113" s="3316"/>
      <c r="I113" s="121"/>
    </row>
    <row r="114" spans="1:27" ht="3.75" customHeight="1">
      <c r="A114" s="645"/>
      <c r="B114" s="645"/>
      <c r="C114" s="645"/>
      <c r="D114" s="645"/>
      <c r="E114" s="1670"/>
      <c r="F114" s="1670"/>
      <c r="G114" s="1670"/>
      <c r="H114" s="1670"/>
      <c r="I114" s="645"/>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255.78</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2" t="s">
        <v>1452</v>
      </c>
      <c r="B119" s="3282"/>
      <c r="C119" s="3282"/>
      <c r="D119" s="3322" t="e">
        <f ca="1">NUMBERSTRING(INT(D118*10000),2)&amp;"元整"</f>
        <v>#REF!</v>
      </c>
      <c r="E119" s="3324"/>
      <c r="F119" s="3322" t="e">
        <f ca="1">NUMBERSTRING(INT(F118*10000),2)&amp;"元整"</f>
        <v>#REF!</v>
      </c>
      <c r="G119" s="3324"/>
      <c r="H119" s="3322" t="e">
        <f ca="1">NUMBERSTRING(INT(H118*10000),2)&amp;"元整"</f>
        <v>#REF!</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2" t="s">
        <v>1452</v>
      </c>
      <c r="B121" s="3323"/>
      <c r="C121" s="3324"/>
      <c r="D121" s="3322" t="str">
        <f>IF(D120=0,"零元整",NUMBERSTRING(INT(D120*10000),2)&amp;"元整")</f>
        <v>零元整</v>
      </c>
      <c r="E121" s="3323"/>
      <c r="F121" s="3323"/>
      <c r="G121" s="3323"/>
      <c r="H121" s="3323"/>
      <c r="I121" s="3324"/>
      <c r="AA121" s="683"/>
    </row>
    <row r="122" spans="1:27" ht="18.75" customHeight="1">
      <c r="A122" s="3313" t="str">
        <f>IF(项目基本情况!B9="房地产市场价值","",MID(E107,3,LEN(E107)-2))</f>
        <v>房地产抵押价值</v>
      </c>
      <c r="B122" s="3313"/>
      <c r="C122" s="3313"/>
      <c r="D122" s="3346" t="e">
        <f ca="1">H107</f>
        <v>#REF!</v>
      </c>
      <c r="E122" s="3347"/>
      <c r="F122" s="3347"/>
      <c r="G122" s="3347"/>
      <c r="H122" s="3347"/>
      <c r="I122" s="3348"/>
      <c r="AA122" s="683"/>
    </row>
    <row r="123" spans="1:27" ht="18.75" customHeight="1">
      <c r="A123" s="3282" t="s">
        <v>1452</v>
      </c>
      <c r="B123" s="3282"/>
      <c r="C123" s="3282"/>
      <c r="D123" s="3322" t="e">
        <f ca="1">NUMBERSTRING(INT(D122*10000),2)&amp;"元整"</f>
        <v>#REF!</v>
      </c>
      <c r="E123" s="3323"/>
      <c r="F123" s="3323"/>
      <c r="G123" s="3323"/>
      <c r="H123" s="3323"/>
      <c r="I123" s="3324"/>
      <c r="AA123" s="683"/>
    </row>
    <row r="124" spans="1:27" ht="18.75" customHeight="1">
      <c r="A124" s="3313" t="str">
        <f>IF(项目基本情况!B9="房地产市场价值","",MID(E109,3,LEN(E109)-2))</f>
        <v/>
      </c>
      <c r="B124" s="3313"/>
      <c r="C124" s="3313"/>
      <c r="D124" s="3346" t="str">
        <f>H109</f>
        <v>——</v>
      </c>
      <c r="E124" s="3347"/>
      <c r="F124" s="3347"/>
      <c r="G124" s="3347"/>
      <c r="H124" s="3347"/>
      <c r="I124" s="3348"/>
      <c r="AA124" s="683"/>
    </row>
    <row r="125" spans="1:27" ht="18.75" customHeight="1">
      <c r="A125" s="3282" t="s">
        <v>1452</v>
      </c>
      <c r="B125" s="3282"/>
      <c r="C125" s="3282"/>
      <c r="D125" s="3322" t="e">
        <f>NUMBERSTRING(INT(D124*10000),2)&amp;"元整"</f>
        <v>#VALUE!</v>
      </c>
      <c r="E125" s="3323"/>
      <c r="F125" s="3323"/>
      <c r="G125" s="3323"/>
      <c r="H125" s="3323"/>
      <c r="I125" s="3324"/>
      <c r="AA125" s="683"/>
    </row>
    <row r="126" spans="1:27" ht="18.75" customHeight="1">
      <c r="A126" s="3313" t="str">
        <f>IF(项目基本情况!B9="房地产市场价值","",MID(E111,3,LEN(E111)-2))</f>
        <v/>
      </c>
      <c r="B126" s="3313"/>
      <c r="C126" s="3313"/>
      <c r="D126" s="3346" t="str">
        <f>H111</f>
        <v>——</v>
      </c>
      <c r="E126" s="3347"/>
      <c r="F126" s="3347"/>
      <c r="G126" s="3347"/>
      <c r="H126" s="3347"/>
      <c r="I126" s="3348"/>
      <c r="AA126" s="683"/>
    </row>
    <row r="127" spans="1:27" ht="18.75" customHeight="1">
      <c r="A127" s="3282" t="s">
        <v>1452</v>
      </c>
      <c r="B127" s="3282"/>
      <c r="C127" s="3282"/>
      <c r="D127" s="3322" t="e">
        <f>NUMBERSTRING(INT(D126*10000),2)&amp;"元整"</f>
        <v>#VALUE!</v>
      </c>
      <c r="E127" s="3323"/>
      <c r="F127" s="3323"/>
      <c r="G127" s="3323"/>
      <c r="H127" s="3323"/>
      <c r="I127" s="3324"/>
      <c r="AA127" s="683"/>
    </row>
    <row r="128" spans="1:27" ht="21.75" customHeight="1">
      <c r="A128" s="3329" t="s">
        <v>1453</v>
      </c>
      <c r="B128" s="3329"/>
      <c r="C128" s="3329"/>
      <c r="D128" s="3329"/>
      <c r="E128" s="3329"/>
      <c r="F128" s="3329"/>
      <c r="G128" s="3329"/>
      <c r="H128" s="3329"/>
      <c r="I128" s="332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78</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3049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5.1155999999999997</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5.1155999999999997</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5</v>
      </c>
      <c r="D10" s="794">
        <f ca="1">IF(B1="",'数据-汇总表'!E6,IF(INDIRECT("'数据-取费表'!c"&amp;$G$1)="住宅",INDIRECT("'数据-取费表'!s"&amp;$G$1),INDIRECT("'数据-取费表'!k"&amp;$G$1)+INDIRECT("'数据-取费表'!s"&amp;$G$1)))</f>
        <v>255.78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255.78</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2</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64</v>
      </c>
      <c r="D34" s="209"/>
      <c r="E34" s="212"/>
      <c r="F34" s="249">
        <f ca="1">IF('数据-取费表'!B24=0,1,IF(B1="",'数据-取费表'!N16,INDIRECT("'数据-取费表'!n"&amp;$G$1)))</f>
        <v>1</v>
      </c>
      <c r="G34" s="211" t="s">
        <v>1526</v>
      </c>
    </row>
    <row r="35" spans="1:7" ht="13.5" customHeight="1">
      <c r="A35" s="733" t="s">
        <v>351</v>
      </c>
      <c r="B35" s="207" t="s">
        <v>1527</v>
      </c>
      <c r="C35" s="212">
        <f ca="1">ROUND(C34*F35,0)</f>
        <v>3</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5</v>
      </c>
      <c r="D37" s="209">
        <f ca="1">D19</f>
        <v>255.78</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62" t="s">
        <v>1544</v>
      </c>
    </row>
    <row r="43" spans="1:7" ht="13.5" customHeight="1">
      <c r="A43" s="733" t="s">
        <v>347</v>
      </c>
      <c r="B43" s="207" t="s">
        <v>1545</v>
      </c>
      <c r="C43" s="230">
        <f ca="1">ROUND(IF('数据-取费表'!B22&lt;=1,C39*F22*'数据-取费表'!B21/2,C39*(POWER((1+F22),'数据-取费表'!B21/2)-1)),0)</f>
        <v>0</v>
      </c>
      <c r="D43" s="230"/>
      <c r="E43" s="230"/>
      <c r="F43" s="231"/>
      <c r="G43" s="3363"/>
    </row>
    <row r="44" spans="1:7" ht="13.5" customHeight="1">
      <c r="A44" s="733" t="s">
        <v>348</v>
      </c>
      <c r="B44" s="207" t="s">
        <v>1546</v>
      </c>
      <c r="C44" s="230">
        <f ca="1">ROUND(IF('数据-取费表'!B22&lt;=1,C40*F22*'数据-取费表'!B21/2,C40*(POWER((1+F22),'数据-取费表'!B21/2)-1)),4)</f>
        <v>5.9999999999999995E-4</v>
      </c>
      <c r="D44" s="230"/>
      <c r="E44" s="230"/>
      <c r="F44" s="231"/>
      <c r="G44" s="3364"/>
    </row>
    <row r="45" spans="1:7" s="206" customFormat="1" ht="13.5" customHeight="1">
      <c r="A45" s="247" t="s">
        <v>1547</v>
      </c>
      <c r="B45" s="236" t="s">
        <v>1513</v>
      </c>
      <c r="C45" s="237">
        <f ca="1">C46</f>
        <v>15</v>
      </c>
      <c r="D45" s="227">
        <f ca="1">C47</f>
        <v>4.0000000000000001E-3</v>
      </c>
      <c r="E45" s="228" t="s">
        <v>1539</v>
      </c>
      <c r="F45" s="238">
        <f ca="1">F27</f>
        <v>0.2</v>
      </c>
      <c r="G45" s="239" t="s">
        <v>1548</v>
      </c>
    </row>
    <row r="46" spans="1:7" s="206" customFormat="1" ht="13.5" customHeight="1">
      <c r="A46" s="733" t="s">
        <v>346</v>
      </c>
      <c r="B46" s="240" t="s">
        <v>1549</v>
      </c>
      <c r="C46" s="241">
        <f ca="1">ROUND((C33+C39)*F27,0)</f>
        <v>15</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99</v>
      </c>
      <c r="D49" s="224"/>
      <c r="E49" s="224"/>
      <c r="F49" s="256"/>
      <c r="G49" s="226" t="s">
        <v>1554</v>
      </c>
    </row>
    <row r="50" spans="1:7" s="250" customFormat="1" ht="24">
      <c r="A50" s="247" t="s">
        <v>1555</v>
      </c>
      <c r="B50" s="202" t="s">
        <v>1556</v>
      </c>
      <c r="C50" s="224"/>
      <c r="D50" s="224"/>
      <c r="E50" s="224"/>
      <c r="F50" s="256">
        <f>IF('数据-取费表'!B24=0,'数据-取费表'!N16,1)</f>
        <v>0.66</v>
      </c>
      <c r="G50" s="239" t="s">
        <v>1557</v>
      </c>
    </row>
    <row r="51" spans="1:7" ht="16.5" customHeight="1">
      <c r="A51" s="247" t="s">
        <v>1558</v>
      </c>
      <c r="B51" s="202" t="s">
        <v>1559</v>
      </c>
      <c r="C51" s="224">
        <f ca="1">ROUND(C49*F50,0)</f>
        <v>65</v>
      </c>
      <c r="D51" s="224"/>
      <c r="E51" s="224"/>
      <c r="F51" s="256"/>
      <c r="G51" s="226" t="s">
        <v>1560</v>
      </c>
    </row>
    <row r="52" spans="1:7" s="200" customFormat="1" ht="16.5" thickBot="1">
      <c r="A52" s="257" t="s">
        <v>1561</v>
      </c>
      <c r="B52" s="258"/>
      <c r="C52" s="259">
        <f ca="1">C31+C51</f>
        <v>78</v>
      </c>
      <c r="D52" s="258"/>
      <c r="E52" s="258"/>
      <c r="F52" s="258"/>
      <c r="G52" s="260"/>
    </row>
    <row r="55" spans="1:7" ht="15">
      <c r="B55" s="262" t="s">
        <v>1562</v>
      </c>
      <c r="C55" s="263"/>
    </row>
    <row r="56" spans="1:7">
      <c r="B56" s="265" t="s">
        <v>802</v>
      </c>
      <c r="C56" s="267">
        <f ca="1">1-C57</f>
        <v>0.16700000000000004</v>
      </c>
    </row>
    <row r="57" spans="1:7">
      <c r="B57" s="265" t="s">
        <v>803</v>
      </c>
      <c r="C57" s="266">
        <f ca="1">ROUND(C51/C52,3)</f>
        <v>0.83299999999999996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0" t="str">
        <f>项目基本情况!B1</f>
        <v>北京市房地产抵押价值预评估</v>
      </c>
      <c r="C37" s="3180"/>
      <c r="D37" s="3180"/>
      <c r="E37" s="3180"/>
      <c r="F37" s="3180"/>
      <c r="G37" s="3180"/>
      <c r="H37" s="3180"/>
      <c r="I37" s="318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255.78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255.78</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-0.1155999999999997</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255.78</v>
      </c>
      <c r="E20" s="21">
        <f>'数据-取费表'!B28</f>
        <v>200</v>
      </c>
      <c r="F20" s="755"/>
      <c r="G20" s="12"/>
      <c r="H20" s="760"/>
      <c r="I20" s="760"/>
      <c r="J20" s="760"/>
      <c r="K20" s="761"/>
    </row>
    <row r="21" spans="1:33" s="754" customFormat="1" ht="13.5" customHeight="1">
      <c r="A21" s="743" t="s">
        <v>357</v>
      </c>
      <c r="B21" s="764" t="s">
        <v>1628</v>
      </c>
      <c r="C21" s="765">
        <f ca="1">C16+C17+C18</f>
        <v>-0.1155999999999997</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7" t="s">
        <v>694</v>
      </c>
      <c r="C6" s="1010">
        <f ca="1">ROUND(F6*F8*F7*(1-F9)/10000,0)</f>
        <v>0</v>
      </c>
      <c r="D6" s="147" t="s">
        <v>2109</v>
      </c>
      <c r="E6" s="294" t="s">
        <v>696</v>
      </c>
      <c r="F6" s="295">
        <f ca="1">INDIRECT("'数据-取费表'!u"&amp;$G$1)</f>
        <v>0</v>
      </c>
      <c r="G6" s="1291"/>
      <c r="H6" s="1005" t="s">
        <v>398</v>
      </c>
      <c r="I6" s="3367" t="s">
        <v>694</v>
      </c>
      <c r="J6" s="293">
        <f ca="1">ROUND(M6*M8*M7*(1-M9)/10000,0)</f>
        <v>0</v>
      </c>
      <c r="K6" s="147" t="s">
        <v>2108</v>
      </c>
      <c r="L6" s="294" t="s">
        <v>696</v>
      </c>
      <c r="M6" s="295">
        <f ca="1">INDIRECT("'数据-取费表'!z"&amp;$G$1)</f>
        <v>0</v>
      </c>
    </row>
    <row r="7" spans="1:37" ht="18" customHeight="1">
      <c r="A7" s="1009"/>
      <c r="B7" s="3368"/>
      <c r="C7" s="1011"/>
      <c r="D7" s="299"/>
      <c r="E7" s="1012" t="s">
        <v>697</v>
      </c>
      <c r="F7" s="295">
        <f ca="1">IF(INDIRECT("'数据-取费表'!ah"&amp;$G$1)="",INDIRECT("'数据-取费表'!k"&amp;$G$1),INDIRECT("'数据-取费表'!ah"&amp;$G$1))</f>
        <v>0</v>
      </c>
      <c r="G7" s="1291"/>
      <c r="H7" s="296"/>
      <c r="I7" s="3368"/>
      <c r="J7" s="298"/>
      <c r="K7" s="299"/>
      <c r="L7" s="294" t="s">
        <v>697</v>
      </c>
      <c r="M7" s="295">
        <f ca="1">F7</f>
        <v>0</v>
      </c>
    </row>
    <row r="8" spans="1:37" ht="18" customHeight="1">
      <c r="A8" s="296"/>
      <c r="B8" s="3368"/>
      <c r="C8" s="298"/>
      <c r="D8" s="299"/>
      <c r="E8" s="294" t="s">
        <v>698</v>
      </c>
      <c r="F8" s="295">
        <f ca="1">INDIRECT("'数据-取费表'!ai"&amp;$G$1)</f>
        <v>0</v>
      </c>
      <c r="G8" s="1291"/>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1"/>
      <c r="H9" s="296"/>
      <c r="I9" s="336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65" t="s">
        <v>837</v>
      </c>
      <c r="L53" s="3366"/>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16" zoomScale="85" zoomScaleNormal="70" zoomScaleSheetLayoutView="85" workbookViewId="0">
      <selection activeCell="I5" sqref="I5:J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673</v>
      </c>
      <c r="E1" s="3124" t="s">
        <v>3439</v>
      </c>
      <c r="F1" s="1734" t="s">
        <v>3440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1044.7334000000001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40845</v>
      </c>
      <c r="C3" s="344" t="s">
        <v>1768</v>
      </c>
      <c r="D3" s="343">
        <f>IF(D1="",'数据-汇总表'!E3,SUMIF('数据-汇总表'!$C19:$C33,D1,'数据-汇总表'!$E19:$E33))</f>
        <v>255.78</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88" t="s">
        <v>1770</v>
      </c>
      <c r="D4" s="3389"/>
      <c r="E4" s="3390" t="s">
        <v>1771</v>
      </c>
      <c r="F4" s="3391"/>
      <c r="G4" s="3388" t="s">
        <v>1772</v>
      </c>
      <c r="H4" s="3389"/>
      <c r="I4" s="3388" t="s">
        <v>1773</v>
      </c>
      <c r="J4" s="3389"/>
      <c r="K4" s="537" t="s">
        <v>1774</v>
      </c>
      <c r="L4" s="2486"/>
      <c r="M4" s="2487"/>
      <c r="N4" s="2487"/>
      <c r="O4" s="2487"/>
      <c r="P4" s="3392" t="s">
        <v>1775</v>
      </c>
      <c r="Q4" s="3393"/>
      <c r="R4" s="3398" t="s">
        <v>1771</v>
      </c>
      <c r="S4" s="3399"/>
      <c r="T4" s="3398" t="s">
        <v>1772</v>
      </c>
      <c r="U4" s="3399"/>
      <c r="V4" s="3371" t="s">
        <v>1773</v>
      </c>
      <c r="W4" s="3371"/>
      <c r="X4" s="1264"/>
      <c r="Y4" s="3398" t="s">
        <v>1775</v>
      </c>
      <c r="Z4" s="3399"/>
      <c r="AA4" s="3385" t="s">
        <v>1771</v>
      </c>
      <c r="AB4" s="3371" t="s">
        <v>1772</v>
      </c>
      <c r="AC4" s="3385" t="s">
        <v>1773</v>
      </c>
    </row>
    <row r="5" spans="1:29" ht="15">
      <c r="A5" s="348"/>
      <c r="B5" s="349"/>
      <c r="C5" s="3411" t="s">
        <v>1673</v>
      </c>
      <c r="D5" s="3407"/>
      <c r="E5" s="3414" t="s">
        <v>3477</v>
      </c>
      <c r="F5" s="3415"/>
      <c r="G5" s="3406" t="s">
        <v>3478</v>
      </c>
      <c r="H5" s="3407"/>
      <c r="I5" s="3406" t="s">
        <v>3479</v>
      </c>
      <c r="J5" s="3407"/>
      <c r="K5" s="537"/>
      <c r="L5" s="2486"/>
      <c r="M5" s="2487"/>
      <c r="N5" s="2487"/>
      <c r="O5" s="2487"/>
      <c r="P5" s="3394"/>
      <c r="Q5" s="3395"/>
      <c r="R5" s="3400"/>
      <c r="S5" s="3401"/>
      <c r="T5" s="3400"/>
      <c r="U5" s="3401"/>
      <c r="V5" s="3371"/>
      <c r="W5" s="3371"/>
      <c r="X5" s="1264"/>
      <c r="Y5" s="3400"/>
      <c r="Z5" s="3401"/>
      <c r="AA5" s="3386"/>
      <c r="AB5" s="3371"/>
      <c r="AC5" s="3386"/>
    </row>
    <row r="6" spans="1:29" ht="15.75" thickBot="1">
      <c r="A6" s="350"/>
      <c r="B6" s="351"/>
      <c r="C6" s="3404" t="s">
        <v>1677</v>
      </c>
      <c r="D6" s="3405"/>
      <c r="E6" s="3412" t="s">
        <v>1677</v>
      </c>
      <c r="F6" s="3413"/>
      <c r="G6" s="3404" t="s">
        <v>1677</v>
      </c>
      <c r="H6" s="3405"/>
      <c r="I6" s="3404" t="s">
        <v>1677</v>
      </c>
      <c r="J6" s="3405"/>
      <c r="K6" s="537" t="s">
        <v>1678</v>
      </c>
      <c r="L6" s="2486"/>
      <c r="M6" s="2487"/>
      <c r="N6" s="2487"/>
      <c r="O6" s="2487"/>
      <c r="P6" s="3396"/>
      <c r="Q6" s="3397"/>
      <c r="R6" s="3400"/>
      <c r="S6" s="3401"/>
      <c r="T6" s="3402"/>
      <c r="U6" s="3403"/>
      <c r="V6" s="3371"/>
      <c r="W6" s="3371"/>
      <c r="X6" s="1264"/>
      <c r="Y6" s="3402"/>
      <c r="Z6" s="3403"/>
      <c r="AA6" s="3387"/>
      <c r="AB6" s="3371"/>
      <c r="AC6" s="3387"/>
    </row>
    <row r="7" spans="1:29" s="102" customFormat="1" ht="15.75" thickBot="1">
      <c r="A7" s="352" t="s">
        <v>1679</v>
      </c>
      <c r="B7" s="353"/>
      <c r="C7" s="354">
        <f>'数据-取费表'!B2</f>
        <v>45696</v>
      </c>
      <c r="D7" s="355">
        <v>100</v>
      </c>
      <c r="E7" s="356">
        <f>C7</f>
        <v>45696</v>
      </c>
      <c r="F7" s="357">
        <f>SUMIF(58:58,YEAR(E7)&amp;"-"&amp;MONTH(E7),59:59)</f>
        <v>100</v>
      </c>
      <c r="G7" s="356">
        <f>C7</f>
        <v>45696</v>
      </c>
      <c r="H7" s="355">
        <f>SUMIF(58:58,YEAR(G7)&amp;"-"&amp;MONTH(G7),59:59)</f>
        <v>100</v>
      </c>
      <c r="I7" s="356">
        <f>C7</f>
        <v>45696</v>
      </c>
      <c r="J7" s="355">
        <f>SUMIF(58:58,YEAR(I7)&amp;"-"&amp;MONTH(I7),59:59)</f>
        <v>100</v>
      </c>
      <c r="K7" s="38"/>
      <c r="L7" s="2488"/>
      <c r="M7" s="2439"/>
      <c r="N7" s="2439"/>
      <c r="O7" s="2439"/>
      <c r="P7" s="3408" t="s">
        <v>1680</v>
      </c>
      <c r="Q7" s="3410"/>
      <c r="R7" s="663" t="s">
        <v>14</v>
      </c>
      <c r="S7" s="664">
        <f t="shared" ref="S7:S15" si="0">F7</f>
        <v>100</v>
      </c>
      <c r="T7" s="663" t="s">
        <v>14</v>
      </c>
      <c r="U7" s="664">
        <f t="shared" ref="U7:U15" si="1">H7</f>
        <v>100</v>
      </c>
      <c r="V7" s="663" t="s">
        <v>14</v>
      </c>
      <c r="W7" s="664">
        <f t="shared" ref="W7:W15" si="2">J7</f>
        <v>100</v>
      </c>
      <c r="X7" s="665"/>
      <c r="Y7" s="3408" t="s">
        <v>1680</v>
      </c>
      <c r="Z7" s="3409"/>
      <c r="AA7" s="50">
        <f>D7/F7</f>
        <v>1</v>
      </c>
      <c r="AB7" s="50">
        <f>D7/H7</f>
        <v>1</v>
      </c>
      <c r="AC7" s="50">
        <f>D7/J7</f>
        <v>1</v>
      </c>
    </row>
    <row r="8" spans="1:29" s="102" customFormat="1" ht="15.75" thickBot="1">
      <c r="A8" s="352" t="s">
        <v>1681</v>
      </c>
      <c r="B8" s="353"/>
      <c r="C8" s="358" t="s">
        <v>3441</v>
      </c>
      <c r="D8" s="355">
        <v>100</v>
      </c>
      <c r="E8" s="358" t="s">
        <v>3442</v>
      </c>
      <c r="F8" s="357">
        <f>SUMIF(61:61,E8,62:62)-SUMIF(61:61,C8,62:62)+100</f>
        <v>105</v>
      </c>
      <c r="G8" s="358" t="s">
        <v>3442</v>
      </c>
      <c r="H8" s="355">
        <f>SUMIF(61:61,G8,62:62)-SUMIF(61:61,C8,62:62)+100</f>
        <v>105</v>
      </c>
      <c r="I8" s="358" t="s">
        <v>3442</v>
      </c>
      <c r="J8" s="355">
        <f>SUMIF(61:61,I8,62:62)-SUMIF(61:61,C8,62:62)+100</f>
        <v>105</v>
      </c>
      <c r="K8" s="38"/>
      <c r="L8" s="2488"/>
      <c r="M8" s="2439"/>
      <c r="N8" s="2439"/>
      <c r="O8" s="2439"/>
      <c r="P8" s="3408" t="s">
        <v>1683</v>
      </c>
      <c r="Q8" s="3409"/>
      <c r="R8" s="663" t="s">
        <v>14</v>
      </c>
      <c r="S8" s="664">
        <f t="shared" si="0"/>
        <v>105</v>
      </c>
      <c r="T8" s="663" t="s">
        <v>14</v>
      </c>
      <c r="U8" s="664">
        <f t="shared" si="1"/>
        <v>105</v>
      </c>
      <c r="V8" s="663" t="s">
        <v>14</v>
      </c>
      <c r="W8" s="664">
        <f t="shared" si="2"/>
        <v>105</v>
      </c>
      <c r="X8" s="665"/>
      <c r="Y8" s="3408" t="s">
        <v>1683</v>
      </c>
      <c r="Z8" s="3409"/>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63" t="s">
        <v>3443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84" t="s">
        <v>1686</v>
      </c>
      <c r="Q9" s="530" t="str">
        <f t="shared" ref="Q9:Q15" si="6">B9</f>
        <v>用途</v>
      </c>
      <c r="R9" s="663" t="s">
        <v>14</v>
      </c>
      <c r="S9" s="664">
        <f t="shared" si="0"/>
        <v>100</v>
      </c>
      <c r="T9" s="663" t="s">
        <v>14</v>
      </c>
      <c r="U9" s="664">
        <f t="shared" si="1"/>
        <v>100</v>
      </c>
      <c r="V9" s="663" t="s">
        <v>14</v>
      </c>
      <c r="W9" s="664">
        <f t="shared" si="2"/>
        <v>100</v>
      </c>
      <c r="X9" s="665"/>
      <c r="Y9" s="3269" t="s">
        <v>1687</v>
      </c>
      <c r="Z9" s="50" t="str">
        <f t="shared" ref="Z9:Z15" si="7">Q9</f>
        <v>用途</v>
      </c>
      <c r="AA9" s="50">
        <f t="shared" si="3"/>
        <v>1</v>
      </c>
      <c r="AB9" s="50">
        <f t="shared" si="4"/>
        <v>1</v>
      </c>
      <c r="AC9" s="50">
        <f t="shared" si="5"/>
        <v>1</v>
      </c>
    </row>
    <row r="10" spans="1:29" s="366" customFormat="1" ht="27">
      <c r="A10" s="363"/>
      <c r="B10" s="364" t="s">
        <v>1688</v>
      </c>
      <c r="C10" s="3132" t="s">
        <v>3469</v>
      </c>
      <c r="D10" s="119">
        <v>100</v>
      </c>
      <c r="E10" s="3133" t="s">
        <v>3470</v>
      </c>
      <c r="F10" s="364">
        <f>SUMIF(65:65,E10,66:66)-SUMIF(65:65,C10,66:66)+100</f>
        <v>101</v>
      </c>
      <c r="G10" s="3132" t="s">
        <v>3471</v>
      </c>
      <c r="H10" s="119">
        <f>SUMIF(65:65,G10,66:66)-SUMIF(65:65,C10,66:66)+100</f>
        <v>102</v>
      </c>
      <c r="I10" s="3132" t="s">
        <v>3470</v>
      </c>
      <c r="J10" s="119">
        <f>SUMIF(65:65,I10,66:66)-SUMIF(65:65,C10,66:66)+100</f>
        <v>101</v>
      </c>
      <c r="K10" s="38"/>
      <c r="L10" s="2489"/>
      <c r="M10" s="2490"/>
      <c r="N10" s="2490"/>
      <c r="O10" s="2490"/>
      <c r="P10" s="3384"/>
      <c r="Q10" s="530" t="str">
        <f t="shared" si="6"/>
        <v>土地使用年限（年）</v>
      </c>
      <c r="R10" s="663" t="s">
        <v>14</v>
      </c>
      <c r="S10" s="664">
        <f t="shared" si="0"/>
        <v>101</v>
      </c>
      <c r="T10" s="663" t="s">
        <v>14</v>
      </c>
      <c r="U10" s="664">
        <f t="shared" si="1"/>
        <v>102</v>
      </c>
      <c r="V10" s="663" t="s">
        <v>14</v>
      </c>
      <c r="W10" s="664">
        <f t="shared" si="2"/>
        <v>101</v>
      </c>
      <c r="X10" s="665"/>
      <c r="Y10" s="3269"/>
      <c r="Z10" s="50" t="str">
        <f t="shared" si="7"/>
        <v>土地使用年限（年）</v>
      </c>
      <c r="AA10" s="50">
        <f t="shared" si="3"/>
        <v>0.99009900990099009</v>
      </c>
      <c r="AB10" s="50">
        <f t="shared" si="4"/>
        <v>0.98039215686274506</v>
      </c>
      <c r="AC10" s="50">
        <f t="shared" si="5"/>
        <v>0.99009900990099009</v>
      </c>
    </row>
    <row r="11" spans="1:29" ht="15">
      <c r="A11" s="367"/>
      <c r="B11" s="364" t="s">
        <v>1689</v>
      </c>
      <c r="C11" s="368">
        <v>1.53</v>
      </c>
      <c r="D11" s="119">
        <v>100</v>
      </c>
      <c r="E11" s="369">
        <v>2.5</v>
      </c>
      <c r="F11" s="364">
        <f>LOOKUP(E11,68:68,69:69)-LOOKUP(C11,68:68,69:69)+100</f>
        <v>100</v>
      </c>
      <c r="G11" s="368">
        <v>2.5</v>
      </c>
      <c r="H11" s="119">
        <f>LOOKUP(G11,68:68,69:69)-LOOKUP(C11,68:68,69:69)+100</f>
        <v>100</v>
      </c>
      <c r="I11" s="368">
        <v>3.9</v>
      </c>
      <c r="J11" s="119">
        <f>LOOKUP(I11,68:68,69:69)-LOOKUP(C11,68:68,69:69)+100</f>
        <v>100</v>
      </c>
      <c r="K11" s="538">
        <v>0</v>
      </c>
      <c r="L11" s="2491"/>
      <c r="M11" s="2487"/>
      <c r="N11" s="2487"/>
      <c r="O11" s="2487"/>
      <c r="P11" s="3384"/>
      <c r="Q11" s="530" t="str">
        <f t="shared" si="6"/>
        <v>容积率</v>
      </c>
      <c r="R11" s="663" t="s">
        <v>14</v>
      </c>
      <c r="S11" s="664">
        <f t="shared" si="0"/>
        <v>100</v>
      </c>
      <c r="T11" s="663" t="s">
        <v>14</v>
      </c>
      <c r="U11" s="664">
        <f t="shared" si="1"/>
        <v>100</v>
      </c>
      <c r="V11" s="663" t="s">
        <v>14</v>
      </c>
      <c r="W11" s="664">
        <f t="shared" si="2"/>
        <v>100</v>
      </c>
      <c r="X11" s="665"/>
      <c r="Y11" s="3269"/>
      <c r="Z11" s="50" t="str">
        <f t="shared" si="7"/>
        <v>容积率</v>
      </c>
      <c r="AA11" s="50">
        <f t="shared" si="3"/>
        <v>1</v>
      </c>
      <c r="AB11" s="50">
        <f t="shared" si="4"/>
        <v>1</v>
      </c>
      <c r="AC11" s="50">
        <f t="shared" si="5"/>
        <v>1</v>
      </c>
    </row>
    <row r="12" spans="1:29" s="102" customFormat="1" ht="15">
      <c r="A12" s="370"/>
      <c r="B12" s="3164" t="s">
        <v>3444</v>
      </c>
      <c r="C12" s="371">
        <v>2002</v>
      </c>
      <c r="D12" s="372">
        <v>100</v>
      </c>
      <c r="E12" s="373">
        <v>2010</v>
      </c>
      <c r="F12" s="364">
        <f>SUMIF(70:70,E12,71:71)-SUMIF(70:70,C12,71:71)+100</f>
        <v>100</v>
      </c>
      <c r="G12" s="373">
        <v>2016</v>
      </c>
      <c r="H12" s="119">
        <f>SUMIF(70:70,G12,71:71)-SUMIF(70:70,C12,71:71)+100</f>
        <v>100</v>
      </c>
      <c r="I12" s="373">
        <v>2012</v>
      </c>
      <c r="J12" s="119">
        <f>SUMIF(70:70,I12,71:71)-SUMIF(70:70,C12,71:71)+100</f>
        <v>100</v>
      </c>
      <c r="K12" s="539"/>
      <c r="L12" s="2488"/>
      <c r="M12" s="2439"/>
      <c r="N12" s="2439"/>
      <c r="O12" s="2439"/>
      <c r="P12" s="3384"/>
      <c r="Q12" s="530" t="str">
        <f t="shared" si="6"/>
        <v>建成年代</v>
      </c>
      <c r="R12" s="663" t="s">
        <v>14</v>
      </c>
      <c r="S12" s="664">
        <f t="shared" si="0"/>
        <v>100</v>
      </c>
      <c r="T12" s="663" t="s">
        <v>14</v>
      </c>
      <c r="U12" s="664">
        <f t="shared" si="1"/>
        <v>100</v>
      </c>
      <c r="V12" s="663" t="s">
        <v>14</v>
      </c>
      <c r="W12" s="664">
        <f t="shared" si="2"/>
        <v>100</v>
      </c>
      <c r="X12" s="665"/>
      <c r="Y12" s="3269"/>
      <c r="Z12" s="50" t="str">
        <f t="shared" si="7"/>
        <v>建成年代</v>
      </c>
      <c r="AA12" s="50">
        <f>D12/F12</f>
        <v>1</v>
      </c>
      <c r="AB12" s="50">
        <f>D12/H12</f>
        <v>1</v>
      </c>
      <c r="AC12" s="50">
        <f>D12/J12</f>
        <v>1</v>
      </c>
    </row>
    <row r="13" spans="1:29" ht="15.75" thickBot="1">
      <c r="A13" s="367"/>
      <c r="B13" s="3164" t="s">
        <v>3468</v>
      </c>
      <c r="C13" s="373">
        <f>40-(2025-C12)</f>
        <v>17</v>
      </c>
      <c r="D13" s="374">
        <v>100</v>
      </c>
      <c r="E13" s="373">
        <f>40-(2025-E12)</f>
        <v>25</v>
      </c>
      <c r="F13" s="364">
        <f>SUMIF(72:72,E13,73:73)-SUMIF(72:72,C13,73:73)+100</f>
        <v>100</v>
      </c>
      <c r="G13" s="373">
        <f>40-(2025-G12)</f>
        <v>31</v>
      </c>
      <c r="H13" s="374">
        <f>SUMIF(72:72,G13,73:73)-SUMIF(72:72,C13,73:73)+100</f>
        <v>100</v>
      </c>
      <c r="I13" s="373">
        <f>40-(2025-I12)</f>
        <v>27</v>
      </c>
      <c r="J13" s="374">
        <f>SUMIF(72:72,I13,73:73)-SUMIF(72:72,C13,73:73)+100</f>
        <v>100</v>
      </c>
      <c r="K13" s="539"/>
      <c r="L13" s="2492"/>
      <c r="M13" s="2487"/>
      <c r="N13" s="2487"/>
      <c r="O13" s="2487"/>
      <c r="P13" s="3384"/>
      <c r="Q13" s="530" t="str">
        <f t="shared" si="6"/>
        <v>土地剩余年限</v>
      </c>
      <c r="R13" s="663" t="s">
        <v>14</v>
      </c>
      <c r="S13" s="664">
        <f t="shared" si="0"/>
        <v>100</v>
      </c>
      <c r="T13" s="663" t="s">
        <v>14</v>
      </c>
      <c r="U13" s="664">
        <f t="shared" si="1"/>
        <v>100</v>
      </c>
      <c r="V13" s="663" t="s">
        <v>14</v>
      </c>
      <c r="W13" s="664">
        <f t="shared" si="2"/>
        <v>100</v>
      </c>
      <c r="X13" s="665"/>
      <c r="Y13" s="3269"/>
      <c r="Z13" s="50" t="str">
        <f t="shared" si="7"/>
        <v>土地剩余年限</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4"/>
      <c r="Q14" s="530">
        <f t="shared" si="6"/>
        <v>111</v>
      </c>
      <c r="R14" s="663" t="s">
        <v>14</v>
      </c>
      <c r="S14" s="664">
        <f t="shared" si="0"/>
        <v>100</v>
      </c>
      <c r="T14" s="663" t="s">
        <v>14</v>
      </c>
      <c r="U14" s="664">
        <f t="shared" si="1"/>
        <v>100</v>
      </c>
      <c r="V14" s="663" t="s">
        <v>14</v>
      </c>
      <c r="W14" s="664">
        <f t="shared" si="2"/>
        <v>100</v>
      </c>
      <c r="X14" s="665"/>
      <c r="Y14" s="326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98</v>
      </c>
      <c r="G15" s="383"/>
      <c r="H15" s="380">
        <f>SUMIF(76:76,G16,77:77)-SUMIF(76:76,C16,77:77)+100</f>
        <v>100</v>
      </c>
      <c r="I15" s="381"/>
      <c r="J15" s="380">
        <f>SUMIF(76:76,I16,77:77)-SUMIF(76:76,C16,77:77)+100</f>
        <v>100</v>
      </c>
      <c r="K15" s="540">
        <v>2</v>
      </c>
      <c r="L15" s="2492"/>
      <c r="M15" s="2487"/>
      <c r="N15" s="2487"/>
      <c r="O15" s="2487"/>
      <c r="P15" s="3375" t="s">
        <v>1691</v>
      </c>
      <c r="Q15" s="1262" t="str">
        <f t="shared" si="6"/>
        <v>商业繁华度</v>
      </c>
      <c r="R15" s="666" t="s">
        <v>14</v>
      </c>
      <c r="S15" s="667">
        <f t="shared" si="0"/>
        <v>98</v>
      </c>
      <c r="T15" s="666" t="s">
        <v>14</v>
      </c>
      <c r="U15" s="667">
        <f t="shared" si="1"/>
        <v>100</v>
      </c>
      <c r="V15" s="666" t="s">
        <v>14</v>
      </c>
      <c r="W15" s="667">
        <f t="shared" si="2"/>
        <v>100</v>
      </c>
      <c r="X15" s="1264"/>
      <c r="Y15" s="3377" t="s">
        <v>1691</v>
      </c>
      <c r="Z15" s="1263" t="str">
        <f t="shared" si="7"/>
        <v>商业繁华度</v>
      </c>
      <c r="AA15" s="1263">
        <f t="shared" si="3"/>
        <v>1.0204081632653061</v>
      </c>
      <c r="AB15" s="1263">
        <f t="shared" si="4"/>
        <v>1</v>
      </c>
      <c r="AC15" s="1263">
        <f t="shared" si="5"/>
        <v>1</v>
      </c>
    </row>
    <row r="16" spans="1:29" ht="15">
      <c r="A16" s="367"/>
      <c r="B16" s="385"/>
      <c r="C16" s="386" t="s">
        <v>3404</v>
      </c>
      <c r="D16" s="387"/>
      <c r="E16" s="386" t="s">
        <v>3405</v>
      </c>
      <c r="F16" s="388"/>
      <c r="G16" s="386" t="s">
        <v>3404</v>
      </c>
      <c r="H16" s="389"/>
      <c r="I16" s="386" t="s">
        <v>3404</v>
      </c>
      <c r="J16" s="387"/>
      <c r="K16" s="541"/>
      <c r="L16" s="2492"/>
      <c r="M16" s="2487"/>
      <c r="N16" s="2487"/>
      <c r="O16" s="2487"/>
      <c r="P16" s="3376"/>
      <c r="Q16" s="1262"/>
      <c r="R16" s="666"/>
      <c r="S16" s="667"/>
      <c r="T16" s="666"/>
      <c r="U16" s="667"/>
      <c r="V16" s="666"/>
      <c r="W16" s="667"/>
      <c r="X16" s="1264"/>
      <c r="Y16" s="3378"/>
      <c r="Z16" s="1263"/>
      <c r="AA16" s="1263">
        <v>1</v>
      </c>
      <c r="AB16" s="1263">
        <v>1</v>
      </c>
      <c r="AC16" s="1263">
        <v>1</v>
      </c>
    </row>
    <row r="17" spans="1:29" ht="15">
      <c r="A17" s="367"/>
      <c r="B17" s="390" t="s">
        <v>1259</v>
      </c>
      <c r="C17" s="1753">
        <f>估价对象房地状况!C6</f>
        <v>0</v>
      </c>
      <c r="D17" s="389">
        <v>100</v>
      </c>
      <c r="E17" s="391"/>
      <c r="F17" s="392">
        <f>SUMIF(78:78,E18,79:79)-SUMIF(78:78,C18,79:79)+100</f>
        <v>102</v>
      </c>
      <c r="G17" s="393"/>
      <c r="H17" s="394">
        <f>SUMIF(78:78,G18,79:79)-SUMIF(78:78,C18,79:79)+100</f>
        <v>102</v>
      </c>
      <c r="I17" s="391"/>
      <c r="J17" s="394">
        <f>SUMIF(78:78,I18,79:79)-SUMIF(78:78,C18,79:79)+100</f>
        <v>102</v>
      </c>
      <c r="K17" s="540">
        <v>2</v>
      </c>
      <c r="L17" s="2492"/>
      <c r="M17" s="2487"/>
      <c r="N17" s="2487"/>
      <c r="O17" s="2487"/>
      <c r="P17" s="3376"/>
      <c r="Q17" s="1262" t="str">
        <f>B17</f>
        <v>交通便捷度</v>
      </c>
      <c r="R17" s="666" t="s">
        <v>14</v>
      </c>
      <c r="S17" s="667">
        <f>F17</f>
        <v>102</v>
      </c>
      <c r="T17" s="666" t="s">
        <v>14</v>
      </c>
      <c r="U17" s="667">
        <f>H17</f>
        <v>102</v>
      </c>
      <c r="V17" s="666" t="s">
        <v>14</v>
      </c>
      <c r="W17" s="667">
        <f>J17</f>
        <v>102</v>
      </c>
      <c r="X17" s="1264"/>
      <c r="Y17" s="3378"/>
      <c r="Z17" s="1263" t="str">
        <f>Q17</f>
        <v>交通便捷度</v>
      </c>
      <c r="AA17" s="1263">
        <f t="shared" si="3"/>
        <v>0.98039215686274506</v>
      </c>
      <c r="AB17" s="1263">
        <f t="shared" si="4"/>
        <v>0.98039215686274506</v>
      </c>
      <c r="AC17" s="1263">
        <f t="shared" si="5"/>
        <v>0.98039215686274506</v>
      </c>
    </row>
    <row r="18" spans="1:29" ht="15">
      <c r="A18" s="367"/>
      <c r="B18" s="395"/>
      <c r="C18" s="1754" t="s">
        <v>3405</v>
      </c>
      <c r="D18" s="389"/>
      <c r="E18" s="1756" t="s">
        <v>3404</v>
      </c>
      <c r="F18" s="392"/>
      <c r="G18" s="1756" t="s">
        <v>3404</v>
      </c>
      <c r="H18" s="387"/>
      <c r="I18" s="1756" t="s">
        <v>3404</v>
      </c>
      <c r="J18" s="387"/>
      <c r="K18" s="541"/>
      <c r="L18" s="2492"/>
      <c r="M18" s="2487"/>
      <c r="N18" s="2487"/>
      <c r="O18" s="2487"/>
      <c r="P18" s="3376"/>
      <c r="Q18" s="1262"/>
      <c r="R18" s="666"/>
      <c r="S18" s="667"/>
      <c r="T18" s="666"/>
      <c r="U18" s="667"/>
      <c r="V18" s="666"/>
      <c r="W18" s="667"/>
      <c r="X18" s="1264"/>
      <c r="Y18" s="3378"/>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76"/>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263">
        <f t="shared" si="5"/>
        <v>1</v>
      </c>
    </row>
    <row r="20" spans="1:29" ht="15">
      <c r="A20" s="367"/>
      <c r="B20" s="395"/>
      <c r="C20" s="1756" t="s">
        <v>3404</v>
      </c>
      <c r="D20" s="387"/>
      <c r="E20" s="1756" t="s">
        <v>3404</v>
      </c>
      <c r="F20" s="388"/>
      <c r="G20" s="1756" t="s">
        <v>3404</v>
      </c>
      <c r="H20" s="387"/>
      <c r="I20" s="1756" t="s">
        <v>3404</v>
      </c>
      <c r="J20" s="387"/>
      <c r="K20" s="541"/>
      <c r="L20" s="2492"/>
      <c r="M20" s="2487"/>
      <c r="N20" s="2487"/>
      <c r="O20" s="2487"/>
      <c r="P20" s="3376"/>
      <c r="Q20" s="1262"/>
      <c r="R20" s="666"/>
      <c r="S20" s="667"/>
      <c r="T20" s="666"/>
      <c r="U20" s="667"/>
      <c r="V20" s="666"/>
      <c r="W20" s="667"/>
      <c r="X20" s="1264"/>
      <c r="Y20" s="3378"/>
      <c r="Z20" s="1263"/>
      <c r="AA20" s="1263">
        <v>1</v>
      </c>
      <c r="AB20" s="1263">
        <v>1</v>
      </c>
      <c r="AC20" s="1263">
        <v>1</v>
      </c>
    </row>
    <row r="21" spans="1:29" ht="15">
      <c r="A21" s="367"/>
      <c r="B21" s="585"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76"/>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7"/>
      <c r="B22" s="585"/>
      <c r="C22" s="1754" t="s">
        <v>3429</v>
      </c>
      <c r="D22" s="387"/>
      <c r="E22" s="1754" t="s">
        <v>3429</v>
      </c>
      <c r="F22" s="388"/>
      <c r="G22" s="1754" t="s">
        <v>3429</v>
      </c>
      <c r="H22" s="387"/>
      <c r="I22" s="1754" t="s">
        <v>3429</v>
      </c>
      <c r="J22" s="387"/>
      <c r="K22" s="1063"/>
      <c r="L22" s="2492"/>
      <c r="M22" s="2487"/>
      <c r="N22" s="2487"/>
      <c r="O22" s="2487"/>
      <c r="P22" s="3376"/>
      <c r="Q22" s="1262"/>
      <c r="R22" s="666"/>
      <c r="S22" s="667"/>
      <c r="T22" s="666"/>
      <c r="U22" s="667"/>
      <c r="V22" s="666"/>
      <c r="W22" s="667"/>
      <c r="X22" s="1264"/>
      <c r="Y22" s="3378"/>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76"/>
      <c r="Q23" s="1262" t="str">
        <f>B23</f>
        <v>自然及人文环境</v>
      </c>
      <c r="R23" s="666" t="s">
        <v>14</v>
      </c>
      <c r="S23" s="667">
        <f>F23</f>
        <v>100</v>
      </c>
      <c r="T23" s="666" t="s">
        <v>14</v>
      </c>
      <c r="U23" s="667">
        <f>H23</f>
        <v>100</v>
      </c>
      <c r="V23" s="666" t="s">
        <v>14</v>
      </c>
      <c r="W23" s="667">
        <f>J23</f>
        <v>100</v>
      </c>
      <c r="X23" s="1264"/>
      <c r="Y23" s="3378"/>
      <c r="Z23" s="1263" t="str">
        <f>Q23</f>
        <v>自然及人文环境</v>
      </c>
      <c r="AA23" s="1263">
        <f t="shared" si="3"/>
        <v>1</v>
      </c>
      <c r="AB23" s="1263">
        <f t="shared" si="4"/>
        <v>1</v>
      </c>
      <c r="AC23" s="1263">
        <f t="shared" si="5"/>
        <v>1</v>
      </c>
    </row>
    <row r="24" spans="1:29" ht="15">
      <c r="A24" s="367"/>
      <c r="B24" s="395"/>
      <c r="C24" s="386" t="s">
        <v>3404</v>
      </c>
      <c r="D24" s="387"/>
      <c r="E24" s="1751" t="s">
        <v>3404</v>
      </c>
      <c r="F24" s="388"/>
      <c r="G24" s="1751" t="s">
        <v>3404</v>
      </c>
      <c r="H24" s="387"/>
      <c r="I24" s="1751" t="s">
        <v>3404</v>
      </c>
      <c r="J24" s="387"/>
      <c r="K24" s="541"/>
      <c r="L24" s="2492"/>
      <c r="M24" s="2487"/>
      <c r="N24" s="2487"/>
      <c r="O24" s="2487"/>
      <c r="P24" s="3376"/>
      <c r="Q24" s="1262"/>
      <c r="R24" s="666"/>
      <c r="S24" s="667"/>
      <c r="T24" s="666"/>
      <c r="U24" s="667"/>
      <c r="V24" s="666"/>
      <c r="W24" s="667"/>
      <c r="X24" s="1264"/>
      <c r="Y24" s="3378"/>
      <c r="Z24" s="1263"/>
      <c r="AA24" s="1263">
        <v>1</v>
      </c>
      <c r="AB24" s="1263">
        <v>1</v>
      </c>
      <c r="AC24" s="1263">
        <v>1</v>
      </c>
    </row>
    <row r="25" spans="1:29" ht="15">
      <c r="A25" s="367"/>
      <c r="B25" s="364" t="s">
        <v>1780</v>
      </c>
      <c r="C25" s="542" t="s">
        <v>3412</v>
      </c>
      <c r="D25" s="374">
        <v>100</v>
      </c>
      <c r="E25" s="542" t="s">
        <v>3412</v>
      </c>
      <c r="F25" s="400">
        <f>SUMIF(86:86,E25,87:87)-SUMIF(86:86,C25,87:87)+100</f>
        <v>100</v>
      </c>
      <c r="G25" s="542" t="s">
        <v>3412</v>
      </c>
      <c r="H25" s="374">
        <f>SUMIF(86:86,G25,87:87)-SUMIF(86:86,C25,87:87)+100</f>
        <v>100</v>
      </c>
      <c r="I25" s="542" t="s">
        <v>3412</v>
      </c>
      <c r="J25" s="374">
        <f>SUMIF(86:86,I25,87:87)-SUMIF(86:86,C25,87:87)+100</f>
        <v>100</v>
      </c>
      <c r="K25" s="538">
        <v>2</v>
      </c>
      <c r="L25" s="2492"/>
      <c r="M25" s="2487"/>
      <c r="N25" s="2487"/>
      <c r="O25" s="2487"/>
      <c r="P25" s="3376"/>
      <c r="Q25" s="1262" t="str">
        <f t="shared" ref="Q25:Q46" si="11">B25</f>
        <v>临街状况</v>
      </c>
      <c r="R25" s="666" t="s">
        <v>14</v>
      </c>
      <c r="S25" s="667">
        <f>F25</f>
        <v>100</v>
      </c>
      <c r="T25" s="666" t="s">
        <v>14</v>
      </c>
      <c r="U25" s="667">
        <f>H25</f>
        <v>100</v>
      </c>
      <c r="V25" s="666" t="s">
        <v>14</v>
      </c>
      <c r="W25" s="667">
        <f>J25</f>
        <v>100</v>
      </c>
      <c r="X25" s="1264"/>
      <c r="Y25" s="3378"/>
      <c r="Z25" s="1263" t="str">
        <f>Q25</f>
        <v>临街状况</v>
      </c>
      <c r="AA25" s="1263">
        <f t="shared" si="3"/>
        <v>1</v>
      </c>
      <c r="AB25" s="1263">
        <f t="shared" si="4"/>
        <v>1</v>
      </c>
      <c r="AC25" s="1263">
        <f t="shared" si="5"/>
        <v>1</v>
      </c>
    </row>
    <row r="26" spans="1:29" ht="15">
      <c r="A26" s="367"/>
      <c r="B26" s="1065" t="s">
        <v>1781</v>
      </c>
      <c r="C26" s="3165" t="s">
        <v>3445</v>
      </c>
      <c r="D26" s="374">
        <v>100</v>
      </c>
      <c r="E26" s="3165" t="s">
        <v>3445</v>
      </c>
      <c r="F26" s="400">
        <f>SUMIF(88:88,E26,89:89)-SUMIF(88:88,C26,89:89)+100</f>
        <v>100</v>
      </c>
      <c r="G26" s="3165" t="s">
        <v>3445</v>
      </c>
      <c r="H26" s="374">
        <f>SUMIF(88:88,G26,89:89)-SUMIF(88:88,C26,89:89)+100</f>
        <v>100</v>
      </c>
      <c r="I26" s="3165" t="s">
        <v>3445</v>
      </c>
      <c r="J26" s="374">
        <f>SUMIF(88:88,I26,89:89)-SUMIF(88:88,C26,89:89)+100</f>
        <v>100</v>
      </c>
      <c r="K26" s="539"/>
      <c r="L26" s="2492"/>
      <c r="M26" s="2487"/>
      <c r="N26" s="2487"/>
      <c r="O26" s="2487"/>
      <c r="P26" s="3376"/>
      <c r="Q26" s="1262" t="str">
        <f t="shared" si="11"/>
        <v>平面位置/可视性</v>
      </c>
      <c r="R26" s="666" t="s">
        <v>14</v>
      </c>
      <c r="S26" s="667">
        <f>F26</f>
        <v>100</v>
      </c>
      <c r="T26" s="666" t="s">
        <v>14</v>
      </c>
      <c r="U26" s="667">
        <f>H26</f>
        <v>100</v>
      </c>
      <c r="V26" s="666" t="s">
        <v>14</v>
      </c>
      <c r="W26" s="667">
        <f>J26</f>
        <v>100</v>
      </c>
      <c r="X26" s="1264"/>
      <c r="Y26" s="3378"/>
      <c r="Z26" s="1263" t="str">
        <f>Q26</f>
        <v>平面位置/可视性</v>
      </c>
      <c r="AA26" s="1263">
        <f t="shared" si="3"/>
        <v>1</v>
      </c>
      <c r="AB26" s="1263">
        <f t="shared" si="4"/>
        <v>1</v>
      </c>
      <c r="AC26" s="1263">
        <f t="shared" si="5"/>
        <v>1</v>
      </c>
    </row>
    <row r="27" spans="1:29" s="102" customFormat="1" ht="15">
      <c r="A27" s="370"/>
      <c r="B27" s="390" t="s">
        <v>1782</v>
      </c>
      <c r="C27" s="1806" t="s">
        <v>3417</v>
      </c>
      <c r="D27" s="401">
        <v>100</v>
      </c>
      <c r="E27" s="1806" t="s">
        <v>3405</v>
      </c>
      <c r="F27" s="395">
        <f>SUMIF(90:90,E27,91:91)-SUMIF(90:90,C27,91:91)+100</f>
        <v>98</v>
      </c>
      <c r="G27" s="1806" t="s">
        <v>3417</v>
      </c>
      <c r="H27" s="401">
        <f>SUMIF(90:90,G27,91:91)-SUMIF(90:90,C27,91:91)+100</f>
        <v>100</v>
      </c>
      <c r="I27" s="1806" t="s">
        <v>3417</v>
      </c>
      <c r="J27" s="401">
        <f>SUMIF(90:90,I27,91:91)-SUMIF(90:90,C27,91:91)+100</f>
        <v>100</v>
      </c>
      <c r="K27" s="538">
        <v>2</v>
      </c>
      <c r="L27" s="2488"/>
      <c r="M27" s="2439"/>
      <c r="N27" s="2439"/>
      <c r="O27" s="2439"/>
      <c r="P27" s="3376"/>
      <c r="Q27" s="530" t="str">
        <f t="shared" si="11"/>
        <v>人流量</v>
      </c>
      <c r="R27" s="663" t="s">
        <v>14</v>
      </c>
      <c r="S27" s="664">
        <f>F27</f>
        <v>98</v>
      </c>
      <c r="T27" s="663" t="s">
        <v>14</v>
      </c>
      <c r="U27" s="664">
        <f>H27</f>
        <v>100</v>
      </c>
      <c r="V27" s="663" t="s">
        <v>14</v>
      </c>
      <c r="W27" s="664">
        <f>J27</f>
        <v>100</v>
      </c>
      <c r="X27" s="665"/>
      <c r="Y27" s="3378"/>
      <c r="Z27" s="50" t="str">
        <f>Q27</f>
        <v>人流量</v>
      </c>
      <c r="AA27" s="1263">
        <f>D27/F27</f>
        <v>1.0204081632653061</v>
      </c>
      <c r="AB27" s="1263">
        <f>D27/H27</f>
        <v>1</v>
      </c>
      <c r="AC27" s="1263">
        <f>D27/J27</f>
        <v>1</v>
      </c>
    </row>
    <row r="28" spans="1:29" ht="15.75" thickBot="1">
      <c r="A28" s="367"/>
      <c r="B28" s="3179" t="s">
        <v>1783</v>
      </c>
      <c r="C28" s="542" t="s">
        <v>3450</v>
      </c>
      <c r="D28" s="374">
        <v>100</v>
      </c>
      <c r="E28" s="542" t="s">
        <v>3420</v>
      </c>
      <c r="F28" s="400">
        <f>SUMIF(92:92,E28,93:93)-SUMIF(92:92,C28,93:93)+100</f>
        <v>118</v>
      </c>
      <c r="G28" s="542" t="s">
        <v>3420</v>
      </c>
      <c r="H28" s="374">
        <f>SUMIF(92:92,G28,93:93)-SUMIF(92:92,C28,93:93)+100</f>
        <v>118</v>
      </c>
      <c r="I28" s="542" t="s">
        <v>3420</v>
      </c>
      <c r="J28" s="374">
        <f>SUMIF(92:92,I28,93:93)-SUMIF(92:92,C28,93:93)+100</f>
        <v>118</v>
      </c>
      <c r="K28" s="539"/>
      <c r="L28" s="2492"/>
      <c r="M28" s="2487"/>
      <c r="N28" s="2487"/>
      <c r="O28" s="2487"/>
      <c r="P28" s="3376"/>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378"/>
      <c r="Z28" s="1263" t="str">
        <f t="shared" ref="Z28:Z46" si="15">Q28</f>
        <v>楼层</v>
      </c>
      <c r="AA28" s="1263">
        <f t="shared" si="3"/>
        <v>0.84745762711864403</v>
      </c>
      <c r="AB28" s="1263">
        <f t="shared" si="4"/>
        <v>0.84745762711864403</v>
      </c>
      <c r="AC28" s="1263">
        <f t="shared" si="5"/>
        <v>0.84745762711864403</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6"/>
      <c r="Q29" s="1262">
        <f t="shared" si="11"/>
        <v>111</v>
      </c>
      <c r="R29" s="666" t="s">
        <v>14</v>
      </c>
      <c r="S29" s="667">
        <f t="shared" si="12"/>
        <v>100</v>
      </c>
      <c r="T29" s="666" t="s">
        <v>14</v>
      </c>
      <c r="U29" s="667">
        <f t="shared" si="13"/>
        <v>100</v>
      </c>
      <c r="V29" s="666" t="s">
        <v>14</v>
      </c>
      <c r="W29" s="667">
        <f t="shared" si="14"/>
        <v>100</v>
      </c>
      <c r="X29" s="1264"/>
      <c r="Y29" s="3378"/>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6"/>
      <c r="Q30" s="1262">
        <f t="shared" si="11"/>
        <v>111</v>
      </c>
      <c r="R30" s="666" t="s">
        <v>14</v>
      </c>
      <c r="S30" s="667">
        <f t="shared" si="12"/>
        <v>100</v>
      </c>
      <c r="T30" s="666" t="s">
        <v>14</v>
      </c>
      <c r="U30" s="667">
        <f t="shared" si="13"/>
        <v>100</v>
      </c>
      <c r="V30" s="666" t="s">
        <v>14</v>
      </c>
      <c r="W30" s="667">
        <f t="shared" si="14"/>
        <v>100</v>
      </c>
      <c r="X30" s="1264"/>
      <c r="Y30" s="3378"/>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6"/>
      <c r="Q31" s="1262">
        <f t="shared" si="11"/>
        <v>111</v>
      </c>
      <c r="R31" s="666" t="s">
        <v>14</v>
      </c>
      <c r="S31" s="667">
        <f t="shared" si="12"/>
        <v>100</v>
      </c>
      <c r="T31" s="666" t="s">
        <v>14</v>
      </c>
      <c r="U31" s="667">
        <f t="shared" si="13"/>
        <v>100</v>
      </c>
      <c r="V31" s="666" t="s">
        <v>14</v>
      </c>
      <c r="W31" s="667">
        <f t="shared" si="14"/>
        <v>100</v>
      </c>
      <c r="X31" s="1264"/>
      <c r="Y31" s="3378"/>
      <c r="Z31" s="1263">
        <f t="shared" si="15"/>
        <v>111</v>
      </c>
      <c r="AA31" s="1263">
        <f t="shared" si="3"/>
        <v>1</v>
      </c>
      <c r="AB31" s="1263">
        <f t="shared" si="4"/>
        <v>1</v>
      </c>
      <c r="AC31" s="1263">
        <f t="shared" si="5"/>
        <v>1</v>
      </c>
    </row>
    <row r="32" spans="1:29" ht="15">
      <c r="A32" s="379" t="s">
        <v>1694</v>
      </c>
      <c r="B32" s="60" t="s">
        <v>1784</v>
      </c>
      <c r="C32" s="1763" t="s">
        <v>3424</v>
      </c>
      <c r="D32" s="405">
        <v>100</v>
      </c>
      <c r="E32" s="1763" t="s">
        <v>3424</v>
      </c>
      <c r="F32" s="400">
        <f>SUMIF(100:100,E32,101:101)-SUMIF(100:100,C32,101:101)+100</f>
        <v>100</v>
      </c>
      <c r="G32" s="1763" t="s">
        <v>3425</v>
      </c>
      <c r="H32" s="374">
        <f>SUMIF(100:100,G32,101:101)-SUMIF(100:100,C32,101:101)+100</f>
        <v>98</v>
      </c>
      <c r="I32" s="1763" t="s">
        <v>3424</v>
      </c>
      <c r="J32" s="405">
        <f>SUMIF(100:100,I32,101:101)-SUMIF(100:100,C32,101:101)+100</f>
        <v>100</v>
      </c>
      <c r="K32" s="538">
        <v>2</v>
      </c>
      <c r="L32" s="2492"/>
      <c r="M32" s="2487"/>
      <c r="N32" s="2487"/>
      <c r="O32" s="2487"/>
      <c r="P32" s="3379" t="s">
        <v>1696</v>
      </c>
      <c r="Q32" s="1262" t="str">
        <f t="shared" si="11"/>
        <v>商业类型</v>
      </c>
      <c r="R32" s="666" t="s">
        <v>14</v>
      </c>
      <c r="S32" s="667">
        <f t="shared" si="12"/>
        <v>100</v>
      </c>
      <c r="T32" s="666" t="s">
        <v>14</v>
      </c>
      <c r="U32" s="667">
        <f t="shared" si="13"/>
        <v>98</v>
      </c>
      <c r="V32" s="666" t="s">
        <v>14</v>
      </c>
      <c r="W32" s="667">
        <f t="shared" si="14"/>
        <v>100</v>
      </c>
      <c r="X32" s="1264"/>
      <c r="Y32" s="3382" t="s">
        <v>1696</v>
      </c>
      <c r="Z32" s="1263" t="str">
        <f t="shared" si="15"/>
        <v>商业类型</v>
      </c>
      <c r="AA32" s="1263">
        <f t="shared" si="3"/>
        <v>1</v>
      </c>
      <c r="AB32" s="1263">
        <f t="shared" si="4"/>
        <v>1.0204081632653061</v>
      </c>
      <c r="AC32" s="1263">
        <f t="shared" si="5"/>
        <v>1</v>
      </c>
    </row>
    <row r="33" spans="1:29" s="408" customFormat="1" ht="15">
      <c r="A33" s="406"/>
      <c r="B33" s="3179" t="s">
        <v>1697</v>
      </c>
      <c r="C33" s="407">
        <f>'数据-汇总表'!E3</f>
        <v>255.78</v>
      </c>
      <c r="D33" s="119">
        <v>100</v>
      </c>
      <c r="E33" s="407">
        <v>58.26</v>
      </c>
      <c r="F33" s="364">
        <f>LOOKUP(E33,103:103,104:104)-LOOKUP(C33,103:103,104:104)+100</f>
        <v>102</v>
      </c>
      <c r="G33" s="407">
        <v>186</v>
      </c>
      <c r="H33" s="119">
        <f>LOOKUP(G33,103:103,104:104)-LOOKUP(C33,103:103,104:104)+100</f>
        <v>101</v>
      </c>
      <c r="I33" s="407">
        <v>190.35</v>
      </c>
      <c r="J33" s="119">
        <f>LOOKUP(I33,103:103,104:104)-LOOKUP(C33,103:103,104:104)+100</f>
        <v>101</v>
      </c>
      <c r="K33" s="539"/>
      <c r="L33" s="2491"/>
      <c r="M33" s="2493"/>
      <c r="N33" s="2493"/>
      <c r="O33" s="2493"/>
      <c r="P33" s="3380"/>
      <c r="Q33" s="531" t="str">
        <f t="shared" si="11"/>
        <v>项目建筑规模</v>
      </c>
      <c r="R33" s="668" t="s">
        <v>14</v>
      </c>
      <c r="S33" s="669">
        <f t="shared" si="12"/>
        <v>102</v>
      </c>
      <c r="T33" s="668" t="s">
        <v>14</v>
      </c>
      <c r="U33" s="669">
        <f t="shared" si="13"/>
        <v>101</v>
      </c>
      <c r="V33" s="668" t="s">
        <v>14</v>
      </c>
      <c r="W33" s="669">
        <f t="shared" si="14"/>
        <v>101</v>
      </c>
      <c r="X33" s="670"/>
      <c r="Y33" s="3382"/>
      <c r="Z33" s="671" t="str">
        <f t="shared" si="15"/>
        <v>项目建筑规模</v>
      </c>
      <c r="AA33" s="1263">
        <f t="shared" si="3"/>
        <v>0.98039215686274506</v>
      </c>
      <c r="AB33" s="1263">
        <f t="shared" si="4"/>
        <v>0.99009900990099009</v>
      </c>
      <c r="AC33" s="1263">
        <f t="shared" si="5"/>
        <v>0.99009900990099009</v>
      </c>
    </row>
    <row r="34" spans="1:29" ht="15">
      <c r="A34" s="409"/>
      <c r="B34" s="364" t="s">
        <v>1698</v>
      </c>
      <c r="C34" s="3174" t="s">
        <v>3426</v>
      </c>
      <c r="D34" s="374">
        <v>100</v>
      </c>
      <c r="E34" s="399" t="s">
        <v>3426</v>
      </c>
      <c r="F34" s="400">
        <f>SUMIF(105:105,E34,106:106)-SUMIF(105:105,C34,106:106)+100</f>
        <v>100</v>
      </c>
      <c r="G34" s="399" t="s">
        <v>3426</v>
      </c>
      <c r="H34" s="374">
        <f>SUMIF(105:105,G34,106:106)-SUMIF(105:105,C34,106:106)+100</f>
        <v>100</v>
      </c>
      <c r="I34" s="399" t="s">
        <v>3426</v>
      </c>
      <c r="J34" s="374">
        <f>SUMIF(105:105,I34,106:106)-SUMIF(105:105,C34,106:106)+100</f>
        <v>100</v>
      </c>
      <c r="K34" s="538">
        <v>2</v>
      </c>
      <c r="L34" s="2492"/>
      <c r="M34" s="2487"/>
      <c r="N34" s="2487"/>
      <c r="O34" s="2487"/>
      <c r="P34" s="3380"/>
      <c r="Q34" s="1262" t="str">
        <f t="shared" si="11"/>
        <v>建筑结构</v>
      </c>
      <c r="R34" s="666" t="s">
        <v>14</v>
      </c>
      <c r="S34" s="667">
        <f t="shared" si="12"/>
        <v>100</v>
      </c>
      <c r="T34" s="666" t="s">
        <v>14</v>
      </c>
      <c r="U34" s="667">
        <f t="shared" si="13"/>
        <v>100</v>
      </c>
      <c r="V34" s="666" t="s">
        <v>14</v>
      </c>
      <c r="W34" s="667">
        <f t="shared" si="14"/>
        <v>100</v>
      </c>
      <c r="X34" s="1264"/>
      <c r="Y34" s="3382"/>
      <c r="Z34" s="1263" t="str">
        <f t="shared" si="15"/>
        <v>建筑结构</v>
      </c>
      <c r="AA34" s="1263">
        <f t="shared" si="3"/>
        <v>1</v>
      </c>
      <c r="AB34" s="1263">
        <f t="shared" si="4"/>
        <v>1</v>
      </c>
      <c r="AC34" s="1263">
        <f t="shared" si="5"/>
        <v>1</v>
      </c>
    </row>
    <row r="35" spans="1:29" ht="15">
      <c r="A35" s="409"/>
      <c r="B35" s="364" t="s">
        <v>1785</v>
      </c>
      <c r="C35" s="1759" t="s">
        <v>3428</v>
      </c>
      <c r="D35" s="374">
        <v>100</v>
      </c>
      <c r="E35" s="1759" t="s">
        <v>3428</v>
      </c>
      <c r="F35" s="400">
        <f>SUMIF(107:107,E35,108:108)-SUMIF(107:107,C35,108:108)+100</f>
        <v>100</v>
      </c>
      <c r="G35" s="1759" t="s">
        <v>3428</v>
      </c>
      <c r="H35" s="374">
        <f>SUMIF(107:107,G35,108:108)-SUMIF(107:107,C35,108:108)+100</f>
        <v>100</v>
      </c>
      <c r="I35" s="1759" t="s">
        <v>3428</v>
      </c>
      <c r="J35" s="374">
        <f>SUMIF(107:107,I35,108:108)-SUMIF(107:107,C35,108:108)+100</f>
        <v>100</v>
      </c>
      <c r="K35" s="538">
        <v>1</v>
      </c>
      <c r="L35" s="2492"/>
      <c r="M35" s="2487"/>
      <c r="N35" s="2487"/>
      <c r="O35" s="2487"/>
      <c r="P35" s="3380"/>
      <c r="Q35" s="1262" t="str">
        <f t="shared" si="11"/>
        <v>公共部分装修</v>
      </c>
      <c r="R35" s="666" t="s">
        <v>14</v>
      </c>
      <c r="S35" s="667">
        <f t="shared" si="12"/>
        <v>100</v>
      </c>
      <c r="T35" s="666" t="s">
        <v>14</v>
      </c>
      <c r="U35" s="667">
        <f t="shared" si="13"/>
        <v>100</v>
      </c>
      <c r="V35" s="666" t="s">
        <v>14</v>
      </c>
      <c r="W35" s="667">
        <f t="shared" si="14"/>
        <v>100</v>
      </c>
      <c r="X35" s="1264"/>
      <c r="Y35" s="3382"/>
      <c r="Z35" s="1263" t="str">
        <f t="shared" si="15"/>
        <v>公共部分装修</v>
      </c>
      <c r="AA35" s="1263">
        <f t="shared" si="3"/>
        <v>1</v>
      </c>
      <c r="AB35" s="1263">
        <f t="shared" si="4"/>
        <v>1</v>
      </c>
      <c r="AC35" s="1263">
        <f t="shared" si="5"/>
        <v>1</v>
      </c>
    </row>
    <row r="36" spans="1:29" ht="15">
      <c r="A36" s="409"/>
      <c r="B36" s="364" t="s">
        <v>1786</v>
      </c>
      <c r="C36" s="411">
        <f>'数据-取费表'!N6</f>
        <v>0.66</v>
      </c>
      <c r="D36" s="374">
        <v>100</v>
      </c>
      <c r="E36" s="3167">
        <f>ROUND(1-(2025-E12)/60,2)</f>
        <v>0.75</v>
      </c>
      <c r="F36" s="400">
        <f>LOOKUP(E36,110:110,111:111)-LOOKUP(C36,110:110,111:111)+100</f>
        <v>101</v>
      </c>
      <c r="G36" s="411">
        <f>ROUND(1-(2025-G12)/60,2)</f>
        <v>0.85</v>
      </c>
      <c r="H36" s="400">
        <f>LOOKUP(G36,110:110,111:111)-LOOKUP(C36,110:110,111:111)+100</f>
        <v>102</v>
      </c>
      <c r="I36" s="411">
        <f>ROUND(1-(2025-I12)/60,2)</f>
        <v>0.78</v>
      </c>
      <c r="J36" s="374">
        <f>LOOKUP(I36,110:110,111:111)-LOOKUP(C36,110:110,111:111)+100</f>
        <v>101</v>
      </c>
      <c r="K36" s="538">
        <v>1</v>
      </c>
      <c r="L36" s="2492"/>
      <c r="M36" s="2487"/>
      <c r="N36" s="2487"/>
      <c r="O36" s="2487"/>
      <c r="P36" s="3380"/>
      <c r="Q36" s="1262" t="str">
        <f t="shared" si="11"/>
        <v>成新度</v>
      </c>
      <c r="R36" s="666" t="s">
        <v>14</v>
      </c>
      <c r="S36" s="667">
        <f t="shared" si="12"/>
        <v>101</v>
      </c>
      <c r="T36" s="666" t="s">
        <v>14</v>
      </c>
      <c r="U36" s="667">
        <f t="shared" si="13"/>
        <v>102</v>
      </c>
      <c r="V36" s="666" t="s">
        <v>14</v>
      </c>
      <c r="W36" s="667">
        <f t="shared" si="14"/>
        <v>101</v>
      </c>
      <c r="X36" s="1264"/>
      <c r="Y36" s="3382"/>
      <c r="Z36" s="1263" t="str">
        <f t="shared" si="15"/>
        <v>成新度</v>
      </c>
      <c r="AA36" s="1263">
        <f t="shared" si="3"/>
        <v>0.99009900990099009</v>
      </c>
      <c r="AB36" s="1263">
        <f t="shared" si="4"/>
        <v>0.98039215686274506</v>
      </c>
      <c r="AC36" s="1263">
        <f t="shared" si="5"/>
        <v>0.99009900990099009</v>
      </c>
    </row>
    <row r="37" spans="1:29" s="102" customFormat="1" ht="15">
      <c r="A37" s="410"/>
      <c r="B37" s="364" t="s">
        <v>1787</v>
      </c>
      <c r="C37" s="1759" t="s">
        <v>3430</v>
      </c>
      <c r="D37" s="119">
        <v>100</v>
      </c>
      <c r="E37" s="1759" t="s">
        <v>3430</v>
      </c>
      <c r="F37" s="400">
        <f>SUMIF(112:112,E37,113:113)-SUMIF(112:112,C37,113:113)+100</f>
        <v>100</v>
      </c>
      <c r="G37" s="1759" t="s">
        <v>3430</v>
      </c>
      <c r="H37" s="374">
        <f>SUMIF(112:112,G37,113:113)-SUMIF(112:112,C37,113:113)+100</f>
        <v>100</v>
      </c>
      <c r="I37" s="1759" t="s">
        <v>3430</v>
      </c>
      <c r="J37" s="374">
        <f>SUMIF(112:112,I37,113:113)-SUMIF(112:112,C37,113:113)+100</f>
        <v>100</v>
      </c>
      <c r="K37" s="538">
        <v>1</v>
      </c>
      <c r="L37" s="2488"/>
      <c r="M37" s="2439"/>
      <c r="N37" s="2439"/>
      <c r="O37" s="2439"/>
      <c r="P37" s="3380"/>
      <c r="Q37" s="530" t="str">
        <f t="shared" si="11"/>
        <v>市政基础设施</v>
      </c>
      <c r="R37" s="663" t="s">
        <v>14</v>
      </c>
      <c r="S37" s="664">
        <f t="shared" si="12"/>
        <v>100</v>
      </c>
      <c r="T37" s="663" t="s">
        <v>14</v>
      </c>
      <c r="U37" s="664">
        <f t="shared" si="13"/>
        <v>100</v>
      </c>
      <c r="V37" s="663" t="s">
        <v>14</v>
      </c>
      <c r="W37" s="664">
        <f t="shared" si="14"/>
        <v>100</v>
      </c>
      <c r="X37" s="665"/>
      <c r="Y37" s="3382"/>
      <c r="Z37" s="50" t="str">
        <f t="shared" si="15"/>
        <v>市政基础设施</v>
      </c>
      <c r="AA37" s="50">
        <f t="shared" si="3"/>
        <v>1</v>
      </c>
      <c r="AB37" s="50">
        <f t="shared" si="4"/>
        <v>1</v>
      </c>
      <c r="AC37" s="50">
        <f t="shared" si="5"/>
        <v>1</v>
      </c>
    </row>
    <row r="38" spans="1:29" ht="15">
      <c r="A38" s="409"/>
      <c r="B38" s="364" t="s">
        <v>1788</v>
      </c>
      <c r="C38" s="1759" t="s">
        <v>3432</v>
      </c>
      <c r="D38" s="374">
        <v>100</v>
      </c>
      <c r="E38" s="1759" t="s">
        <v>3433</v>
      </c>
      <c r="F38" s="400">
        <f>SUMIF(114:114,E38,115:115)-SUMIF(114:114,C38,115:115)+100</f>
        <v>99</v>
      </c>
      <c r="G38" s="1759" t="s">
        <v>3433</v>
      </c>
      <c r="H38" s="374">
        <f>SUMIF(114:114,G38,115:115)-SUMIF(114:114,C38,115:115)+100</f>
        <v>99</v>
      </c>
      <c r="I38" s="1759" t="s">
        <v>3432</v>
      </c>
      <c r="J38" s="374">
        <f>SUMIF(114:114,I38,115:115)-SUMIF(114:114,C38,115:115)+100</f>
        <v>100</v>
      </c>
      <c r="K38" s="538">
        <v>1</v>
      </c>
      <c r="L38" s="2492"/>
      <c r="M38" s="2487"/>
      <c r="N38" s="2487"/>
      <c r="O38" s="2487"/>
      <c r="P38" s="3380" t="s">
        <v>1696</v>
      </c>
      <c r="Q38" s="1262" t="str">
        <f t="shared" si="11"/>
        <v>业态</v>
      </c>
      <c r="R38" s="666" t="s">
        <v>14</v>
      </c>
      <c r="S38" s="667">
        <f t="shared" si="12"/>
        <v>99</v>
      </c>
      <c r="T38" s="666" t="s">
        <v>14</v>
      </c>
      <c r="U38" s="667">
        <f t="shared" si="13"/>
        <v>99</v>
      </c>
      <c r="V38" s="666" t="s">
        <v>14</v>
      </c>
      <c r="W38" s="667">
        <f t="shared" si="14"/>
        <v>100</v>
      </c>
      <c r="X38" s="1264"/>
      <c r="Y38" s="3382" t="s">
        <v>1696</v>
      </c>
      <c r="Z38" s="1263" t="str">
        <f t="shared" si="15"/>
        <v>业态</v>
      </c>
      <c r="AA38" s="1263">
        <f t="shared" si="3"/>
        <v>1.0101010101010102</v>
      </c>
      <c r="AB38" s="1263">
        <f t="shared" si="4"/>
        <v>1.0101010101010102</v>
      </c>
      <c r="AC38" s="1263">
        <f t="shared" si="5"/>
        <v>1</v>
      </c>
    </row>
    <row r="39" spans="1:29" ht="15">
      <c r="A39" s="409"/>
      <c r="B39" s="364" t="s">
        <v>1789</v>
      </c>
      <c r="C39" s="1759" t="s">
        <v>3446</v>
      </c>
      <c r="D39" s="374">
        <v>100</v>
      </c>
      <c r="E39" s="1759" t="s">
        <v>3446</v>
      </c>
      <c r="F39" s="400">
        <f>SUMIF(116:116,E39,117:117)-SUMIF(116:116,C39,117:117)+100</f>
        <v>100</v>
      </c>
      <c r="G39" s="1759" t="s">
        <v>3446</v>
      </c>
      <c r="H39" s="374">
        <f>SUMIF(116:116,G39,117:117)-SUMIF(116:116,C39,117:117)+100</f>
        <v>100</v>
      </c>
      <c r="I39" s="1759" t="s">
        <v>3446</v>
      </c>
      <c r="J39" s="374">
        <f>SUMIF(116:116,I39,117:117)-SUMIF(116:116,C39,117:117)+100</f>
        <v>100</v>
      </c>
      <c r="K39" s="538">
        <v>1</v>
      </c>
      <c r="L39" s="2492"/>
      <c r="M39" s="2487"/>
      <c r="N39" s="2487"/>
      <c r="O39" s="2487"/>
      <c r="P39" s="3380"/>
      <c r="Q39" s="1262" t="str">
        <f t="shared" si="11"/>
        <v>层高</v>
      </c>
      <c r="R39" s="666" t="s">
        <v>14</v>
      </c>
      <c r="S39" s="667">
        <f t="shared" si="12"/>
        <v>100</v>
      </c>
      <c r="T39" s="666" t="s">
        <v>14</v>
      </c>
      <c r="U39" s="667">
        <f t="shared" si="13"/>
        <v>100</v>
      </c>
      <c r="V39" s="666" t="s">
        <v>14</v>
      </c>
      <c r="W39" s="667">
        <f t="shared" si="14"/>
        <v>100</v>
      </c>
      <c r="X39" s="1264"/>
      <c r="Y39" s="3382"/>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80"/>
      <c r="Q40" s="1262" t="str">
        <f t="shared" si="11"/>
        <v>单套建筑面积</v>
      </c>
      <c r="R40" s="666" t="s">
        <v>14</v>
      </c>
      <c r="S40" s="667">
        <f t="shared" si="12"/>
        <v>100</v>
      </c>
      <c r="T40" s="666" t="s">
        <v>14</v>
      </c>
      <c r="U40" s="667">
        <f t="shared" si="13"/>
        <v>100</v>
      </c>
      <c r="V40" s="666" t="s">
        <v>14</v>
      </c>
      <c r="W40" s="667">
        <f t="shared" si="14"/>
        <v>100</v>
      </c>
      <c r="X40" s="1264"/>
      <c r="Y40" s="3382"/>
      <c r="Z40" s="1263" t="str">
        <f t="shared" si="15"/>
        <v>单套建筑面积</v>
      </c>
      <c r="AA40" s="1263">
        <f t="shared" si="3"/>
        <v>1</v>
      </c>
      <c r="AB40" s="1263">
        <f t="shared" si="4"/>
        <v>1</v>
      </c>
      <c r="AC40" s="1263">
        <f t="shared" si="5"/>
        <v>1</v>
      </c>
    </row>
    <row r="41" spans="1:29" s="408" customFormat="1" ht="15">
      <c r="A41" s="406"/>
      <c r="B41" s="400" t="s">
        <v>1791</v>
      </c>
      <c r="C41" s="542" t="s">
        <v>3436</v>
      </c>
      <c r="D41" s="374">
        <v>100</v>
      </c>
      <c r="E41" s="542" t="s">
        <v>3436</v>
      </c>
      <c r="F41" s="400">
        <f>SUMIF(120:120,E41,121:121)-SUMIF(120:120,C41,121:121)+100</f>
        <v>100</v>
      </c>
      <c r="G41" s="542" t="s">
        <v>3436</v>
      </c>
      <c r="H41" s="374">
        <f>SUMIF(120:120,G41,121:121)-SUMIF(120:120,C41,121:121)+100</f>
        <v>100</v>
      </c>
      <c r="I41" s="542" t="s">
        <v>3436</v>
      </c>
      <c r="J41" s="374">
        <f>SUMIF(120:120,I41,121:121)-SUMIF(120:120,C41,121:121)+100</f>
        <v>100</v>
      </c>
      <c r="K41" s="538">
        <v>1</v>
      </c>
      <c r="L41" s="2491"/>
      <c r="M41" s="2493"/>
      <c r="N41" s="2493"/>
      <c r="O41" s="2493"/>
      <c r="P41" s="3380"/>
      <c r="Q41" s="531" t="str">
        <f t="shared" si="11"/>
        <v>进深比</v>
      </c>
      <c r="R41" s="668" t="s">
        <v>14</v>
      </c>
      <c r="S41" s="669">
        <f t="shared" si="12"/>
        <v>100</v>
      </c>
      <c r="T41" s="668" t="s">
        <v>14</v>
      </c>
      <c r="U41" s="669">
        <f t="shared" si="13"/>
        <v>100</v>
      </c>
      <c r="V41" s="668" t="s">
        <v>14</v>
      </c>
      <c r="W41" s="669">
        <f t="shared" si="14"/>
        <v>100</v>
      </c>
      <c r="X41" s="670"/>
      <c r="Y41" s="3382"/>
      <c r="Z41" s="671" t="str">
        <f t="shared" si="15"/>
        <v>进深比</v>
      </c>
      <c r="AA41" s="1263">
        <f t="shared" si="3"/>
        <v>1</v>
      </c>
      <c r="AB41" s="1263">
        <f t="shared" si="4"/>
        <v>1</v>
      </c>
      <c r="AC41" s="1263">
        <f t="shared" si="5"/>
        <v>1</v>
      </c>
    </row>
    <row r="42" spans="1:29" ht="15">
      <c r="A42" s="409"/>
      <c r="B42" s="364" t="s">
        <v>1792</v>
      </c>
      <c r="C42" s="1759" t="s">
        <v>3428</v>
      </c>
      <c r="D42" s="374">
        <v>100</v>
      </c>
      <c r="E42" s="1759" t="s">
        <v>3428</v>
      </c>
      <c r="F42" s="400">
        <f>SUMIF(122:122,E42,123:123)-SUMIF(122:122,C42,123:123)+100</f>
        <v>100</v>
      </c>
      <c r="G42" s="1759" t="s">
        <v>3428</v>
      </c>
      <c r="H42" s="374">
        <f>SUMIF(122:122,G42,123:123)-SUMIF(122:122,C42,123:123)+100</f>
        <v>100</v>
      </c>
      <c r="I42" s="1759" t="s">
        <v>3428</v>
      </c>
      <c r="J42" s="374">
        <f>SUMIF(122:122,I42,123:123)-SUMIF(122:122,C42,123:123)+100</f>
        <v>100</v>
      </c>
      <c r="K42" s="538">
        <v>1</v>
      </c>
      <c r="L42" s="2492"/>
      <c r="M42" s="2487"/>
      <c r="N42" s="2487"/>
      <c r="O42" s="2487"/>
      <c r="P42" s="3380"/>
      <c r="Q42" s="1262" t="str">
        <f t="shared" si="11"/>
        <v>内部装修</v>
      </c>
      <c r="R42" s="666" t="s">
        <v>14</v>
      </c>
      <c r="S42" s="667">
        <f t="shared" si="12"/>
        <v>100</v>
      </c>
      <c r="T42" s="666" t="s">
        <v>14</v>
      </c>
      <c r="U42" s="667">
        <f t="shared" si="13"/>
        <v>100</v>
      </c>
      <c r="V42" s="666" t="s">
        <v>14</v>
      </c>
      <c r="W42" s="667">
        <f t="shared" si="14"/>
        <v>100</v>
      </c>
      <c r="X42" s="1264"/>
      <c r="Y42" s="3382"/>
      <c r="Z42" s="1263" t="str">
        <f t="shared" si="15"/>
        <v>内部装修</v>
      </c>
      <c r="AA42" s="1263">
        <f t="shared" si="3"/>
        <v>1</v>
      </c>
      <c r="AB42" s="1263">
        <f t="shared" si="4"/>
        <v>1</v>
      </c>
      <c r="AC42" s="1263">
        <f t="shared" si="5"/>
        <v>1</v>
      </c>
    </row>
    <row r="43" spans="1:29" ht="15.75" thickBot="1">
      <c r="A43" s="409"/>
      <c r="B43" s="364" t="s">
        <v>1707</v>
      </c>
      <c r="C43" s="1759" t="s">
        <v>3404</v>
      </c>
      <c r="D43" s="374">
        <v>100</v>
      </c>
      <c r="E43" s="1759" t="s">
        <v>3404</v>
      </c>
      <c r="F43" s="400">
        <f>SUMIF(124:124,E43,125:125)-SUMIF(124:124,C43,125:125)+100</f>
        <v>100</v>
      </c>
      <c r="G43" s="1759" t="s">
        <v>3404</v>
      </c>
      <c r="H43" s="374">
        <f>SUMIF(124:124,G43,125:125)-SUMIF(124:124,C43,125:125)+100</f>
        <v>100</v>
      </c>
      <c r="I43" s="1759" t="s">
        <v>3404</v>
      </c>
      <c r="J43" s="374">
        <f>SUMIF(124:124,I43,125:125)-SUMIF(124:124,C43,125:125)+100</f>
        <v>100</v>
      </c>
      <c r="K43" s="538">
        <v>1</v>
      </c>
      <c r="L43" s="2492"/>
      <c r="M43" s="2487"/>
      <c r="N43" s="2487"/>
      <c r="O43" s="2487"/>
      <c r="P43" s="3380"/>
      <c r="Q43" s="1262" t="str">
        <f t="shared" si="11"/>
        <v>内部装修维护情况</v>
      </c>
      <c r="R43" s="666" t="s">
        <v>14</v>
      </c>
      <c r="S43" s="667">
        <f t="shared" si="12"/>
        <v>100</v>
      </c>
      <c r="T43" s="666" t="s">
        <v>14</v>
      </c>
      <c r="U43" s="667">
        <f t="shared" si="13"/>
        <v>100</v>
      </c>
      <c r="V43" s="666" t="s">
        <v>14</v>
      </c>
      <c r="W43" s="667">
        <f t="shared" si="14"/>
        <v>100</v>
      </c>
      <c r="X43" s="1264"/>
      <c r="Y43" s="3382"/>
      <c r="Z43" s="1263" t="str">
        <f t="shared" si="15"/>
        <v>内部装修维护情况</v>
      </c>
      <c r="AA43" s="1263">
        <f t="shared" si="3"/>
        <v>1</v>
      </c>
      <c r="AB43" s="1263">
        <f t="shared" si="4"/>
        <v>1</v>
      </c>
      <c r="AC43" s="1263">
        <f t="shared" si="5"/>
        <v>1</v>
      </c>
    </row>
    <row r="44" spans="1:29" s="102" customFormat="1" ht="15" hidden="1">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0"/>
      <c r="Q44" s="530">
        <f t="shared" si="11"/>
        <v>111</v>
      </c>
      <c r="R44" s="663" t="s">
        <v>14</v>
      </c>
      <c r="S44" s="664">
        <f t="shared" si="12"/>
        <v>100</v>
      </c>
      <c r="T44" s="663" t="s">
        <v>14</v>
      </c>
      <c r="U44" s="664">
        <f t="shared" si="13"/>
        <v>100</v>
      </c>
      <c r="V44" s="663" t="s">
        <v>14</v>
      </c>
      <c r="W44" s="664">
        <f t="shared" si="14"/>
        <v>100</v>
      </c>
      <c r="X44" s="665"/>
      <c r="Y44" s="3382"/>
      <c r="Z44" s="50">
        <f t="shared" si="15"/>
        <v>111</v>
      </c>
      <c r="AA44" s="50">
        <f t="shared" si="3"/>
        <v>1</v>
      </c>
      <c r="AB44" s="50">
        <f t="shared" si="4"/>
        <v>1</v>
      </c>
      <c r="AC44" s="50">
        <f t="shared" si="5"/>
        <v>1</v>
      </c>
    </row>
    <row r="45" spans="1:29" ht="15" hidden="1">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0"/>
      <c r="Q45" s="1262">
        <f t="shared" si="11"/>
        <v>111</v>
      </c>
      <c r="R45" s="666" t="s">
        <v>14</v>
      </c>
      <c r="S45" s="667">
        <f t="shared" si="12"/>
        <v>100</v>
      </c>
      <c r="T45" s="666" t="s">
        <v>14</v>
      </c>
      <c r="U45" s="667">
        <f t="shared" si="13"/>
        <v>100</v>
      </c>
      <c r="V45" s="666" t="s">
        <v>14</v>
      </c>
      <c r="W45" s="667">
        <f t="shared" si="14"/>
        <v>100</v>
      </c>
      <c r="X45" s="1264"/>
      <c r="Y45" s="3382"/>
      <c r="Z45" s="1263">
        <f t="shared" si="15"/>
        <v>111</v>
      </c>
      <c r="AA45" s="1263">
        <f t="shared" si="3"/>
        <v>1</v>
      </c>
      <c r="AB45" s="1263">
        <f t="shared" si="4"/>
        <v>1</v>
      </c>
      <c r="AC45" s="1263">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1"/>
      <c r="Q46" s="1262">
        <f t="shared" si="11"/>
        <v>111</v>
      </c>
      <c r="R46" s="666" t="s">
        <v>14</v>
      </c>
      <c r="S46" s="667">
        <f t="shared" si="12"/>
        <v>100</v>
      </c>
      <c r="T46" s="666" t="s">
        <v>14</v>
      </c>
      <c r="U46" s="667">
        <f t="shared" si="13"/>
        <v>100</v>
      </c>
      <c r="V46" s="666" t="s">
        <v>14</v>
      </c>
      <c r="W46" s="667">
        <f t="shared" si="14"/>
        <v>100</v>
      </c>
      <c r="X46" s="1264"/>
      <c r="Y46" s="3383"/>
      <c r="Z46" s="1263">
        <f t="shared" si="15"/>
        <v>111</v>
      </c>
      <c r="AA46" s="1263">
        <f t="shared" si="3"/>
        <v>1</v>
      </c>
      <c r="AB46" s="1263">
        <f t="shared" si="4"/>
        <v>1</v>
      </c>
      <c r="AC46" s="1263">
        <f t="shared" si="5"/>
        <v>1</v>
      </c>
    </row>
    <row r="47" spans="1:29" ht="15">
      <c r="A47" s="416" t="s">
        <v>1708</v>
      </c>
      <c r="B47" s="417"/>
      <c r="C47" s="1080" t="s">
        <v>0</v>
      </c>
      <c r="D47" s="418"/>
      <c r="E47" s="419">
        <v>48061</v>
      </c>
      <c r="F47" s="420"/>
      <c r="G47" s="421">
        <v>53764</v>
      </c>
      <c r="H47" s="422"/>
      <c r="I47" s="419">
        <v>55162</v>
      </c>
      <c r="J47" s="422"/>
      <c r="K47" s="673"/>
      <c r="L47" s="2494"/>
      <c r="M47" s="2487"/>
      <c r="N47" s="2487"/>
      <c r="O47" s="2487"/>
      <c r="P47" s="3370" t="str">
        <f>A47</f>
        <v>成交单价（元/平方米）</v>
      </c>
      <c r="Q47" s="3370"/>
      <c r="R47" s="3371">
        <f>E47</f>
        <v>48061</v>
      </c>
      <c r="S47" s="3371"/>
      <c r="T47" s="3371">
        <f>G47</f>
        <v>53764</v>
      </c>
      <c r="U47" s="3371"/>
      <c r="V47" s="3371">
        <f>I47</f>
        <v>55162</v>
      </c>
      <c r="W47" s="3371"/>
      <c r="X47" s="385"/>
      <c r="Y47" s="672"/>
      <c r="Z47" s="385"/>
      <c r="AA47" s="385"/>
      <c r="AB47" s="385"/>
      <c r="AC47" s="385"/>
    </row>
    <row r="48" spans="1:29" ht="15.75" thickBot="1">
      <c r="A48" s="423" t="s">
        <v>1793</v>
      </c>
      <c r="B48" s="424"/>
      <c r="C48" s="1081">
        <f>R49</f>
        <v>40845</v>
      </c>
      <c r="D48" s="2140" t="s">
        <v>2138</v>
      </c>
      <c r="E48" s="1082">
        <f>R48</f>
        <v>38441</v>
      </c>
      <c r="F48" s="2141"/>
      <c r="G48" s="1081">
        <f>T48</f>
        <v>41729</v>
      </c>
      <c r="H48" s="2141"/>
      <c r="I48" s="1082">
        <f>V48</f>
        <v>42365</v>
      </c>
      <c r="J48" s="2141"/>
      <c r="K48" s="2143">
        <f>F48+H48+J48</f>
        <v>0</v>
      </c>
      <c r="L48" s="2494"/>
      <c r="M48" s="2487"/>
      <c r="N48" s="2487"/>
      <c r="O48" s="2487"/>
      <c r="P48" s="3370" t="str">
        <f>A48</f>
        <v>比较价值（元/平方米）</v>
      </c>
      <c r="Q48" s="3370"/>
      <c r="R48" s="3371">
        <f>IF(F1="售价",ROUND(PRODUCT(R47,AA7:AA46),0),ROUND(PRODUCT(R47,AA7:AA46),1))</f>
        <v>38441</v>
      </c>
      <c r="S48" s="3371"/>
      <c r="T48" s="3371">
        <f>IF(F1="售价",ROUND(PRODUCT(T47,AB7:AB46),0),ROUND(PRODUCT(T47,AB7:AB46),1))</f>
        <v>41729</v>
      </c>
      <c r="U48" s="3371"/>
      <c r="V48" s="3371">
        <f>IF(F1="售价",ROUND(PRODUCT(V47,AC7:AC46),0),ROUND(PRODUCT(V47,AC7:AC46),1))</f>
        <v>42365</v>
      </c>
      <c r="W48" s="3371"/>
      <c r="X48" s="385"/>
      <c r="Y48" s="385"/>
      <c r="Z48" s="385"/>
      <c r="AA48" s="385"/>
      <c r="AB48" s="385"/>
      <c r="AC48" s="385"/>
    </row>
    <row r="49" spans="1:29" ht="15.75" thickBot="1">
      <c r="A49" s="427" t="s">
        <v>1794</v>
      </c>
      <c r="B49" s="428"/>
      <c r="C49" s="351">
        <f>R49</f>
        <v>40845</v>
      </c>
      <c r="D49" s="351"/>
      <c r="E49" s="351"/>
      <c r="F49" s="351"/>
      <c r="G49" s="351"/>
      <c r="H49" s="351"/>
      <c r="I49" s="351"/>
      <c r="J49" s="351"/>
      <c r="K49" s="674"/>
      <c r="L49" s="2494"/>
      <c r="M49" s="2487"/>
      <c r="N49" s="2487"/>
      <c r="O49" s="2487"/>
      <c r="P49" s="3372" t="str">
        <f>A49</f>
        <v>估价对象XX用房的比较价值（楼面单价，元/平方米）</v>
      </c>
      <c r="Q49" s="3373"/>
      <c r="R49" s="3374">
        <f>IF(F1="售价",ROUND(IF(D48="简单平均",AVERAGE(R48:V48),R48*F48+T48*H48+V48*J48),0),ROUND(IF(D48="简单平均",AVERAGE(R48:V48),R48*F48+T48*H48+V48*J48),1))</f>
        <v>40845</v>
      </c>
      <c r="S49" s="3374"/>
      <c r="T49" s="3374"/>
      <c r="U49" s="3374"/>
      <c r="V49" s="3374"/>
      <c r="W49" s="337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0.25025363544132562</v>
      </c>
      <c r="F52" s="435" t="str">
        <f>IF(OR(E52&gt;=0.3,E52&lt;=-0.3),"超过30%","")</f>
        <v/>
      </c>
      <c r="G52" s="434">
        <f>IF(G47&lt;G48,G48/G47-1,G47/G48-1)</f>
        <v>0.28840854082292888</v>
      </c>
      <c r="H52" s="435" t="str">
        <f>IF(OR(G52&gt;=0.3,G52&lt;=-0.3),"超过30%","")</f>
        <v/>
      </c>
      <c r="I52" s="434">
        <f>IF(I47&lt;I48,I48/I47-1,I47/I48-1)</f>
        <v>0.30206538416145401</v>
      </c>
      <c r="J52" s="435" t="str">
        <f>IF(OR(I52&gt;=0.3,I52&lt;=-0.3),"超过30%","")</f>
        <v>超过30%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8.5533674982440688E-2</v>
      </c>
      <c r="F53" s="435" t="str">
        <f>IF(OR(E53&gt;=0.2,E53&lt;=-0.2),"超过20%","")</f>
        <v/>
      </c>
      <c r="G53" s="434">
        <f>IF(G48&lt;I48,I48/G48-1,G48/I48-1)</f>
        <v>1.5241199166047492E-2</v>
      </c>
      <c r="H53" s="435" t="str">
        <f>IF(OR(G53&gt;=0.2,G53&lt;=-0.2),"超过20%","")</f>
        <v/>
      </c>
      <c r="I53" s="434">
        <f>IF(I48&lt;E48,E48/I48-1,I48/E48-1)</f>
        <v>0.10207850992429957</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0.11866170075529014</v>
      </c>
      <c r="F54" s="435" t="str">
        <f>IF(OR(E54&gt;=0.3,E54&lt;=-0.3),"超过30%","")</f>
        <v/>
      </c>
      <c r="G54" s="434">
        <f>IF(G47&lt;I47,I47/G47-1,G47/I47-1)</f>
        <v>2.6002529573692534E-2</v>
      </c>
      <c r="H54" s="435" t="str">
        <f>IF(OR(G54&gt;=0.3,G54&lt;=-0.3),"超过30%","")</f>
        <v/>
      </c>
      <c r="I54" s="434">
        <f>IF(I47&lt;E47,E47/I47-1,I47/E47-1)</f>
        <v>0.14774973471213659</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2025-2</v>
      </c>
      <c r="D58" s="1103">
        <f>EDATE(C58,-1)</f>
        <v>45658</v>
      </c>
      <c r="E58" s="1103">
        <f t="shared" ref="E58:N58" si="16">EDATE(D58,-1)</f>
        <v>45627</v>
      </c>
      <c r="F58" s="1103">
        <f t="shared" si="16"/>
        <v>45597</v>
      </c>
      <c r="G58" s="1103">
        <f t="shared" si="16"/>
        <v>45566</v>
      </c>
      <c r="H58" s="1103">
        <f t="shared" si="16"/>
        <v>45536</v>
      </c>
      <c r="I58" s="1103">
        <f t="shared" si="16"/>
        <v>45505</v>
      </c>
      <c r="J58" s="1103">
        <f t="shared" si="16"/>
        <v>45474</v>
      </c>
      <c r="K58" s="1103">
        <f t="shared" si="16"/>
        <v>45444</v>
      </c>
      <c r="L58" s="1103">
        <f t="shared" si="16"/>
        <v>45413</v>
      </c>
      <c r="M58" s="1103">
        <f t="shared" si="16"/>
        <v>45383</v>
      </c>
      <c r="N58" s="1103">
        <f t="shared" si="16"/>
        <v>45352</v>
      </c>
      <c r="O58" s="1103">
        <f>EDATE(N58,-1)</f>
        <v>45323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54" t="s">
        <v>3408</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t="s">
        <v>3465</v>
      </c>
      <c r="D65" s="513" t="s">
        <v>3466</v>
      </c>
      <c r="E65" s="513" t="s">
        <v>3467</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t="str">
        <f>B12</f>
        <v>建成年代</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t="str">
        <f>B13</f>
        <v>土地剩余年限</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55" t="s">
        <v>3409</v>
      </c>
      <c r="D86" s="3155" t="s">
        <v>3410</v>
      </c>
      <c r="E86" s="3155" t="s">
        <v>3411</v>
      </c>
      <c r="F86" s="3155" t="s">
        <v>3412</v>
      </c>
      <c r="G86" s="3155" t="s">
        <v>3413</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56" t="s">
        <v>3414</v>
      </c>
      <c r="D88" s="3156" t="s">
        <v>3415</v>
      </c>
      <c r="E88" s="3155"/>
      <c r="F88" s="3157"/>
      <c r="G88" s="315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58">
        <v>100</v>
      </c>
      <c r="D89" s="3159">
        <v>90</v>
      </c>
      <c r="E89" s="3158"/>
      <c r="F89" s="3159"/>
      <c r="G89" s="3158"/>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56" t="s">
        <v>3416</v>
      </c>
      <c r="D90" s="3156" t="s">
        <v>3417</v>
      </c>
      <c r="E90" s="3156" t="s">
        <v>3405</v>
      </c>
      <c r="F90" s="3156" t="s">
        <v>3418</v>
      </c>
      <c r="G90" s="3156" t="s">
        <v>3419</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t="s">
        <v>3480</v>
      </c>
      <c r="O91" s="2523">
        <v>100</v>
      </c>
      <c r="P91" s="2514">
        <f>ROUND(P93/O93*O91,0)</f>
        <v>118</v>
      </c>
      <c r="Q91" s="2515"/>
      <c r="R91" s="2493"/>
      <c r="S91" s="2493"/>
      <c r="T91" s="2493"/>
      <c r="U91" s="2493"/>
      <c r="V91" s="2493"/>
      <c r="W91" s="2493"/>
      <c r="X91" s="2493"/>
      <c r="Y91" s="2493"/>
      <c r="Z91" s="2493"/>
      <c r="AA91" s="2493"/>
      <c r="AB91" s="2493"/>
      <c r="AC91" s="2493"/>
    </row>
    <row r="92" spans="1:29" ht="15.75" thickTop="1">
      <c r="A92" s="367"/>
      <c r="B92" s="469" t="str">
        <f>B28</f>
        <v>楼层</v>
      </c>
      <c r="C92" s="3156" t="s">
        <v>3420</v>
      </c>
      <c r="D92" s="3156" t="s">
        <v>3421</v>
      </c>
      <c r="E92" s="3156"/>
      <c r="F92" s="3156"/>
      <c r="G92" s="485" t="s">
        <v>3449</v>
      </c>
      <c r="H92" s="485"/>
      <c r="I92" s="485"/>
      <c r="J92" s="485"/>
      <c r="K92" s="485"/>
      <c r="L92" s="510"/>
      <c r="M92" s="511"/>
      <c r="N92" s="2521" t="s">
        <v>3481</v>
      </c>
      <c r="O92" s="2521">
        <v>70</v>
      </c>
      <c r="P92" s="2514">
        <f>ROUND(P93/O93*O92,0)</f>
        <v>82</v>
      </c>
      <c r="Q92" s="2508"/>
      <c r="R92" s="2487"/>
      <c r="S92" s="2487"/>
      <c r="T92" s="2487"/>
      <c r="U92" s="2487"/>
      <c r="V92" s="2487"/>
      <c r="W92" s="2487"/>
      <c r="X92" s="2487"/>
      <c r="Y92" s="2487"/>
      <c r="Z92" s="2487"/>
      <c r="AA92" s="2487"/>
      <c r="AB92" s="2487"/>
      <c r="AC92" s="2487"/>
    </row>
    <row r="93" spans="1:29" ht="15.75" thickBot="1">
      <c r="A93" s="367"/>
      <c r="B93" s="474"/>
      <c r="C93" s="3159">
        <f>P91</f>
        <v>118</v>
      </c>
      <c r="D93" s="3159">
        <f>P92</f>
        <v>82</v>
      </c>
      <c r="E93" s="3159"/>
      <c r="F93" s="3159"/>
      <c r="G93" s="467">
        <f>P93</f>
        <v>100</v>
      </c>
      <c r="H93" s="467"/>
      <c r="I93" s="467"/>
      <c r="J93" s="467"/>
      <c r="K93" s="467"/>
      <c r="L93" s="467"/>
      <c r="M93" s="468"/>
      <c r="N93" s="2522" t="s">
        <v>3482</v>
      </c>
      <c r="O93" s="2522">
        <v>85</v>
      </c>
      <c r="P93" s="2513">
        <v>100</v>
      </c>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60" t="s">
        <v>3422</v>
      </c>
      <c r="D100" s="3160" t="s">
        <v>3423</v>
      </c>
      <c r="E100" s="3160" t="s">
        <v>3424</v>
      </c>
      <c r="F100" s="3160" t="s">
        <v>3425</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29.2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61">
        <v>0</v>
      </c>
      <c r="D103" s="3161">
        <v>100</v>
      </c>
      <c r="E103" s="3161">
        <v>200</v>
      </c>
      <c r="F103" s="3161">
        <v>300</v>
      </c>
      <c r="G103" s="3161">
        <v>400</v>
      </c>
      <c r="H103" s="3161">
        <v>500</v>
      </c>
      <c r="I103" s="3161"/>
      <c r="J103" s="3161"/>
      <c r="K103" s="3161"/>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58">
        <v>100</v>
      </c>
      <c r="D104" s="3159">
        <v>99</v>
      </c>
      <c r="E104" s="3158">
        <v>98</v>
      </c>
      <c r="F104" s="3159">
        <v>97</v>
      </c>
      <c r="G104" s="3158">
        <v>96</v>
      </c>
      <c r="H104" s="3159">
        <v>95</v>
      </c>
      <c r="I104" s="3158"/>
      <c r="J104" s="3159"/>
      <c r="K104" s="3158"/>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56" t="s">
        <v>3426</v>
      </c>
      <c r="D105" s="3166" t="s">
        <v>3448</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56" t="s">
        <v>3427</v>
      </c>
      <c r="D107" s="3156" t="s">
        <v>3428</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56" t="s">
        <v>3429</v>
      </c>
      <c r="D112" s="3156" t="s">
        <v>3430</v>
      </c>
      <c r="E112" s="3156" t="s">
        <v>3431</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56" t="s">
        <v>3432</v>
      </c>
      <c r="D114" s="3156" t="s">
        <v>3433</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56" t="s">
        <v>3434</v>
      </c>
      <c r="D116" s="3155" t="s">
        <v>3435</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62" t="s">
        <v>3436</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56" t="s">
        <v>3428</v>
      </c>
      <c r="D122" s="3156" t="s">
        <v>3437</v>
      </c>
      <c r="E122" s="3156" t="s">
        <v>3438</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C43 E43 G43 I43" xr:uid="{00000000-0002-0000-1500-000001000000}">
      <formula1>内部装修维护情况</formula1>
    </dataValidation>
    <dataValidation type="list" allowBlank="1" showInputMessage="1" showErrorMessage="1" sqref="E20 I20 G20 C20" xr:uid="{00000000-0002-0000-1500-000002000000}">
      <formula1>公共配套设施</formula1>
    </dataValidation>
    <dataValidation type="list" allowBlank="1" showInputMessage="1" showErrorMessage="1" sqref="E18 G18 I18 C18" xr:uid="{00000000-0002-0000-1500-000003000000}">
      <formula1>交通便捷度</formula1>
    </dataValidation>
    <dataValidation type="list" allowBlank="1" showInputMessage="1" showErrorMessage="1" sqref="E24 G24 I24 C24" xr:uid="{00000000-0002-0000-1500-000004000000}">
      <formula1>环境</formula1>
    </dataValidation>
    <dataValidation type="list" allowBlank="1" showInputMessage="1" showErrorMessage="1" sqref="C25 E25 G25 I25" xr:uid="{00000000-0002-0000-1500-000005000000}">
      <formula1>商业临街状况</formula1>
    </dataValidation>
    <dataValidation type="list" allowBlank="1" showInputMessage="1" showErrorMessage="1" sqref="C27 E27 G27 I27" xr:uid="{00000000-0002-0000-1500-000006000000}">
      <formula1>商业人流量</formula1>
    </dataValidation>
    <dataValidation type="list" allowBlank="1" showInputMessage="1" showErrorMessage="1" sqref="C28 E28 G28 I28" xr:uid="{00000000-0002-0000-1500-000007000000}">
      <formula1>商业楼层</formula1>
    </dataValidation>
    <dataValidation type="list" allowBlank="1" showInputMessage="1" showErrorMessage="1" sqref="C32 E32 G32 I32" xr:uid="{00000000-0002-0000-1500-000008000000}">
      <formula1>商业类型</formula1>
    </dataValidation>
    <dataValidation type="list" allowBlank="1" showInputMessage="1" showErrorMessage="1" sqref="C34 E34 G34 I34" xr:uid="{00000000-0002-0000-1500-000009000000}">
      <formula1>商业建筑结构</formula1>
    </dataValidation>
    <dataValidation type="list" allowBlank="1" showInputMessage="1" showErrorMessage="1" sqref="C35 E35 G35 I35" xr:uid="{00000000-0002-0000-1500-00000A000000}">
      <formula1>商业公共部分装修</formula1>
    </dataValidation>
    <dataValidation type="list" allowBlank="1" showInputMessage="1" showErrorMessage="1" sqref="C37 E37 G37 I37" xr:uid="{00000000-0002-0000-1500-00000B000000}">
      <formula1>商业基础设施水平</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42 E42 G42 I42" xr:uid="{00000000-0002-0000-1500-00000D000000}">
      <formula1>商业内部装修</formula1>
    </dataValidation>
    <dataValidation type="list" allowBlank="1" showInputMessage="1" showErrorMessage="1" sqref="E9 G9 I9" xr:uid="{00000000-0002-0000-1500-00000E000000}">
      <formula1>商业用途</formula1>
    </dataValidation>
    <dataValidation type="list" allowBlank="1" showInputMessage="1" showErrorMessage="1" sqref="C38 E38 G38 I38" xr:uid="{00000000-0002-0000-1500-00000F000000}">
      <formula1>商业业态</formula1>
    </dataValidation>
    <dataValidation type="list" allowBlank="1" showInputMessage="1" showErrorMessage="1" sqref="C39 E39 G39 I39" xr:uid="{00000000-0002-0000-1500-000010000000}">
      <formula1>商业层高</formula1>
    </dataValidation>
    <dataValidation type="list" allowBlank="1" showInputMessage="1" showErrorMessage="1" sqref="C8 E8 G8 I8" xr:uid="{00000000-0002-0000-1500-000011000000}">
      <formula1>商业交易情况</formula1>
    </dataValidation>
    <dataValidation type="list" allowBlank="1" showInputMessage="1" showErrorMessage="1" sqref="C16 E16 G16 I16" xr:uid="{00000000-0002-0000-1500-000012000000}">
      <formula1>商业繁华度</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8"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48" sqref="K4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480.97570000000002</v>
      </c>
      <c r="C2" s="1288" t="s">
        <v>879</v>
      </c>
      <c r="D2" s="1374">
        <f ca="1">C40+J29+L46</f>
        <v>4809757</v>
      </c>
      <c r="E2" s="1294" t="s">
        <v>880</v>
      </c>
      <c r="F2" s="1295"/>
      <c r="G2" s="2478"/>
      <c r="H2" s="2468"/>
      <c r="I2" s="2468"/>
      <c r="J2" s="2468"/>
      <c r="K2" s="2469"/>
      <c r="L2" s="2468"/>
      <c r="M2" s="2468"/>
    </row>
    <row r="3" spans="1:37" ht="18" customHeight="1" thickBot="1">
      <c r="A3" s="1296" t="s">
        <v>881</v>
      </c>
      <c r="B3" s="1297">
        <f ca="1">IF(ISERROR(D2/F43),0,ROUND(D2/F43,0))</f>
        <v>18804</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445883</v>
      </c>
      <c r="D5" s="1272" t="s">
        <v>889</v>
      </c>
      <c r="E5" s="1007"/>
      <c r="F5" s="1008"/>
      <c r="G5" s="1291"/>
      <c r="H5" s="291">
        <v>1</v>
      </c>
      <c r="I5" s="292" t="s">
        <v>888</v>
      </c>
      <c r="J5" s="1006">
        <f ca="1">J6+J10+J12</f>
        <v>0</v>
      </c>
      <c r="K5" s="1272" t="s">
        <v>889</v>
      </c>
      <c r="L5" s="1007"/>
      <c r="M5" s="1008"/>
    </row>
    <row r="6" spans="1:37" ht="18" customHeight="1">
      <c r="A6" s="1005" t="s">
        <v>398</v>
      </c>
      <c r="B6" s="3367" t="s">
        <v>694</v>
      </c>
      <c r="C6" s="1010">
        <f ca="1">ROUND(F6*F8*F7*(1-F9),0)</f>
        <v>445326</v>
      </c>
      <c r="D6" s="147" t="s">
        <v>2106</v>
      </c>
      <c r="E6" s="294" t="s">
        <v>696</v>
      </c>
      <c r="F6" s="295">
        <f ca="1">INDIRECT("'数据-取费表'!u"&amp;$G$1)</f>
        <v>5.3</v>
      </c>
      <c r="G6" s="1291"/>
      <c r="H6" s="1005" t="s">
        <v>398</v>
      </c>
      <c r="I6" s="3367" t="s">
        <v>694</v>
      </c>
      <c r="J6" s="293">
        <f ca="1">ROUND(M6*M8*M7*(1-M9),0)</f>
        <v>0</v>
      </c>
      <c r="K6" s="1283" t="s">
        <v>2107</v>
      </c>
      <c r="L6" s="294" t="s">
        <v>696</v>
      </c>
      <c r="M6" s="295">
        <f ca="1">INDIRECT("'数据-取费表'!z"&amp;$G$1)</f>
        <v>0</v>
      </c>
    </row>
    <row r="7" spans="1:37" ht="18" customHeight="1">
      <c r="A7" s="1009"/>
      <c r="B7" s="3368"/>
      <c r="C7" s="1011"/>
      <c r="D7" s="299"/>
      <c r="E7" s="1012" t="s">
        <v>697</v>
      </c>
      <c r="F7" s="295">
        <f ca="1">IF(INDIRECT("'数据-取费表'!ah"&amp;$G$1)="",INDIRECT("'数据-取费表'!k"&amp;$G$1),INDIRECT("'数据-取费表'!ah"&amp;$G$1))</f>
        <v>255.78</v>
      </c>
      <c r="G7" s="1291"/>
      <c r="H7" s="296"/>
      <c r="I7" s="3368"/>
      <c r="J7" s="298"/>
      <c r="K7" s="299"/>
      <c r="L7" s="294" t="s">
        <v>697</v>
      </c>
      <c r="M7" s="295">
        <f ca="1">F7</f>
        <v>255.78</v>
      </c>
    </row>
    <row r="8" spans="1:37" ht="18" customHeight="1">
      <c r="A8" s="296"/>
      <c r="B8" s="3368"/>
      <c r="C8" s="298"/>
      <c r="D8" s="299"/>
      <c r="E8" s="294" t="s">
        <v>698</v>
      </c>
      <c r="F8" s="295">
        <f ca="1">INDIRECT("'数据-取费表'!ai"&amp;$G$1)</f>
        <v>365</v>
      </c>
      <c r="G8" s="1291"/>
      <c r="H8" s="296"/>
      <c r="I8" s="3368"/>
      <c r="J8" s="298"/>
      <c r="K8" s="299"/>
      <c r="L8" s="294" t="s">
        <v>698</v>
      </c>
      <c r="M8" s="295">
        <f ca="1">INDIRECT("'数据-取费表'!ai"&amp;$G$1)</f>
        <v>365</v>
      </c>
    </row>
    <row r="9" spans="1:37" ht="18" customHeight="1">
      <c r="A9" s="296"/>
      <c r="B9" s="3369"/>
      <c r="C9" s="298"/>
      <c r="D9" s="299"/>
      <c r="E9" s="294" t="s">
        <v>699</v>
      </c>
      <c r="F9" s="304">
        <f ca="1">INDIRECT("'数据-取费表'!w"&amp;$G$1)</f>
        <v>0.1</v>
      </c>
      <c r="G9" s="1291"/>
      <c r="H9" s="296"/>
      <c r="I9" s="3369"/>
      <c r="J9" s="298"/>
      <c r="K9" s="299"/>
      <c r="L9" s="305" t="s">
        <v>699</v>
      </c>
      <c r="M9" s="306">
        <f ca="1">INDIRECT("'数据-取费表'!ab"&amp;$G$1)</f>
        <v>0</v>
      </c>
    </row>
    <row r="10" spans="1:37" ht="18" customHeight="1">
      <c r="A10" s="1005" t="s">
        <v>402</v>
      </c>
      <c r="B10" s="1273" t="s">
        <v>700</v>
      </c>
      <c r="C10" s="308">
        <f ca="1">ROUND(IF(F10="押一",C6/12*F11,IF(F10="押二",C6/12*2*F11,IF(F10="押三",C6/12*3*F11,C11*F11))),0)</f>
        <v>557</v>
      </c>
      <c r="D10" s="150" t="s">
        <v>2116</v>
      </c>
      <c r="E10" s="305" t="s">
        <v>701</v>
      </c>
      <c r="F10" s="1052" t="s">
        <v>3451</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639450</v>
      </c>
      <c r="D14" s="1256" t="s">
        <v>708</v>
      </c>
      <c r="E14" s="1254"/>
      <c r="F14" s="311"/>
      <c r="G14" s="1291"/>
      <c r="H14" s="927" t="s">
        <v>398</v>
      </c>
      <c r="I14" s="294" t="s">
        <v>709</v>
      </c>
      <c r="J14" s="21">
        <f ca="1">C29</f>
        <v>1000371</v>
      </c>
      <c r="K14" s="12"/>
      <c r="L14" s="758"/>
      <c r="M14" s="759"/>
    </row>
    <row r="15" spans="1:37" s="1303" customFormat="1" ht="18" customHeight="1" thickBot="1">
      <c r="A15" s="927" t="s">
        <v>399</v>
      </c>
      <c r="B15" s="294" t="s">
        <v>710</v>
      </c>
      <c r="C15" s="21">
        <f ca="1">ROUND(C14*F15,0)</f>
        <v>31973</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2001</v>
      </c>
      <c r="K16" s="1023" t="s">
        <v>715</v>
      </c>
      <c r="L16" s="1024"/>
      <c r="M16" s="1008"/>
    </row>
    <row r="17" spans="1:37" s="1303" customFormat="1" ht="18" customHeight="1">
      <c r="A17" s="927" t="s">
        <v>681</v>
      </c>
      <c r="B17" s="294" t="s">
        <v>716</v>
      </c>
      <c r="C17" s="21">
        <f ca="1">ROUND(F17*(F43+INDIRECT("'数据-取费表'!S"&amp;$G$1)),0)</f>
        <v>51156</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12789</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735368</v>
      </c>
      <c r="D19" s="123" t="s">
        <v>726</v>
      </c>
      <c r="E19" s="1268"/>
      <c r="F19" s="23"/>
      <c r="G19" s="1291"/>
      <c r="H19" s="927" t="s">
        <v>399</v>
      </c>
      <c r="I19" s="294" t="s">
        <v>727</v>
      </c>
      <c r="J19" s="21">
        <f ca="1">IF(K19="按租金收入计税",ROUND(J6*M19/(1+'数据-取费表'!C42),0),ROUND(C29*M19*0.7,0))</f>
        <v>0</v>
      </c>
      <c r="K19" s="1277" t="s">
        <v>3325</v>
      </c>
      <c r="L19" s="294" t="s">
        <v>712</v>
      </c>
      <c r="M19" s="314">
        <f>IF(K19="按租金收入计税",'数据-取费表'!B51,'数据-取费表'!B50)</f>
        <v>0.12</v>
      </c>
    </row>
    <row r="20" spans="1:37" s="1303" customFormat="1" ht="18" customHeight="1">
      <c r="A20" s="927" t="s">
        <v>402</v>
      </c>
      <c r="B20" s="294" t="s">
        <v>728</v>
      </c>
      <c r="C20" s="21">
        <f ca="1">ROUND(C19*F20,0)</f>
        <v>14707</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2001</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23252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-2001</v>
      </c>
      <c r="K25" s="1031" t="s">
        <v>753</v>
      </c>
      <c r="L25" s="1032"/>
      <c r="M25" s="1033"/>
    </row>
    <row r="26" spans="1:37" ht="18" customHeight="1">
      <c r="A26" s="927" t="s">
        <v>397</v>
      </c>
      <c r="B26" s="294" t="s">
        <v>754</v>
      </c>
      <c r="C26" s="21">
        <f ca="1">ROUND((C19+C20)*F26,0)</f>
        <v>150015</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1000371</v>
      </c>
      <c r="D29" s="1028"/>
      <c r="E29" s="1026"/>
      <c r="F29" s="1029"/>
      <c r="G29" s="1302"/>
      <c r="H29" s="325" t="s">
        <v>396</v>
      </c>
      <c r="I29" s="326" t="s">
        <v>768</v>
      </c>
      <c r="J29" s="327">
        <f ca="1">ROUND(J26/(1+F40)^F41,0)</f>
        <v>0</v>
      </c>
      <c r="K29" s="328" t="s">
        <v>769</v>
      </c>
      <c r="L29" s="329"/>
      <c r="M29" s="330">
        <f ca="1">INDIRECT("'数据-取费表'!k"&amp;$G$1)</f>
        <v>255.78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33918</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29688</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2001</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ROUND(C13*F37,0)</f>
        <v>0</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2229</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411965</v>
      </c>
      <c r="D39" s="1031" t="s">
        <v>773</v>
      </c>
      <c r="E39" s="1032"/>
      <c r="F39" s="1033"/>
      <c r="G39" s="1291"/>
      <c r="H39" s="2473"/>
      <c r="I39" s="1304"/>
      <c r="J39" s="1305"/>
      <c r="K39" s="2471"/>
      <c r="L39" s="2473"/>
      <c r="M39" s="2473"/>
    </row>
    <row r="40" spans="1:18" ht="18" customHeight="1">
      <c r="A40" s="291" t="s">
        <v>395</v>
      </c>
      <c r="B40" s="292" t="s">
        <v>774</v>
      </c>
      <c r="C40" s="293">
        <f ca="1">ROUND(C39*(1-((1+F42)/(1+F40))^F41)/(F40-F42),0)</f>
        <v>4674521</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15</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18276</v>
      </c>
      <c r="D43" s="328" t="s">
        <v>777</v>
      </c>
      <c r="E43" s="329" t="s">
        <v>778</v>
      </c>
      <c r="F43" s="330">
        <f ca="1">INDIRECT("'数据-取费表'!k"&amp;$G$1)</f>
        <v>255.78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3341</v>
      </c>
      <c r="B45" s="1306"/>
      <c r="C45" s="1375">
        <f ca="1">ROUND((C68-C40)/10000,4)</f>
        <v>-469.4606</v>
      </c>
      <c r="D45" s="3130" t="s">
        <v>3342</v>
      </c>
      <c r="E45" s="1306"/>
      <c r="F45" s="1306"/>
      <c r="O45" s="1309" t="s">
        <v>808</v>
      </c>
      <c r="P45" s="1365"/>
      <c r="Q45" s="1365"/>
      <c r="R45" s="1365"/>
    </row>
    <row r="46" spans="1:18" s="1291" customFormat="1" ht="13.5" thickBot="1">
      <c r="A46" s="1310" t="s">
        <v>809</v>
      </c>
      <c r="C46" s="1311">
        <f ca="1">ROUND(C45,0)</f>
        <v>-469</v>
      </c>
      <c r="D46" s="1312" t="str">
        <f>C2</f>
        <v>万元</v>
      </c>
      <c r="I46" s="1313" t="s">
        <v>810</v>
      </c>
      <c r="J46" s="1314"/>
      <c r="K46" s="1315"/>
      <c r="L46" s="1316">
        <f ca="1">IF(M47="住宅",0,IF(L48&gt;J51,L60,J60))</f>
        <v>135236</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3447</v>
      </c>
      <c r="K47" s="1322" t="s">
        <v>816</v>
      </c>
      <c r="L47" s="1323">
        <f ca="1">INDIRECT("'数据-取费表'!d"&amp;$G$1)</f>
        <v>40</v>
      </c>
      <c r="M47" s="1287" t="str">
        <f>IF(ISNUMBER(FIND("住宅",C1)),"住宅","非住宅")</f>
        <v>非住宅</v>
      </c>
      <c r="O47" s="1324" t="s">
        <v>403</v>
      </c>
      <c r="P47" s="1325" t="s">
        <v>817</v>
      </c>
      <c r="Q47" s="1326">
        <f ca="1">C40+J29</f>
        <v>4674521</v>
      </c>
      <c r="R47" s="1326" t="s">
        <v>818</v>
      </c>
    </row>
    <row r="48" spans="1:18" s="1291" customFormat="1" ht="28.5" thickBot="1">
      <c r="A48" s="1046" t="s">
        <v>438</v>
      </c>
      <c r="B48" s="292" t="s">
        <v>692</v>
      </c>
      <c r="C48" s="1267">
        <f ca="1">C49+C53+C55</f>
        <v>0</v>
      </c>
      <c r="D48" s="1048"/>
      <c r="E48" s="1049"/>
      <c r="F48" s="907"/>
      <c r="G48" s="680"/>
      <c r="H48" s="681"/>
      <c r="I48" s="1327" t="s">
        <v>819</v>
      </c>
      <c r="J48" s="1328" t="s">
        <v>3452</v>
      </c>
      <c r="K48" s="1329" t="s">
        <v>820</v>
      </c>
      <c r="L48" s="1330">
        <f ca="1">INDIRECT("'数据-取费表'!f"&amp;$G$1)</f>
        <v>15</v>
      </c>
      <c r="O48" s="1324" t="s">
        <v>404</v>
      </c>
      <c r="P48" s="1325" t="s">
        <v>821</v>
      </c>
      <c r="Q48" s="1326">
        <f ca="1">J60</f>
        <v>135236</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2002</v>
      </c>
      <c r="K49" s="1329" t="s">
        <v>824</v>
      </c>
      <c r="L49" s="1332"/>
      <c r="O49" s="1333" t="s">
        <v>405</v>
      </c>
      <c r="P49" s="1325" t="s">
        <v>825</v>
      </c>
      <c r="Q49" s="1326">
        <f ca="1">C29</f>
        <v>1000371</v>
      </c>
      <c r="R49" s="1326" t="s">
        <v>818</v>
      </c>
    </row>
    <row r="50" spans="1:18" s="1291" customFormat="1" ht="13.5" thickBot="1">
      <c r="A50" s="921"/>
      <c r="B50" s="924"/>
      <c r="C50" s="925"/>
      <c r="D50" s="898"/>
      <c r="E50" s="992" t="s">
        <v>697</v>
      </c>
      <c r="F50" s="993">
        <f ca="1">F7</f>
        <v>255.78</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27</v>
      </c>
      <c r="K51" s="1338" t="s">
        <v>830</v>
      </c>
      <c r="L51" s="1339">
        <f ca="1">ROUND(-PV(INDIRECT("'数据-取费表'!h"&amp;$G$1),J51,(C39-C13*C76),0),0)</f>
        <v>6032417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15</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15</v>
      </c>
      <c r="K53" s="3365" t="s">
        <v>837</v>
      </c>
      <c r="L53" s="3366"/>
      <c r="O53" s="1324" t="s">
        <v>409</v>
      </c>
      <c r="P53" s="1325" t="s">
        <v>838</v>
      </c>
      <c r="Q53" s="1326">
        <f ca="1">Q47+Q48</f>
        <v>4809757</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0.255</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t="s">
        <v>3455</v>
      </c>
      <c r="K56" s="1327" t="s">
        <v>843</v>
      </c>
      <c r="L56" s="1330" t="str">
        <f ca="1">IF(L48&lt;J51,"——",L48-J51)</f>
        <v>——</v>
      </c>
      <c r="O56" s="1324" t="s">
        <v>403</v>
      </c>
      <c r="P56" s="1325" t="s">
        <v>817</v>
      </c>
      <c r="Q56" s="1326">
        <f ca="1">C40+J29</f>
        <v>4674521</v>
      </c>
      <c r="R56" s="1326" t="s">
        <v>818</v>
      </c>
    </row>
    <row r="57" spans="1:18" s="1291" customFormat="1" ht="24.75" thickBot="1">
      <c r="A57" s="1355"/>
      <c r="B57" s="895" t="s">
        <v>767</v>
      </c>
      <c r="C57" s="230">
        <f ca="1">C29</f>
        <v>1000371</v>
      </c>
      <c r="D57" s="1356"/>
      <c r="E57" s="1357"/>
      <c r="F57" s="1358"/>
      <c r="I57" s="1359" t="s">
        <v>844</v>
      </c>
      <c r="J57" s="1360">
        <f ca="1">IF(OR(M47="住宅",J51&lt;L48,J56="是"),"——",J51-L48)</f>
        <v>12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2001</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400148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5.5000000000000007E-2</v>
      </c>
      <c r="I60" s="1362" t="s">
        <v>853</v>
      </c>
      <c r="J60" s="1363">
        <f ca="1">IF(OR(M47="住宅",J51&lt;L48,J56="是"),"0",ROUND(J59/(1+J52)^J53,0))</f>
        <v>135236</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1.5</v>
      </c>
      <c r="I62" s="1366" t="s">
        <v>858</v>
      </c>
      <c r="J62" s="609" t="s">
        <v>859</v>
      </c>
      <c r="K62" s="609" t="s">
        <v>860</v>
      </c>
      <c r="L62" s="609" t="s">
        <v>861</v>
      </c>
      <c r="M62" s="1367" t="s">
        <v>862</v>
      </c>
      <c r="O62" s="1324" t="s">
        <v>409</v>
      </c>
      <c r="P62" s="1325" t="s">
        <v>863</v>
      </c>
      <c r="Q62" s="1326">
        <f ca="1">Q56+Q57</f>
        <v>4674521</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2001</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1E-3</v>
      </c>
      <c r="I65" s="1366" t="s">
        <v>867</v>
      </c>
      <c r="J65" s="609">
        <v>40</v>
      </c>
      <c r="K65" s="609">
        <v>30</v>
      </c>
      <c r="L65" s="609">
        <v>50</v>
      </c>
      <c r="M65" s="1368">
        <v>0.02</v>
      </c>
      <c r="O65" s="1324" t="s">
        <v>403</v>
      </c>
      <c r="P65" s="1325" t="s">
        <v>868</v>
      </c>
      <c r="Q65" s="1326">
        <f ca="1">C40+J29</f>
        <v>4674521</v>
      </c>
      <c r="R65" s="1326" t="s">
        <v>818</v>
      </c>
    </row>
    <row r="66" spans="1:18" s="1291" customFormat="1" ht="16.5"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-2001</v>
      </c>
      <c r="D67" s="908" t="s">
        <v>753</v>
      </c>
      <c r="E67" s="913"/>
      <c r="F67" s="914"/>
      <c r="O67" s="1333" t="s">
        <v>405</v>
      </c>
      <c r="P67" s="1325" t="s">
        <v>850</v>
      </c>
      <c r="Q67" s="1369">
        <f ca="1">L51</f>
        <v>6032417</v>
      </c>
      <c r="R67" s="1326" t="s">
        <v>870</v>
      </c>
    </row>
    <row r="68" spans="1:18" s="1291" customFormat="1" ht="16.5" thickBot="1">
      <c r="A68" s="892" t="s">
        <v>395</v>
      </c>
      <c r="B68" s="893" t="s">
        <v>774</v>
      </c>
      <c r="C68" s="293">
        <f ca="1">ROUND(C67*(1-((1+F70)/(1+F68))^F69)/(F68-F70),0)</f>
        <v>-20085</v>
      </c>
      <c r="D68" s="910" t="s">
        <v>758</v>
      </c>
      <c r="E68" s="895" t="s">
        <v>759</v>
      </c>
      <c r="F68" s="304">
        <f ca="1">F40</f>
        <v>5.5E-2</v>
      </c>
      <c r="O68" s="1333" t="s">
        <v>406</v>
      </c>
      <c r="P68" s="1370" t="s">
        <v>871</v>
      </c>
      <c r="Q68" s="1326">
        <f ca="1">ROUND(Q69-Q70*Q71,0)</f>
        <v>411965</v>
      </c>
      <c r="R68" s="1326" t="s">
        <v>414</v>
      </c>
    </row>
    <row r="69" spans="1:18" s="1291" customFormat="1" ht="13.5" thickBot="1">
      <c r="A69" s="896"/>
      <c r="B69" s="897"/>
      <c r="C69" s="298"/>
      <c r="D69" s="915" t="s">
        <v>762</v>
      </c>
      <c r="E69" s="895" t="s">
        <v>763</v>
      </c>
      <c r="F69" s="324">
        <f ca="1">F41</f>
        <v>15</v>
      </c>
      <c r="O69" s="1333" t="s">
        <v>411</v>
      </c>
      <c r="P69" s="1370" t="s">
        <v>872</v>
      </c>
      <c r="Q69" s="1326">
        <f ca="1">C39</f>
        <v>411965</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f ca="1">ROUND(C68/F71,0)</f>
        <v>-79</v>
      </c>
      <c r="D71" s="918" t="s">
        <v>777</v>
      </c>
      <c r="E71" s="919" t="s">
        <v>778</v>
      </c>
      <c r="F71" s="330">
        <f ca="1">F43</f>
        <v>255.78</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f ca="1">Q65+Q66</f>
        <v>4674521</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3348</v>
      </c>
      <c r="E2" s="3139"/>
      <c r="F2" s="2597"/>
      <c r="G2" s="2598"/>
      <c r="H2" s="2599"/>
      <c r="I2" s="2600"/>
      <c r="J2" s="3422" t="s">
        <v>2308</v>
      </c>
      <c r="K2" s="3423"/>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24" t="s">
        <v>2318</v>
      </c>
      <c r="K3" s="3425"/>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24" t="s">
        <v>2320</v>
      </c>
      <c r="K4" s="3425"/>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30" t="s">
        <v>2324</v>
      </c>
      <c r="B6" s="3431"/>
      <c r="C6" s="3432"/>
      <c r="D6" s="2621"/>
      <c r="E6" s="2622"/>
      <c r="F6" s="2623"/>
      <c r="G6" s="2624"/>
      <c r="H6" s="2599"/>
      <c r="I6" s="2600"/>
      <c r="J6" s="3416">
        <v>1</v>
      </c>
      <c r="K6" s="3417"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16"/>
      <c r="K7" s="3418"/>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33" t="s">
        <v>2338</v>
      </c>
      <c r="C8" s="3434"/>
      <c r="D8" s="2640" t="s">
        <v>2339</v>
      </c>
      <c r="E8" s="2641" t="s">
        <v>2340</v>
      </c>
      <c r="F8" s="2642" t="s">
        <v>2341</v>
      </c>
      <c r="G8" s="2643"/>
      <c r="H8" s="2599"/>
      <c r="I8" s="2600"/>
      <c r="J8" s="3416"/>
      <c r="K8" s="3418"/>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33" t="s">
        <v>2344</v>
      </c>
      <c r="C9" s="3434"/>
      <c r="D9" s="2640">
        <f>ROUND(D6*E9,0)</f>
        <v>0</v>
      </c>
      <c r="E9" s="2644"/>
      <c r="F9" s="2645" t="s">
        <v>2345</v>
      </c>
      <c r="G9" s="2624"/>
      <c r="H9" s="2599"/>
      <c r="I9" s="2600"/>
      <c r="J9" s="3416"/>
      <c r="K9" s="3418"/>
      <c r="L9" s="2634" t="s">
        <v>2346</v>
      </c>
      <c r="M9" s="2635"/>
      <c r="N9" s="2611"/>
      <c r="O9" s="2636"/>
      <c r="P9" s="2636"/>
      <c r="Q9" s="2637">
        <v>365</v>
      </c>
      <c r="R9" s="2638">
        <f t="shared" si="0"/>
        <v>0</v>
      </c>
      <c r="S9" s="2592"/>
      <c r="T9" s="2592"/>
      <c r="U9" s="2592"/>
      <c r="V9" s="2600"/>
    </row>
    <row r="10" spans="1:22" s="2604" customFormat="1" ht="13.15" customHeight="1">
      <c r="A10" s="2639">
        <v>2</v>
      </c>
      <c r="B10" s="3433" t="s">
        <v>2347</v>
      </c>
      <c r="C10" s="3434"/>
      <c r="D10" s="2640">
        <f>ROUND(D6*E10,0)</f>
        <v>0</v>
      </c>
      <c r="E10" s="2644"/>
      <c r="F10" s="2645" t="s">
        <v>2348</v>
      </c>
      <c r="G10" s="2624"/>
      <c r="H10" s="2599"/>
      <c r="I10" s="2600"/>
      <c r="J10" s="3416"/>
      <c r="K10" s="3418"/>
      <c r="L10" s="2634" t="s">
        <v>2349</v>
      </c>
      <c r="M10" s="2635"/>
      <c r="N10" s="2611"/>
      <c r="O10" s="2636"/>
      <c r="P10" s="2636"/>
      <c r="Q10" s="2637">
        <v>365</v>
      </c>
      <c r="R10" s="2638">
        <f t="shared" si="0"/>
        <v>0</v>
      </c>
      <c r="S10" s="2592"/>
      <c r="T10" s="2592"/>
      <c r="U10" s="2592"/>
      <c r="V10" s="2600"/>
    </row>
    <row r="11" spans="1:22" s="2604" customFormat="1" ht="13.15" customHeight="1">
      <c r="A11" s="2639">
        <v>3</v>
      </c>
      <c r="B11" s="3433" t="s">
        <v>2350</v>
      </c>
      <c r="C11" s="3434"/>
      <c r="D11" s="2640">
        <f>D12+D14+D15+D16</f>
        <v>0</v>
      </c>
      <c r="E11" s="2646" t="e">
        <f>D11/D6</f>
        <v>#DIV/0!</v>
      </c>
      <c r="F11" s="2642"/>
      <c r="G11" s="2643"/>
      <c r="H11" s="2599"/>
      <c r="I11" s="2600"/>
      <c r="J11" s="3416"/>
      <c r="K11" s="3418"/>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26" t="s">
        <v>2353</v>
      </c>
      <c r="C12" s="3427"/>
      <c r="D12" s="2648">
        <f>ROUND(D13*1.2%*(1-30%),0)</f>
        <v>0</v>
      </c>
      <c r="E12" s="2649">
        <v>1.2E-2</v>
      </c>
      <c r="F12" s="2642" t="s">
        <v>2354</v>
      </c>
      <c r="G12" s="2643"/>
      <c r="H12" s="2599"/>
      <c r="I12" s="2600"/>
      <c r="J12" s="3416"/>
      <c r="K12" s="3418"/>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16"/>
      <c r="K13" s="3418"/>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26" t="s">
        <v>2359</v>
      </c>
      <c r="C14" s="3427"/>
      <c r="D14" s="2648">
        <f>ROUND(E14*B5/10000,0)</f>
        <v>0</v>
      </c>
      <c r="E14" s="2637"/>
      <c r="F14" s="2642" t="s">
        <v>2360</v>
      </c>
      <c r="G14" s="2643"/>
      <c r="H14" s="2599"/>
      <c r="I14" s="2600"/>
      <c r="J14" s="3416"/>
      <c r="K14" s="3419"/>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26" t="s">
        <v>2363</v>
      </c>
      <c r="C15" s="3427"/>
      <c r="D15" s="2648">
        <f>ROUND(D6*E15,0)</f>
        <v>0</v>
      </c>
      <c r="E15" s="2649">
        <v>5.5E-2</v>
      </c>
      <c r="F15" s="2642" t="s">
        <v>2364</v>
      </c>
      <c r="G15" s="2624"/>
      <c r="H15" s="2599"/>
      <c r="I15" s="2600"/>
      <c r="J15" s="3416">
        <v>2</v>
      </c>
      <c r="K15" s="3417"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26" t="s">
        <v>2372</v>
      </c>
      <c r="C16" s="3427"/>
      <c r="D16" s="2659">
        <f>D6*E16</f>
        <v>0</v>
      </c>
      <c r="E16" s="2660"/>
      <c r="F16" s="2645" t="s">
        <v>2373</v>
      </c>
      <c r="G16" s="2624"/>
      <c r="H16" s="2599"/>
      <c r="I16" s="2600"/>
      <c r="J16" s="3416"/>
      <c r="K16" s="3418"/>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28" t="s">
        <v>2375</v>
      </c>
      <c r="C17" s="3429"/>
      <c r="D17" s="2662">
        <f>ROUND(D6*E17,0)</f>
        <v>0</v>
      </c>
      <c r="E17" s="2663"/>
      <c r="F17" s="2664" t="s">
        <v>2376</v>
      </c>
      <c r="G17" s="2624"/>
      <c r="H17" s="2599"/>
      <c r="I17" s="2600"/>
      <c r="J17" s="3416"/>
      <c r="K17" s="3418"/>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16"/>
      <c r="K18" s="3418"/>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16"/>
      <c r="K19" s="3419"/>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6">
        <v>3</v>
      </c>
      <c r="K20" s="3417"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16"/>
      <c r="K21" s="3418"/>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16"/>
      <c r="K22" s="3418"/>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16"/>
      <c r="K23" s="3418"/>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16"/>
      <c r="K24" s="3419"/>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20">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2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22" t="s">
        <v>2308</v>
      </c>
      <c r="K32" s="3423"/>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24" t="s">
        <v>2318</v>
      </c>
      <c r="K33" s="3425"/>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24" t="s">
        <v>2320</v>
      </c>
      <c r="K34" s="342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16">
        <v>1</v>
      </c>
      <c r="K36" s="3417"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16"/>
      <c r="K37" s="3418"/>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6"/>
      <c r="K38" s="3418"/>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16"/>
      <c r="K39" s="3418"/>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16"/>
      <c r="K40" s="3419"/>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0">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2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480.97570000000002</v>
      </c>
      <c r="C2" s="1728" t="s">
        <v>1651</v>
      </c>
      <c r="D2" s="1729" t="s">
        <v>1652</v>
      </c>
      <c r="E2" s="2392">
        <f>SUM(E6:E13)</f>
        <v>255.78</v>
      </c>
      <c r="F2" s="2479"/>
      <c r="G2" s="459"/>
      <c r="H2" s="459"/>
      <c r="I2" s="459"/>
      <c r="J2" s="459"/>
      <c r="K2" s="459"/>
      <c r="L2" s="459"/>
      <c r="M2" s="459"/>
      <c r="N2" s="459"/>
      <c r="O2" s="459"/>
      <c r="P2" s="459"/>
      <c r="Q2" s="459"/>
      <c r="R2" s="459"/>
      <c r="S2" s="459"/>
    </row>
    <row r="3" spans="1:22" ht="15.75">
      <c r="A3" s="1727" t="s">
        <v>686</v>
      </c>
      <c r="B3" s="2386">
        <f ca="1">ROUND(B2*10000/E2,0)</f>
        <v>18804</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35" t="s">
        <v>1654</v>
      </c>
      <c r="C5" s="3436"/>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480.97570000000002</v>
      </c>
      <c r="C6" s="1728" t="s">
        <v>1651</v>
      </c>
      <c r="D6" s="2479"/>
      <c r="E6" s="2391">
        <f>IF(OR(A6=0,F6="否"),0,'数据-取费表'!K6+'数据-取费表'!S6)</f>
        <v>255.78</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255.78</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88" t="s">
        <v>1667</v>
      </c>
      <c r="D4" s="3389"/>
      <c r="E4" s="3390" t="s">
        <v>1668</v>
      </c>
      <c r="F4" s="3391"/>
      <c r="G4" s="3388" t="s">
        <v>1669</v>
      </c>
      <c r="H4" s="3389"/>
      <c r="I4" s="3388" t="s">
        <v>1670</v>
      </c>
      <c r="J4" s="3389"/>
      <c r="K4" s="1743" t="s">
        <v>1671</v>
      </c>
      <c r="L4" s="2486"/>
      <c r="M4" s="2487"/>
      <c r="N4" s="2487"/>
      <c r="O4" s="2487"/>
      <c r="P4" s="3392" t="s">
        <v>1672</v>
      </c>
      <c r="Q4" s="3393"/>
      <c r="R4" s="3398" t="s">
        <v>1668</v>
      </c>
      <c r="S4" s="3399"/>
      <c r="T4" s="3398" t="s">
        <v>1669</v>
      </c>
      <c r="U4" s="3399"/>
      <c r="V4" s="3371" t="s">
        <v>1670</v>
      </c>
      <c r="W4" s="3371"/>
      <c r="X4" s="1264"/>
      <c r="Y4" s="3398" t="s">
        <v>1672</v>
      </c>
      <c r="Z4" s="3399"/>
      <c r="AA4" s="3385" t="s">
        <v>1668</v>
      </c>
      <c r="AB4" s="3385" t="s">
        <v>1669</v>
      </c>
      <c r="AC4" s="3385" t="s">
        <v>1670</v>
      </c>
    </row>
    <row r="5" spans="1:29" ht="15">
      <c r="A5" s="348"/>
      <c r="B5" s="349"/>
      <c r="C5" s="3411" t="s">
        <v>1673</v>
      </c>
      <c r="D5" s="3407"/>
      <c r="E5" s="3437" t="s">
        <v>1674</v>
      </c>
      <c r="F5" s="3415"/>
      <c r="G5" s="3411" t="s">
        <v>1675</v>
      </c>
      <c r="H5" s="3407"/>
      <c r="I5" s="3411" t="s">
        <v>1676</v>
      </c>
      <c r="J5" s="3407"/>
      <c r="K5" s="1744"/>
      <c r="L5" s="2486"/>
      <c r="M5" s="2487"/>
      <c r="N5" s="2487"/>
      <c r="O5" s="2487"/>
      <c r="P5" s="3394"/>
      <c r="Q5" s="3395"/>
      <c r="R5" s="3400"/>
      <c r="S5" s="3401"/>
      <c r="T5" s="3400"/>
      <c r="U5" s="3401"/>
      <c r="V5" s="3371"/>
      <c r="W5" s="3371"/>
      <c r="X5" s="1264"/>
      <c r="Y5" s="3400"/>
      <c r="Z5" s="3401"/>
      <c r="AA5" s="3386"/>
      <c r="AB5" s="3386"/>
      <c r="AC5" s="3386"/>
    </row>
    <row r="6" spans="1:29" ht="15.75" thickBot="1">
      <c r="A6" s="350"/>
      <c r="B6" s="351"/>
      <c r="C6" s="3404" t="s">
        <v>1677</v>
      </c>
      <c r="D6" s="3405"/>
      <c r="E6" s="3412" t="s">
        <v>1677</v>
      </c>
      <c r="F6" s="3413"/>
      <c r="G6" s="3404" t="s">
        <v>1677</v>
      </c>
      <c r="H6" s="3405"/>
      <c r="I6" s="3404" t="s">
        <v>1677</v>
      </c>
      <c r="J6" s="3405"/>
      <c r="K6" s="1744" t="s">
        <v>1678</v>
      </c>
      <c r="L6" s="2486"/>
      <c r="M6" s="2487"/>
      <c r="N6" s="2487"/>
      <c r="O6" s="2487"/>
      <c r="P6" s="3396"/>
      <c r="Q6" s="3397"/>
      <c r="R6" s="3400"/>
      <c r="S6" s="3401"/>
      <c r="T6" s="3402"/>
      <c r="U6" s="3403"/>
      <c r="V6" s="3371"/>
      <c r="W6" s="3371"/>
      <c r="X6" s="1264"/>
      <c r="Y6" s="3402"/>
      <c r="Z6" s="3403"/>
      <c r="AA6" s="3387"/>
      <c r="AB6" s="3387"/>
      <c r="AC6" s="3387"/>
    </row>
    <row r="7" spans="1:29" s="102" customFormat="1" ht="15.75" thickBot="1">
      <c r="A7" s="352" t="s">
        <v>1679</v>
      </c>
      <c r="B7" s="353"/>
      <c r="C7" s="354">
        <f>'数据-取费表'!B2</f>
        <v>45696</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08" t="s">
        <v>1680</v>
      </c>
      <c r="Q7" s="3410"/>
      <c r="R7" s="663" t="s">
        <v>20</v>
      </c>
      <c r="S7" s="664">
        <f t="shared" ref="S7:S15" si="0">F7</f>
        <v>0</v>
      </c>
      <c r="T7" s="663" t="s">
        <v>20</v>
      </c>
      <c r="U7" s="664">
        <f t="shared" ref="U7:U15" si="1">H7</f>
        <v>0</v>
      </c>
      <c r="V7" s="663" t="s">
        <v>20</v>
      </c>
      <c r="W7" s="664">
        <f t="shared" ref="W7:W15" si="2">J7</f>
        <v>0</v>
      </c>
      <c r="X7" s="665"/>
      <c r="Y7" s="3408" t="s">
        <v>1680</v>
      </c>
      <c r="Z7" s="340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08" t="s">
        <v>1683</v>
      </c>
      <c r="Q8" s="3409"/>
      <c r="R8" s="663" t="s">
        <v>20</v>
      </c>
      <c r="S8" s="664">
        <f t="shared" si="0"/>
        <v>100</v>
      </c>
      <c r="T8" s="663" t="s">
        <v>20</v>
      </c>
      <c r="U8" s="664">
        <f t="shared" si="1"/>
        <v>100</v>
      </c>
      <c r="V8" s="663" t="s">
        <v>20</v>
      </c>
      <c r="W8" s="664">
        <f t="shared" si="2"/>
        <v>100</v>
      </c>
      <c r="X8" s="665"/>
      <c r="Y8" s="3408" t="s">
        <v>1683</v>
      </c>
      <c r="Z8" s="340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4" t="s">
        <v>1686</v>
      </c>
      <c r="Q9" s="530" t="str">
        <f t="shared" ref="Q9:Q15" si="6">B9</f>
        <v>用途</v>
      </c>
      <c r="R9" s="663" t="s">
        <v>14</v>
      </c>
      <c r="S9" s="664">
        <f t="shared" si="0"/>
        <v>100</v>
      </c>
      <c r="T9" s="663" t="s">
        <v>14</v>
      </c>
      <c r="U9" s="664">
        <f t="shared" si="1"/>
        <v>100</v>
      </c>
      <c r="V9" s="663" t="s">
        <v>14</v>
      </c>
      <c r="W9" s="664">
        <f t="shared" si="2"/>
        <v>100</v>
      </c>
      <c r="X9" s="665"/>
      <c r="Y9" s="326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4"/>
      <c r="Q10" s="530" t="str">
        <f t="shared" si="6"/>
        <v>土地使用年限（年）</v>
      </c>
      <c r="R10" s="663" t="s">
        <v>14</v>
      </c>
      <c r="S10" s="664">
        <f t="shared" si="0"/>
        <v>100</v>
      </c>
      <c r="T10" s="663" t="s">
        <v>14</v>
      </c>
      <c r="U10" s="664">
        <f t="shared" si="1"/>
        <v>100</v>
      </c>
      <c r="V10" s="663" t="s">
        <v>14</v>
      </c>
      <c r="W10" s="664">
        <f t="shared" si="2"/>
        <v>100</v>
      </c>
      <c r="X10" s="665"/>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4"/>
      <c r="Q11" s="530" t="str">
        <f t="shared" si="6"/>
        <v>容积率</v>
      </c>
      <c r="R11" s="663" t="s">
        <v>18</v>
      </c>
      <c r="S11" s="664" t="e">
        <f t="shared" si="0"/>
        <v>#N/A</v>
      </c>
      <c r="T11" s="663" t="s">
        <v>18</v>
      </c>
      <c r="U11" s="664" t="e">
        <f t="shared" si="1"/>
        <v>#N/A</v>
      </c>
      <c r="V11" s="663" t="s">
        <v>18</v>
      </c>
      <c r="W11" s="664" t="e">
        <f t="shared" si="2"/>
        <v>#N/A</v>
      </c>
      <c r="X11" s="665"/>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4"/>
      <c r="Q12" s="530">
        <f t="shared" si="6"/>
        <v>111</v>
      </c>
      <c r="R12" s="663" t="s">
        <v>18</v>
      </c>
      <c r="S12" s="664">
        <f t="shared" si="0"/>
        <v>100</v>
      </c>
      <c r="T12" s="663" t="s">
        <v>18</v>
      </c>
      <c r="U12" s="664">
        <f t="shared" si="1"/>
        <v>100</v>
      </c>
      <c r="V12" s="663" t="s">
        <v>18</v>
      </c>
      <c r="W12" s="664">
        <f t="shared" si="2"/>
        <v>100</v>
      </c>
      <c r="X12" s="665"/>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4"/>
      <c r="Q13" s="530">
        <f t="shared" si="6"/>
        <v>111</v>
      </c>
      <c r="R13" s="663" t="s">
        <v>18</v>
      </c>
      <c r="S13" s="664">
        <f t="shared" si="0"/>
        <v>100</v>
      </c>
      <c r="T13" s="663" t="s">
        <v>18</v>
      </c>
      <c r="U13" s="664">
        <f t="shared" si="1"/>
        <v>100</v>
      </c>
      <c r="V13" s="663" t="s">
        <v>18</v>
      </c>
      <c r="W13" s="664">
        <f t="shared" si="2"/>
        <v>100</v>
      </c>
      <c r="X13" s="665"/>
      <c r="Y13" s="326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4"/>
      <c r="Q14" s="530">
        <f t="shared" si="6"/>
        <v>111</v>
      </c>
      <c r="R14" s="663" t="s">
        <v>18</v>
      </c>
      <c r="S14" s="664">
        <f t="shared" si="0"/>
        <v>100</v>
      </c>
      <c r="T14" s="663" t="s">
        <v>18</v>
      </c>
      <c r="U14" s="664">
        <f t="shared" si="1"/>
        <v>100</v>
      </c>
      <c r="V14" s="663" t="s">
        <v>18</v>
      </c>
      <c r="W14" s="664">
        <f t="shared" si="2"/>
        <v>100</v>
      </c>
      <c r="X14" s="665"/>
      <c r="Y14" s="3269"/>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5" t="s">
        <v>1691</v>
      </c>
      <c r="Q15" s="1262" t="str">
        <f t="shared" si="6"/>
        <v>居住社区成熟度</v>
      </c>
      <c r="R15" s="666" t="s">
        <v>18</v>
      </c>
      <c r="S15" s="667">
        <f t="shared" si="0"/>
        <v>100</v>
      </c>
      <c r="T15" s="666" t="s">
        <v>18</v>
      </c>
      <c r="U15" s="667">
        <f t="shared" si="1"/>
        <v>100</v>
      </c>
      <c r="V15" s="666" t="s">
        <v>18</v>
      </c>
      <c r="W15" s="667">
        <f t="shared" si="2"/>
        <v>100</v>
      </c>
      <c r="X15" s="1264"/>
      <c r="Y15" s="337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76"/>
      <c r="Q16" s="1262"/>
      <c r="R16" s="666"/>
      <c r="S16" s="667"/>
      <c r="T16" s="666"/>
      <c r="U16" s="667"/>
      <c r="V16" s="666"/>
      <c r="W16" s="667"/>
      <c r="X16" s="1264"/>
      <c r="Y16" s="3378"/>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6"/>
      <c r="Q17" s="1262" t="str">
        <f>B17</f>
        <v>交通便捷度</v>
      </c>
      <c r="R17" s="666" t="s">
        <v>18</v>
      </c>
      <c r="S17" s="667">
        <f>F17</f>
        <v>100</v>
      </c>
      <c r="T17" s="666" t="s">
        <v>18</v>
      </c>
      <c r="U17" s="667">
        <f>H17</f>
        <v>100</v>
      </c>
      <c r="V17" s="666" t="s">
        <v>18</v>
      </c>
      <c r="W17" s="667">
        <f>J17</f>
        <v>100</v>
      </c>
      <c r="X17" s="1264"/>
      <c r="Y17" s="337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76"/>
      <c r="Q18" s="1262"/>
      <c r="R18" s="666"/>
      <c r="S18" s="667"/>
      <c r="T18" s="666"/>
      <c r="U18" s="667"/>
      <c r="V18" s="666"/>
      <c r="W18" s="667"/>
      <c r="X18" s="1264"/>
      <c r="Y18" s="3378"/>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6"/>
      <c r="Q19" s="1262" t="str">
        <f>B19</f>
        <v>公共配套设施</v>
      </c>
      <c r="R19" s="666" t="s">
        <v>18</v>
      </c>
      <c r="S19" s="667">
        <f>F19</f>
        <v>100</v>
      </c>
      <c r="T19" s="666" t="s">
        <v>18</v>
      </c>
      <c r="U19" s="667">
        <f>H19</f>
        <v>100</v>
      </c>
      <c r="V19" s="666" t="s">
        <v>18</v>
      </c>
      <c r="W19" s="667">
        <f>J19</f>
        <v>100</v>
      </c>
      <c r="X19" s="1264"/>
      <c r="Y19" s="337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76"/>
      <c r="Q20" s="1262"/>
      <c r="R20" s="666"/>
      <c r="S20" s="667"/>
      <c r="T20" s="666"/>
      <c r="U20" s="667"/>
      <c r="V20" s="666"/>
      <c r="W20" s="667"/>
      <c r="X20" s="1264"/>
      <c r="Y20" s="3378"/>
      <c r="Z20" s="1263"/>
      <c r="AA20" s="1263">
        <v>1</v>
      </c>
      <c r="AB20" s="1263">
        <v>1</v>
      </c>
      <c r="AC20" s="1263">
        <v>1</v>
      </c>
    </row>
    <row r="21" spans="1:29" ht="15">
      <c r="A21" s="367"/>
      <c r="B21" s="585"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6"/>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376"/>
      <c r="Q22" s="1262"/>
      <c r="R22" s="666"/>
      <c r="S22" s="667"/>
      <c r="T22" s="666"/>
      <c r="U22" s="667"/>
      <c r="V22" s="666"/>
      <c r="W22" s="667"/>
      <c r="X22" s="1264"/>
      <c r="Y22" s="3378"/>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6"/>
      <c r="Q23" s="1262" t="str">
        <f>B23</f>
        <v>自然及人文环境</v>
      </c>
      <c r="R23" s="666" t="s">
        <v>18</v>
      </c>
      <c r="S23" s="667">
        <f>F23</f>
        <v>100</v>
      </c>
      <c r="T23" s="666" t="s">
        <v>18</v>
      </c>
      <c r="U23" s="667">
        <f>H23</f>
        <v>100</v>
      </c>
      <c r="V23" s="666" t="s">
        <v>18</v>
      </c>
      <c r="W23" s="667">
        <f>J23</f>
        <v>100</v>
      </c>
      <c r="X23" s="1264"/>
      <c r="Y23" s="337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76"/>
      <c r="Q24" s="1262"/>
      <c r="R24" s="666"/>
      <c r="S24" s="667"/>
      <c r="T24" s="666"/>
      <c r="U24" s="667"/>
      <c r="V24" s="666"/>
      <c r="W24" s="667"/>
      <c r="X24" s="1264"/>
      <c r="Y24" s="337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7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8"/>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76"/>
      <c r="Q26" s="1262" t="str">
        <f t="shared" si="11"/>
        <v>朝向</v>
      </c>
      <c r="R26" s="666" t="s">
        <v>18</v>
      </c>
      <c r="S26" s="667">
        <f t="shared" si="12"/>
        <v>100</v>
      </c>
      <c r="T26" s="666" t="s">
        <v>18</v>
      </c>
      <c r="U26" s="667">
        <f t="shared" si="13"/>
        <v>100</v>
      </c>
      <c r="V26" s="666" t="s">
        <v>18</v>
      </c>
      <c r="W26" s="667">
        <f t="shared" si="14"/>
        <v>100</v>
      </c>
      <c r="X26" s="1264"/>
      <c r="Y26" s="3378"/>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76"/>
      <c r="Q27" s="530">
        <f t="shared" si="11"/>
        <v>111</v>
      </c>
      <c r="R27" s="663" t="s">
        <v>18</v>
      </c>
      <c r="S27" s="664">
        <f t="shared" si="12"/>
        <v>100</v>
      </c>
      <c r="T27" s="663" t="s">
        <v>18</v>
      </c>
      <c r="U27" s="664">
        <f t="shared" si="13"/>
        <v>100</v>
      </c>
      <c r="V27" s="663" t="s">
        <v>18</v>
      </c>
      <c r="W27" s="664">
        <f t="shared" si="14"/>
        <v>100</v>
      </c>
      <c r="X27" s="665"/>
      <c r="Y27" s="3378"/>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76"/>
      <c r="Q28" s="1262">
        <f t="shared" si="11"/>
        <v>111</v>
      </c>
      <c r="R28" s="666" t="s">
        <v>18</v>
      </c>
      <c r="S28" s="667">
        <f t="shared" si="12"/>
        <v>100</v>
      </c>
      <c r="T28" s="666" t="s">
        <v>18</v>
      </c>
      <c r="U28" s="667">
        <f t="shared" si="13"/>
        <v>100</v>
      </c>
      <c r="V28" s="666" t="s">
        <v>18</v>
      </c>
      <c r="W28" s="667">
        <f t="shared" si="14"/>
        <v>100</v>
      </c>
      <c r="X28" s="1264"/>
      <c r="Y28" s="3378"/>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76"/>
      <c r="Q29" s="1262">
        <f t="shared" si="11"/>
        <v>111</v>
      </c>
      <c r="R29" s="666" t="s">
        <v>18</v>
      </c>
      <c r="S29" s="667">
        <f t="shared" si="12"/>
        <v>100</v>
      </c>
      <c r="T29" s="666" t="s">
        <v>18</v>
      </c>
      <c r="U29" s="667">
        <f t="shared" si="13"/>
        <v>100</v>
      </c>
      <c r="V29" s="666" t="s">
        <v>18</v>
      </c>
      <c r="W29" s="667">
        <f t="shared" si="14"/>
        <v>100</v>
      </c>
      <c r="X29" s="1264"/>
      <c r="Y29" s="3378"/>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76"/>
      <c r="Q30" s="1262">
        <f t="shared" si="11"/>
        <v>111</v>
      </c>
      <c r="R30" s="666" t="s">
        <v>18</v>
      </c>
      <c r="S30" s="667">
        <f t="shared" si="12"/>
        <v>100</v>
      </c>
      <c r="T30" s="666" t="s">
        <v>18</v>
      </c>
      <c r="U30" s="667">
        <f t="shared" si="13"/>
        <v>100</v>
      </c>
      <c r="V30" s="666" t="s">
        <v>18</v>
      </c>
      <c r="W30" s="667">
        <f t="shared" si="14"/>
        <v>100</v>
      </c>
      <c r="X30" s="1264"/>
      <c r="Y30" s="3378"/>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76"/>
      <c r="Q31" s="1262">
        <f t="shared" si="11"/>
        <v>111</v>
      </c>
      <c r="R31" s="666" t="s">
        <v>18</v>
      </c>
      <c r="S31" s="667">
        <f t="shared" si="12"/>
        <v>100</v>
      </c>
      <c r="T31" s="666" t="s">
        <v>18</v>
      </c>
      <c r="U31" s="667">
        <f t="shared" si="13"/>
        <v>100</v>
      </c>
      <c r="V31" s="666" t="s">
        <v>18</v>
      </c>
      <c r="W31" s="667">
        <f t="shared" si="14"/>
        <v>100</v>
      </c>
      <c r="X31" s="1264"/>
      <c r="Y31" s="3378"/>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9" t="s">
        <v>1696</v>
      </c>
      <c r="Q32" s="1262" t="str">
        <f t="shared" si="11"/>
        <v>建筑类型</v>
      </c>
      <c r="R32" s="666" t="s">
        <v>18</v>
      </c>
      <c r="S32" s="667">
        <f t="shared" si="12"/>
        <v>100</v>
      </c>
      <c r="T32" s="666" t="s">
        <v>18</v>
      </c>
      <c r="U32" s="667">
        <f t="shared" si="13"/>
        <v>100</v>
      </c>
      <c r="V32" s="666" t="s">
        <v>18</v>
      </c>
      <c r="W32" s="667">
        <f t="shared" si="14"/>
        <v>100</v>
      </c>
      <c r="X32" s="1264"/>
      <c r="Y32" s="3382"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0"/>
      <c r="Q33" s="531" t="str">
        <f t="shared" si="11"/>
        <v>项目建筑规模</v>
      </c>
      <c r="R33" s="668" t="s">
        <v>18</v>
      </c>
      <c r="S33" s="669" t="e">
        <f t="shared" si="12"/>
        <v>#N/A</v>
      </c>
      <c r="T33" s="668" t="s">
        <v>18</v>
      </c>
      <c r="U33" s="669" t="e">
        <f t="shared" si="13"/>
        <v>#N/A</v>
      </c>
      <c r="V33" s="668" t="s">
        <v>18</v>
      </c>
      <c r="W33" s="669" t="e">
        <f t="shared" si="14"/>
        <v>#N/A</v>
      </c>
      <c r="X33" s="670"/>
      <c r="Y33" s="3382"/>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0"/>
      <c r="Q34" s="1262" t="str">
        <f t="shared" si="11"/>
        <v>建筑结构</v>
      </c>
      <c r="R34" s="666" t="s">
        <v>18</v>
      </c>
      <c r="S34" s="667">
        <f t="shared" si="12"/>
        <v>100</v>
      </c>
      <c r="T34" s="666" t="s">
        <v>18</v>
      </c>
      <c r="U34" s="667">
        <f t="shared" si="13"/>
        <v>100</v>
      </c>
      <c r="V34" s="666" t="s">
        <v>18</v>
      </c>
      <c r="W34" s="667">
        <f t="shared" si="14"/>
        <v>100</v>
      </c>
      <c r="X34" s="1264"/>
      <c r="Y34" s="338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0"/>
      <c r="Q35" s="1262" t="str">
        <f t="shared" si="11"/>
        <v>建筑品质</v>
      </c>
      <c r="R35" s="666" t="s">
        <v>18</v>
      </c>
      <c r="S35" s="667">
        <f t="shared" si="12"/>
        <v>100</v>
      </c>
      <c r="T35" s="666" t="s">
        <v>18</v>
      </c>
      <c r="U35" s="667">
        <f t="shared" si="13"/>
        <v>100</v>
      </c>
      <c r="V35" s="666" t="s">
        <v>18</v>
      </c>
      <c r="W35" s="667">
        <f t="shared" si="14"/>
        <v>100</v>
      </c>
      <c r="X35" s="1264"/>
      <c r="Y35" s="338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0"/>
      <c r="Q36" s="1262" t="str">
        <f t="shared" si="11"/>
        <v>公共部分装修</v>
      </c>
      <c r="R36" s="666" t="s">
        <v>18</v>
      </c>
      <c r="S36" s="667">
        <f t="shared" si="12"/>
        <v>100</v>
      </c>
      <c r="T36" s="666" t="s">
        <v>18</v>
      </c>
      <c r="U36" s="667">
        <f t="shared" si="13"/>
        <v>100</v>
      </c>
      <c r="V36" s="666" t="s">
        <v>18</v>
      </c>
      <c r="W36" s="667">
        <f t="shared" si="14"/>
        <v>100</v>
      </c>
      <c r="X36" s="1264"/>
      <c r="Y36" s="3382"/>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0"/>
      <c r="Q37" s="530" t="str">
        <f t="shared" si="11"/>
        <v>成新度</v>
      </c>
      <c r="R37" s="663" t="s">
        <v>18</v>
      </c>
      <c r="S37" s="664" t="e">
        <f t="shared" si="12"/>
        <v>#N/A</v>
      </c>
      <c r="T37" s="663" t="s">
        <v>18</v>
      </c>
      <c r="U37" s="664" t="e">
        <f t="shared" si="13"/>
        <v>#N/A</v>
      </c>
      <c r="V37" s="663" t="s">
        <v>18</v>
      </c>
      <c r="W37" s="664" t="e">
        <f t="shared" si="14"/>
        <v>#N/A</v>
      </c>
      <c r="X37" s="665"/>
      <c r="Y37" s="3382"/>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0" t="s">
        <v>1696</v>
      </c>
      <c r="Q38" s="1262" t="str">
        <f t="shared" si="11"/>
        <v>物业管理</v>
      </c>
      <c r="R38" s="666" t="s">
        <v>18</v>
      </c>
      <c r="S38" s="667">
        <f t="shared" si="12"/>
        <v>100</v>
      </c>
      <c r="T38" s="666" t="s">
        <v>18</v>
      </c>
      <c r="U38" s="667">
        <f t="shared" si="13"/>
        <v>100</v>
      </c>
      <c r="V38" s="666" t="s">
        <v>18</v>
      </c>
      <c r="W38" s="667">
        <f t="shared" si="14"/>
        <v>100</v>
      </c>
      <c r="X38" s="1264"/>
      <c r="Y38" s="338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0"/>
      <c r="Q39" s="1262" t="str">
        <f t="shared" si="11"/>
        <v>市政基础设施</v>
      </c>
      <c r="R39" s="666" t="s">
        <v>18</v>
      </c>
      <c r="S39" s="667">
        <f t="shared" si="12"/>
        <v>100</v>
      </c>
      <c r="T39" s="666" t="s">
        <v>18</v>
      </c>
      <c r="U39" s="667">
        <f t="shared" si="13"/>
        <v>100</v>
      </c>
      <c r="V39" s="666" t="s">
        <v>18</v>
      </c>
      <c r="W39" s="667">
        <f t="shared" si="14"/>
        <v>100</v>
      </c>
      <c r="X39" s="1264"/>
      <c r="Y39" s="338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0"/>
      <c r="Q40" s="1262" t="str">
        <f t="shared" si="11"/>
        <v>房型</v>
      </c>
      <c r="R40" s="666" t="s">
        <v>18</v>
      </c>
      <c r="S40" s="667">
        <f t="shared" si="12"/>
        <v>100</v>
      </c>
      <c r="T40" s="666" t="s">
        <v>18</v>
      </c>
      <c r="U40" s="667">
        <f t="shared" si="13"/>
        <v>100</v>
      </c>
      <c r="V40" s="666" t="s">
        <v>18</v>
      </c>
      <c r="W40" s="667">
        <f t="shared" si="14"/>
        <v>100</v>
      </c>
      <c r="X40" s="1264"/>
      <c r="Y40" s="3382"/>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0"/>
      <c r="Q41" s="531" t="str">
        <f t="shared" si="11"/>
        <v>单套/主力户型建筑面积</v>
      </c>
      <c r="R41" s="668" t="s">
        <v>18</v>
      </c>
      <c r="S41" s="669">
        <f t="shared" si="12"/>
        <v>100</v>
      </c>
      <c r="T41" s="668" t="s">
        <v>18</v>
      </c>
      <c r="U41" s="669">
        <f t="shared" si="13"/>
        <v>100</v>
      </c>
      <c r="V41" s="668" t="s">
        <v>18</v>
      </c>
      <c r="W41" s="669">
        <f t="shared" si="14"/>
        <v>100</v>
      </c>
      <c r="X41" s="670"/>
      <c r="Y41" s="3382"/>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0"/>
      <c r="Q42" s="1262" t="str">
        <f t="shared" si="11"/>
        <v>内部装修</v>
      </c>
      <c r="R42" s="666" t="s">
        <v>18</v>
      </c>
      <c r="S42" s="667">
        <f t="shared" si="12"/>
        <v>100</v>
      </c>
      <c r="T42" s="666" t="s">
        <v>18</v>
      </c>
      <c r="U42" s="667">
        <f t="shared" si="13"/>
        <v>100</v>
      </c>
      <c r="V42" s="666" t="s">
        <v>18</v>
      </c>
      <c r="W42" s="667">
        <f t="shared" si="14"/>
        <v>100</v>
      </c>
      <c r="X42" s="1264"/>
      <c r="Y42" s="3382"/>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0"/>
      <c r="Q43" s="1262" t="str">
        <f t="shared" si="11"/>
        <v>内部装修维护情况</v>
      </c>
      <c r="R43" s="666" t="s">
        <v>18</v>
      </c>
      <c r="S43" s="667">
        <f t="shared" si="12"/>
        <v>100</v>
      </c>
      <c r="T43" s="666" t="s">
        <v>18</v>
      </c>
      <c r="U43" s="667">
        <f t="shared" si="13"/>
        <v>100</v>
      </c>
      <c r="V43" s="666" t="s">
        <v>18</v>
      </c>
      <c r="W43" s="667">
        <f t="shared" si="14"/>
        <v>100</v>
      </c>
      <c r="X43" s="1264"/>
      <c r="Y43" s="3382"/>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0"/>
      <c r="Q44" s="530">
        <f t="shared" si="11"/>
        <v>111</v>
      </c>
      <c r="R44" s="663" t="s">
        <v>18</v>
      </c>
      <c r="S44" s="664">
        <f t="shared" si="12"/>
        <v>100</v>
      </c>
      <c r="T44" s="663" t="s">
        <v>18</v>
      </c>
      <c r="U44" s="664">
        <f t="shared" si="13"/>
        <v>100</v>
      </c>
      <c r="V44" s="663" t="s">
        <v>18</v>
      </c>
      <c r="W44" s="664">
        <f t="shared" si="14"/>
        <v>100</v>
      </c>
      <c r="X44" s="665"/>
      <c r="Y44" s="3382"/>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0"/>
      <c r="Q45" s="1262">
        <f t="shared" si="11"/>
        <v>111</v>
      </c>
      <c r="R45" s="666" t="s">
        <v>18</v>
      </c>
      <c r="S45" s="667">
        <f t="shared" si="12"/>
        <v>100</v>
      </c>
      <c r="T45" s="666" t="s">
        <v>18</v>
      </c>
      <c r="U45" s="667">
        <f t="shared" si="13"/>
        <v>100</v>
      </c>
      <c r="V45" s="666" t="s">
        <v>18</v>
      </c>
      <c r="W45" s="667">
        <f t="shared" si="14"/>
        <v>100</v>
      </c>
      <c r="X45" s="1264"/>
      <c r="Y45" s="3382"/>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1"/>
      <c r="Q46" s="1262">
        <f t="shared" si="11"/>
        <v>111</v>
      </c>
      <c r="R46" s="666" t="s">
        <v>17</v>
      </c>
      <c r="S46" s="667">
        <f t="shared" si="12"/>
        <v>100</v>
      </c>
      <c r="T46" s="666" t="s">
        <v>17</v>
      </c>
      <c r="U46" s="667">
        <f t="shared" si="13"/>
        <v>100</v>
      </c>
      <c r="V46" s="666" t="s">
        <v>17</v>
      </c>
      <c r="W46" s="667">
        <f t="shared" si="14"/>
        <v>100</v>
      </c>
      <c r="X46" s="1264"/>
      <c r="Y46" s="3383"/>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70" t="str">
        <f>A47</f>
        <v>成交单价（元/平方米）</v>
      </c>
      <c r="Q47" s="3370"/>
      <c r="R47" s="3371">
        <f>E47</f>
        <v>0</v>
      </c>
      <c r="S47" s="3371"/>
      <c r="T47" s="3371">
        <f>G47</f>
        <v>0</v>
      </c>
      <c r="U47" s="3371"/>
      <c r="V47" s="3371">
        <f>I47</f>
        <v>0</v>
      </c>
      <c r="W47" s="3371"/>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2025-2</v>
      </c>
      <c r="D58" s="1103">
        <f>EDATE(C58,-1)</f>
        <v>45658</v>
      </c>
      <c r="E58" s="1103">
        <f>EDATE(D58,-1)</f>
        <v>45627</v>
      </c>
      <c r="F58" s="1103">
        <f t="shared" ref="F58:O58" si="19">EDATE(E58,-1)</f>
        <v>45597</v>
      </c>
      <c r="G58" s="1103">
        <f t="shared" si="19"/>
        <v>45566</v>
      </c>
      <c r="H58" s="1103">
        <f t="shared" si="19"/>
        <v>45536</v>
      </c>
      <c r="I58" s="1103">
        <f t="shared" si="19"/>
        <v>45505</v>
      </c>
      <c r="J58" s="1103">
        <f t="shared" si="19"/>
        <v>45474</v>
      </c>
      <c r="K58" s="1103">
        <f t="shared" si="19"/>
        <v>45444</v>
      </c>
      <c r="L58" s="1103">
        <f t="shared" si="19"/>
        <v>45413</v>
      </c>
      <c r="M58" s="1103">
        <f t="shared" si="19"/>
        <v>45383</v>
      </c>
      <c r="N58" s="1103">
        <f t="shared" si="19"/>
        <v>45352</v>
      </c>
      <c r="O58" s="1103">
        <f t="shared" si="19"/>
        <v>45323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255.78</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88" t="s">
        <v>1770</v>
      </c>
      <c r="D4" s="3389"/>
      <c r="E4" s="3390" t="s">
        <v>1771</v>
      </c>
      <c r="F4" s="3391"/>
      <c r="G4" s="3388" t="s">
        <v>1772</v>
      </c>
      <c r="H4" s="3389"/>
      <c r="I4" s="3388" t="s">
        <v>1773</v>
      </c>
      <c r="J4" s="3389"/>
      <c r="K4" s="537" t="s">
        <v>1774</v>
      </c>
      <c r="L4" s="2486"/>
      <c r="M4" s="2487"/>
      <c r="N4" s="2487"/>
      <c r="O4" s="2487"/>
      <c r="P4" s="3444" t="s">
        <v>1775</v>
      </c>
      <c r="Q4" s="3445"/>
      <c r="R4" s="3448" t="s">
        <v>1771</v>
      </c>
      <c r="S4" s="3449"/>
      <c r="T4" s="3448" t="s">
        <v>1772</v>
      </c>
      <c r="U4" s="3449"/>
      <c r="V4" s="3450" t="s">
        <v>1773</v>
      </c>
      <c r="W4" s="3450"/>
      <c r="X4" s="1808"/>
      <c r="Y4" s="3448" t="s">
        <v>1775</v>
      </c>
      <c r="Z4" s="3449"/>
      <c r="AA4" s="3452" t="s">
        <v>1771</v>
      </c>
      <c r="AB4" s="3452" t="s">
        <v>1772</v>
      </c>
      <c r="AC4" s="3441" t="s">
        <v>1773</v>
      </c>
    </row>
    <row r="5" spans="1:29" ht="15">
      <c r="A5" s="348"/>
      <c r="B5" s="349"/>
      <c r="C5" s="3411" t="s">
        <v>1673</v>
      </c>
      <c r="D5" s="3407"/>
      <c r="E5" s="3437" t="s">
        <v>1674</v>
      </c>
      <c r="F5" s="3415"/>
      <c r="G5" s="3411" t="s">
        <v>1675</v>
      </c>
      <c r="H5" s="3407"/>
      <c r="I5" s="3411" t="s">
        <v>1676</v>
      </c>
      <c r="J5" s="3407"/>
      <c r="K5" s="537"/>
      <c r="L5" s="2486"/>
      <c r="M5" s="2487"/>
      <c r="N5" s="2487"/>
      <c r="O5" s="2487"/>
      <c r="P5" s="3446"/>
      <c r="Q5" s="3395"/>
      <c r="R5" s="3400"/>
      <c r="S5" s="3401"/>
      <c r="T5" s="3400"/>
      <c r="U5" s="3401"/>
      <c r="V5" s="3371"/>
      <c r="W5" s="3371"/>
      <c r="X5" s="1264"/>
      <c r="Y5" s="3400"/>
      <c r="Z5" s="3401"/>
      <c r="AA5" s="3386"/>
      <c r="AB5" s="3386"/>
      <c r="AC5" s="3442"/>
    </row>
    <row r="6" spans="1:29" ht="15.75" thickBot="1">
      <c r="A6" s="350"/>
      <c r="B6" s="351"/>
      <c r="C6" s="3404" t="s">
        <v>1677</v>
      </c>
      <c r="D6" s="3405"/>
      <c r="E6" s="3412" t="s">
        <v>1677</v>
      </c>
      <c r="F6" s="3413"/>
      <c r="G6" s="3404" t="s">
        <v>1677</v>
      </c>
      <c r="H6" s="3405"/>
      <c r="I6" s="3404" t="s">
        <v>1677</v>
      </c>
      <c r="J6" s="3405"/>
      <c r="K6" s="537" t="s">
        <v>1678</v>
      </c>
      <c r="L6" s="2486"/>
      <c r="M6" s="2487"/>
      <c r="N6" s="2487"/>
      <c r="O6" s="2487"/>
      <c r="P6" s="3447"/>
      <c r="Q6" s="3397"/>
      <c r="R6" s="3400"/>
      <c r="S6" s="3401"/>
      <c r="T6" s="3402"/>
      <c r="U6" s="3403"/>
      <c r="V6" s="3371"/>
      <c r="W6" s="3371"/>
      <c r="X6" s="1264"/>
      <c r="Y6" s="3402"/>
      <c r="Z6" s="3403"/>
      <c r="AA6" s="3387"/>
      <c r="AB6" s="3387"/>
      <c r="AC6" s="3443"/>
    </row>
    <row r="7" spans="1:29" s="102" customFormat="1" ht="15.75" thickBot="1">
      <c r="A7" s="352" t="s">
        <v>1679</v>
      </c>
      <c r="B7" s="353"/>
      <c r="C7" s="354">
        <f>'数据-取费表'!B2</f>
        <v>45696</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1"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1" t="s">
        <v>1683</v>
      </c>
      <c r="Q8" s="3409"/>
      <c r="R8" s="663" t="s">
        <v>14</v>
      </c>
      <c r="S8" s="664">
        <f t="shared" si="0"/>
        <v>100</v>
      </c>
      <c r="T8" s="663" t="s">
        <v>14</v>
      </c>
      <c r="U8" s="664">
        <f t="shared" si="1"/>
        <v>100</v>
      </c>
      <c r="V8" s="663" t="s">
        <v>14</v>
      </c>
      <c r="W8" s="664">
        <f t="shared" si="2"/>
        <v>100</v>
      </c>
      <c r="X8" s="665"/>
      <c r="Y8" s="3408" t="s">
        <v>1683</v>
      </c>
      <c r="Z8" s="3409"/>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4" t="s">
        <v>1686</v>
      </c>
      <c r="Q9" s="530" t="str">
        <f t="shared" ref="Q9:Q15" si="6">B9</f>
        <v>用途</v>
      </c>
      <c r="R9" s="663" t="s">
        <v>14</v>
      </c>
      <c r="S9" s="664">
        <f t="shared" si="0"/>
        <v>100</v>
      </c>
      <c r="T9" s="663" t="s">
        <v>14</v>
      </c>
      <c r="U9" s="664">
        <f t="shared" si="1"/>
        <v>100</v>
      </c>
      <c r="V9" s="663" t="s">
        <v>14</v>
      </c>
      <c r="W9" s="664">
        <f t="shared" si="2"/>
        <v>100</v>
      </c>
      <c r="X9" s="665"/>
      <c r="Y9" s="3269"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4"/>
      <c r="Q10" s="530" t="str">
        <f t="shared" si="6"/>
        <v>土地使用年限（年）</v>
      </c>
      <c r="R10" s="663" t="s">
        <v>14</v>
      </c>
      <c r="S10" s="664">
        <f t="shared" si="0"/>
        <v>100</v>
      </c>
      <c r="T10" s="663" t="s">
        <v>14</v>
      </c>
      <c r="U10" s="664">
        <f t="shared" si="1"/>
        <v>100</v>
      </c>
      <c r="V10" s="663" t="s">
        <v>14</v>
      </c>
      <c r="W10" s="664">
        <f t="shared" si="2"/>
        <v>100</v>
      </c>
      <c r="X10" s="665"/>
      <c r="Y10" s="326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4"/>
      <c r="Q11" s="530" t="str">
        <f t="shared" si="6"/>
        <v>容积率</v>
      </c>
      <c r="R11" s="663" t="s">
        <v>14</v>
      </c>
      <c r="S11" s="664">
        <f t="shared" si="0"/>
        <v>100</v>
      </c>
      <c r="T11" s="663" t="s">
        <v>14</v>
      </c>
      <c r="U11" s="664">
        <f t="shared" si="1"/>
        <v>100</v>
      </c>
      <c r="V11" s="663" t="s">
        <v>14</v>
      </c>
      <c r="W11" s="664">
        <f t="shared" si="2"/>
        <v>100</v>
      </c>
      <c r="X11" s="665"/>
      <c r="Y11" s="326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4"/>
      <c r="Q12" s="530">
        <f t="shared" si="6"/>
        <v>111</v>
      </c>
      <c r="R12" s="663" t="s">
        <v>14</v>
      </c>
      <c r="S12" s="664">
        <f t="shared" si="0"/>
        <v>100</v>
      </c>
      <c r="T12" s="663" t="s">
        <v>14</v>
      </c>
      <c r="U12" s="664">
        <f t="shared" si="1"/>
        <v>100</v>
      </c>
      <c r="V12" s="663" t="s">
        <v>14</v>
      </c>
      <c r="W12" s="664">
        <f t="shared" si="2"/>
        <v>100</v>
      </c>
      <c r="X12" s="665"/>
      <c r="Y12" s="326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4"/>
      <c r="Q13" s="530">
        <f t="shared" si="6"/>
        <v>111</v>
      </c>
      <c r="R13" s="663" t="s">
        <v>14</v>
      </c>
      <c r="S13" s="664">
        <f t="shared" si="0"/>
        <v>100</v>
      </c>
      <c r="T13" s="663" t="s">
        <v>14</v>
      </c>
      <c r="U13" s="664">
        <f t="shared" si="1"/>
        <v>100</v>
      </c>
      <c r="V13" s="663" t="s">
        <v>14</v>
      </c>
      <c r="W13" s="664">
        <f t="shared" si="2"/>
        <v>100</v>
      </c>
      <c r="X13" s="665"/>
      <c r="Y13" s="3269"/>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84"/>
      <c r="Q14" s="530">
        <f t="shared" si="6"/>
        <v>111</v>
      </c>
      <c r="R14" s="663" t="s">
        <v>14</v>
      </c>
      <c r="S14" s="664">
        <f t="shared" si="0"/>
        <v>100</v>
      </c>
      <c r="T14" s="663" t="s">
        <v>14</v>
      </c>
      <c r="U14" s="664">
        <f t="shared" si="1"/>
        <v>100</v>
      </c>
      <c r="V14" s="663" t="s">
        <v>14</v>
      </c>
      <c r="W14" s="664">
        <f t="shared" si="2"/>
        <v>100</v>
      </c>
      <c r="X14" s="665"/>
      <c r="Y14" s="3269"/>
      <c r="Z14" s="50">
        <f t="shared" si="7"/>
        <v>111</v>
      </c>
      <c r="AA14" s="50">
        <f t="shared" si="3"/>
        <v>1</v>
      </c>
      <c r="AB14" s="50">
        <f t="shared" si="4"/>
        <v>1</v>
      </c>
      <c r="AC14" s="801">
        <f t="shared" si="5"/>
        <v>1</v>
      </c>
    </row>
    <row r="15" spans="1:29" ht="15">
      <c r="A15" s="379" t="s">
        <v>1690</v>
      </c>
      <c r="B15" s="553"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5" t="s">
        <v>1691</v>
      </c>
      <c r="Q15" s="1262" t="str">
        <f t="shared" si="6"/>
        <v>办公集聚程度</v>
      </c>
      <c r="R15" s="666" t="s">
        <v>14</v>
      </c>
      <c r="S15" s="667">
        <f t="shared" si="0"/>
        <v>100</v>
      </c>
      <c r="T15" s="666" t="s">
        <v>14</v>
      </c>
      <c r="U15" s="667">
        <f t="shared" si="1"/>
        <v>100</v>
      </c>
      <c r="V15" s="666" t="s">
        <v>14</v>
      </c>
      <c r="W15" s="667">
        <f t="shared" si="2"/>
        <v>100</v>
      </c>
      <c r="X15" s="1264"/>
      <c r="Y15" s="3377"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376"/>
      <c r="Q16" s="1262"/>
      <c r="R16" s="666"/>
      <c r="S16" s="667"/>
      <c r="T16" s="666"/>
      <c r="U16" s="667"/>
      <c r="V16" s="666"/>
      <c r="W16" s="667"/>
      <c r="X16" s="1264"/>
      <c r="Y16" s="3378"/>
      <c r="Z16" s="1263"/>
      <c r="AA16" s="1263">
        <v>1</v>
      </c>
      <c r="AB16" s="1263">
        <v>1</v>
      </c>
      <c r="AC16" s="1811">
        <v>1</v>
      </c>
    </row>
    <row r="17" spans="1:29" ht="15">
      <c r="A17" s="367"/>
      <c r="B17" s="555"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6"/>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76"/>
      <c r="Q18" s="1262"/>
      <c r="R18" s="666"/>
      <c r="S18" s="667"/>
      <c r="T18" s="666"/>
      <c r="U18" s="667"/>
      <c r="V18" s="666"/>
      <c r="W18" s="667"/>
      <c r="X18" s="1264"/>
      <c r="Y18" s="3378"/>
      <c r="Z18" s="1263"/>
      <c r="AA18" s="1263">
        <v>1</v>
      </c>
      <c r="AB18" s="1263">
        <v>1</v>
      </c>
      <c r="AC18" s="1811">
        <v>1</v>
      </c>
    </row>
    <row r="19" spans="1:29" ht="15">
      <c r="A19" s="367"/>
      <c r="B19" s="555"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6"/>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76"/>
      <c r="Q20" s="1262"/>
      <c r="R20" s="666"/>
      <c r="S20" s="667"/>
      <c r="T20" s="666"/>
      <c r="U20" s="667"/>
      <c r="V20" s="666"/>
      <c r="W20" s="667"/>
      <c r="X20" s="1264"/>
      <c r="Y20" s="3378"/>
      <c r="Z20" s="1263"/>
      <c r="AA20" s="1263">
        <v>1</v>
      </c>
      <c r="AB20" s="1263">
        <v>1</v>
      </c>
      <c r="AC20" s="1811">
        <v>1</v>
      </c>
    </row>
    <row r="21" spans="1:29" ht="15">
      <c r="A21" s="367"/>
      <c r="B21" s="556"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6"/>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376"/>
      <c r="Q22" s="1262"/>
      <c r="R22" s="666"/>
      <c r="S22" s="667"/>
      <c r="T22" s="666"/>
      <c r="U22" s="667"/>
      <c r="V22" s="666"/>
      <c r="W22" s="667"/>
      <c r="X22" s="1264"/>
      <c r="Y22" s="3378"/>
      <c r="Z22" s="1263"/>
      <c r="AA22" s="1263">
        <v>1</v>
      </c>
      <c r="AB22" s="1263">
        <v>1</v>
      </c>
      <c r="AC22" s="1811">
        <v>1</v>
      </c>
    </row>
    <row r="23" spans="1:29" ht="15">
      <c r="A23" s="367"/>
      <c r="B23" s="555"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6"/>
      <c r="Q23" s="1262" t="str">
        <f>B23</f>
        <v>环境质量</v>
      </c>
      <c r="R23" s="666" t="s">
        <v>14</v>
      </c>
      <c r="S23" s="667">
        <f>F23</f>
        <v>100</v>
      </c>
      <c r="T23" s="666" t="s">
        <v>14</v>
      </c>
      <c r="U23" s="667">
        <f>H23</f>
        <v>100</v>
      </c>
      <c r="V23" s="666" t="s">
        <v>14</v>
      </c>
      <c r="W23" s="667">
        <f>J23</f>
        <v>100</v>
      </c>
      <c r="X23" s="1264"/>
      <c r="Y23" s="3378"/>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376"/>
      <c r="Q24" s="1262"/>
      <c r="R24" s="666"/>
      <c r="S24" s="667"/>
      <c r="T24" s="666"/>
      <c r="U24" s="667"/>
      <c r="V24" s="666"/>
      <c r="W24" s="667"/>
      <c r="X24" s="1264"/>
      <c r="Y24" s="3378"/>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76"/>
      <c r="Q25" s="1262" t="str">
        <f>B25</f>
        <v>毗邻道路的类型与等级</v>
      </c>
      <c r="R25" s="666" t="s">
        <v>14</v>
      </c>
      <c r="S25" s="667">
        <f>F25</f>
        <v>100</v>
      </c>
      <c r="T25" s="666" t="s">
        <v>14</v>
      </c>
      <c r="U25" s="667">
        <f>H25</f>
        <v>100</v>
      </c>
      <c r="V25" s="666" t="s">
        <v>14</v>
      </c>
      <c r="W25" s="667">
        <f>J25</f>
        <v>100</v>
      </c>
      <c r="X25" s="1264"/>
      <c r="Y25" s="3378"/>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376"/>
      <c r="Q26" s="1262"/>
      <c r="R26" s="666"/>
      <c r="S26" s="667"/>
      <c r="T26" s="666"/>
      <c r="U26" s="667"/>
      <c r="V26" s="666"/>
      <c r="W26" s="667"/>
      <c r="X26" s="1264"/>
      <c r="Y26" s="3378"/>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376"/>
      <c r="Q27" s="1262" t="str">
        <f t="shared" ref="Q27:Q47" si="11">B27</f>
        <v>楼层</v>
      </c>
      <c r="R27" s="666" t="s">
        <v>14</v>
      </c>
      <c r="S27" s="667">
        <f>F27</f>
        <v>100</v>
      </c>
      <c r="T27" s="666" t="s">
        <v>14</v>
      </c>
      <c r="U27" s="667">
        <f>H27</f>
        <v>100</v>
      </c>
      <c r="V27" s="666" t="s">
        <v>14</v>
      </c>
      <c r="W27" s="667">
        <f>J27</f>
        <v>100</v>
      </c>
      <c r="X27" s="1264"/>
      <c r="Y27" s="3378"/>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76"/>
      <c r="Q28" s="530" t="str">
        <f t="shared" si="11"/>
        <v>朝向</v>
      </c>
      <c r="R28" s="663" t="s">
        <v>14</v>
      </c>
      <c r="S28" s="664">
        <f>F28</f>
        <v>100</v>
      </c>
      <c r="T28" s="663" t="s">
        <v>14</v>
      </c>
      <c r="U28" s="664">
        <f>H28</f>
        <v>100</v>
      </c>
      <c r="V28" s="663" t="s">
        <v>14</v>
      </c>
      <c r="W28" s="664">
        <f>J28</f>
        <v>100</v>
      </c>
      <c r="X28" s="665"/>
      <c r="Y28" s="3378"/>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76"/>
      <c r="Q29" s="1262">
        <f t="shared" si="11"/>
        <v>111</v>
      </c>
      <c r="R29" s="666" t="s">
        <v>14</v>
      </c>
      <c r="S29" s="667">
        <f t="shared" ref="S29:S47" si="12">F29</f>
        <v>100</v>
      </c>
      <c r="T29" s="666" t="s">
        <v>14</v>
      </c>
      <c r="U29" s="667">
        <f t="shared" ref="U29:U47" si="13">H29</f>
        <v>100</v>
      </c>
      <c r="V29" s="666" t="s">
        <v>14</v>
      </c>
      <c r="W29" s="667">
        <f t="shared" ref="W29:W47" si="14">J29</f>
        <v>100</v>
      </c>
      <c r="X29" s="1264"/>
      <c r="Y29" s="3378"/>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76"/>
      <c r="Q30" s="1262">
        <f t="shared" si="11"/>
        <v>111</v>
      </c>
      <c r="R30" s="666" t="s">
        <v>14</v>
      </c>
      <c r="S30" s="667">
        <f t="shared" si="12"/>
        <v>100</v>
      </c>
      <c r="T30" s="666" t="s">
        <v>14</v>
      </c>
      <c r="U30" s="667">
        <f t="shared" si="13"/>
        <v>100</v>
      </c>
      <c r="V30" s="666" t="s">
        <v>14</v>
      </c>
      <c r="W30" s="667">
        <f t="shared" si="14"/>
        <v>100</v>
      </c>
      <c r="X30" s="1264"/>
      <c r="Y30" s="3378"/>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76"/>
      <c r="Q31" s="1262">
        <f t="shared" si="11"/>
        <v>111</v>
      </c>
      <c r="R31" s="666" t="s">
        <v>14</v>
      </c>
      <c r="S31" s="667">
        <f t="shared" si="12"/>
        <v>100</v>
      </c>
      <c r="T31" s="666" t="s">
        <v>14</v>
      </c>
      <c r="U31" s="667">
        <f t="shared" si="13"/>
        <v>100</v>
      </c>
      <c r="V31" s="666" t="s">
        <v>14</v>
      </c>
      <c r="W31" s="667">
        <f t="shared" si="14"/>
        <v>100</v>
      </c>
      <c r="X31" s="1264"/>
      <c r="Y31" s="3378"/>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76"/>
      <c r="Q32" s="1262">
        <f t="shared" si="11"/>
        <v>111</v>
      </c>
      <c r="R32" s="666" t="s">
        <v>14</v>
      </c>
      <c r="S32" s="667">
        <f t="shared" si="12"/>
        <v>100</v>
      </c>
      <c r="T32" s="666" t="s">
        <v>14</v>
      </c>
      <c r="U32" s="667">
        <f t="shared" si="13"/>
        <v>100</v>
      </c>
      <c r="V32" s="666" t="s">
        <v>14</v>
      </c>
      <c r="W32" s="667">
        <f t="shared" si="14"/>
        <v>100</v>
      </c>
      <c r="X32" s="1264"/>
      <c r="Y32" s="3378"/>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79" t="s">
        <v>1696</v>
      </c>
      <c r="Q33" s="1262" t="str">
        <f t="shared" si="11"/>
        <v>建筑类型</v>
      </c>
      <c r="R33" s="666" t="s">
        <v>14</v>
      </c>
      <c r="S33" s="667">
        <f t="shared" si="12"/>
        <v>100</v>
      </c>
      <c r="T33" s="666" t="s">
        <v>14</v>
      </c>
      <c r="U33" s="667">
        <f t="shared" si="13"/>
        <v>100</v>
      </c>
      <c r="V33" s="666" t="s">
        <v>14</v>
      </c>
      <c r="W33" s="667">
        <f t="shared" si="14"/>
        <v>100</v>
      </c>
      <c r="X33" s="1264"/>
      <c r="Y33" s="3382"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0"/>
      <c r="Q34" s="531" t="str">
        <f t="shared" si="11"/>
        <v>项目建筑规模</v>
      </c>
      <c r="R34" s="668" t="s">
        <v>14</v>
      </c>
      <c r="S34" s="669" t="e">
        <f t="shared" si="12"/>
        <v>#N/A</v>
      </c>
      <c r="T34" s="668" t="s">
        <v>14</v>
      </c>
      <c r="U34" s="669" t="e">
        <f t="shared" si="13"/>
        <v>#N/A</v>
      </c>
      <c r="V34" s="668" t="s">
        <v>14</v>
      </c>
      <c r="W34" s="669" t="e">
        <f t="shared" si="14"/>
        <v>#N/A</v>
      </c>
      <c r="X34" s="670"/>
      <c r="Y34" s="3382"/>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0"/>
      <c r="Q35" s="1262" t="str">
        <f t="shared" si="11"/>
        <v>建筑结构</v>
      </c>
      <c r="R35" s="666" t="s">
        <v>14</v>
      </c>
      <c r="S35" s="667">
        <f t="shared" si="12"/>
        <v>100</v>
      </c>
      <c r="T35" s="666" t="s">
        <v>14</v>
      </c>
      <c r="U35" s="667">
        <f t="shared" si="13"/>
        <v>100</v>
      </c>
      <c r="V35" s="666" t="s">
        <v>14</v>
      </c>
      <c r="W35" s="667">
        <f t="shared" si="14"/>
        <v>100</v>
      </c>
      <c r="X35" s="1264"/>
      <c r="Y35" s="3382"/>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0"/>
      <c r="Q36" s="1262" t="str">
        <f t="shared" si="11"/>
        <v>公共部分装修</v>
      </c>
      <c r="R36" s="666" t="s">
        <v>14</v>
      </c>
      <c r="S36" s="667">
        <f t="shared" si="12"/>
        <v>100</v>
      </c>
      <c r="T36" s="666" t="s">
        <v>14</v>
      </c>
      <c r="U36" s="667">
        <f t="shared" si="13"/>
        <v>100</v>
      </c>
      <c r="V36" s="666" t="s">
        <v>14</v>
      </c>
      <c r="W36" s="667">
        <f t="shared" si="14"/>
        <v>100</v>
      </c>
      <c r="X36" s="1264"/>
      <c r="Y36" s="3382"/>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0"/>
      <c r="Q37" s="1262" t="str">
        <f t="shared" si="11"/>
        <v>成新度</v>
      </c>
      <c r="R37" s="666" t="s">
        <v>14</v>
      </c>
      <c r="S37" s="667" t="e">
        <f t="shared" si="12"/>
        <v>#N/A</v>
      </c>
      <c r="T37" s="666" t="s">
        <v>14</v>
      </c>
      <c r="U37" s="667" t="e">
        <f t="shared" si="13"/>
        <v>#N/A</v>
      </c>
      <c r="V37" s="666" t="s">
        <v>14</v>
      </c>
      <c r="W37" s="667" t="e">
        <f t="shared" si="14"/>
        <v>#N/A</v>
      </c>
      <c r="X37" s="1264"/>
      <c r="Y37" s="3382"/>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0"/>
      <c r="Q38" s="530" t="str">
        <f t="shared" si="11"/>
        <v>写字楼等级</v>
      </c>
      <c r="R38" s="663" t="s">
        <v>14</v>
      </c>
      <c r="S38" s="664">
        <f t="shared" si="12"/>
        <v>100</v>
      </c>
      <c r="T38" s="663" t="s">
        <v>14</v>
      </c>
      <c r="U38" s="664">
        <f t="shared" si="13"/>
        <v>100</v>
      </c>
      <c r="V38" s="663" t="s">
        <v>14</v>
      </c>
      <c r="W38" s="664">
        <f t="shared" si="14"/>
        <v>100</v>
      </c>
      <c r="X38" s="665"/>
      <c r="Y38" s="3382"/>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0" t="s">
        <v>1696</v>
      </c>
      <c r="Q39" s="1262" t="str">
        <f t="shared" si="11"/>
        <v>物业管理</v>
      </c>
      <c r="R39" s="666" t="s">
        <v>14</v>
      </c>
      <c r="S39" s="667">
        <f t="shared" si="12"/>
        <v>100</v>
      </c>
      <c r="T39" s="666" t="s">
        <v>14</v>
      </c>
      <c r="U39" s="667">
        <f t="shared" si="13"/>
        <v>100</v>
      </c>
      <c r="V39" s="666" t="s">
        <v>14</v>
      </c>
      <c r="W39" s="667">
        <f t="shared" si="14"/>
        <v>100</v>
      </c>
      <c r="X39" s="1264"/>
      <c r="Y39" s="3382"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0"/>
      <c r="Q40" s="1262" t="str">
        <f t="shared" si="11"/>
        <v>市政基础设施</v>
      </c>
      <c r="R40" s="666" t="s">
        <v>14</v>
      </c>
      <c r="S40" s="667">
        <f t="shared" si="12"/>
        <v>100</v>
      </c>
      <c r="T40" s="666" t="s">
        <v>14</v>
      </c>
      <c r="U40" s="667">
        <f t="shared" si="13"/>
        <v>100</v>
      </c>
      <c r="V40" s="666" t="s">
        <v>14</v>
      </c>
      <c r="W40" s="667">
        <f t="shared" si="14"/>
        <v>100</v>
      </c>
      <c r="X40" s="1264"/>
      <c r="Y40" s="3382"/>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0"/>
      <c r="Q41" s="1262" t="str">
        <f t="shared" si="11"/>
        <v>层高</v>
      </c>
      <c r="R41" s="666" t="s">
        <v>14</v>
      </c>
      <c r="S41" s="667">
        <f t="shared" si="12"/>
        <v>100</v>
      </c>
      <c r="T41" s="666" t="s">
        <v>14</v>
      </c>
      <c r="U41" s="667">
        <f t="shared" si="13"/>
        <v>100</v>
      </c>
      <c r="V41" s="666" t="s">
        <v>14</v>
      </c>
      <c r="W41" s="667">
        <f t="shared" si="14"/>
        <v>100</v>
      </c>
      <c r="X41" s="1264"/>
      <c r="Y41" s="3382"/>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0"/>
      <c r="Q42" s="531" t="str">
        <f t="shared" si="11"/>
        <v>单套建筑面积</v>
      </c>
      <c r="R42" s="668" t="s">
        <v>14</v>
      </c>
      <c r="S42" s="669">
        <f t="shared" si="12"/>
        <v>100</v>
      </c>
      <c r="T42" s="668" t="s">
        <v>14</v>
      </c>
      <c r="U42" s="669">
        <f t="shared" si="13"/>
        <v>100</v>
      </c>
      <c r="V42" s="668" t="s">
        <v>14</v>
      </c>
      <c r="W42" s="669">
        <f t="shared" si="14"/>
        <v>100</v>
      </c>
      <c r="X42" s="670"/>
      <c r="Y42" s="3382"/>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0"/>
      <c r="Q43" s="1262" t="str">
        <f t="shared" si="11"/>
        <v>内部装修</v>
      </c>
      <c r="R43" s="666" t="s">
        <v>14</v>
      </c>
      <c r="S43" s="667">
        <f t="shared" si="12"/>
        <v>100</v>
      </c>
      <c r="T43" s="666" t="s">
        <v>14</v>
      </c>
      <c r="U43" s="667">
        <f t="shared" si="13"/>
        <v>100</v>
      </c>
      <c r="V43" s="666" t="s">
        <v>14</v>
      </c>
      <c r="W43" s="667">
        <f t="shared" si="14"/>
        <v>100</v>
      </c>
      <c r="X43" s="1264"/>
      <c r="Y43" s="3382"/>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0"/>
      <c r="Q44" s="1262" t="str">
        <f t="shared" si="11"/>
        <v>内部装修维护情况</v>
      </c>
      <c r="R44" s="666" t="s">
        <v>14</v>
      </c>
      <c r="S44" s="667">
        <f t="shared" si="12"/>
        <v>100</v>
      </c>
      <c r="T44" s="666" t="s">
        <v>14</v>
      </c>
      <c r="U44" s="667">
        <f t="shared" si="13"/>
        <v>100</v>
      </c>
      <c r="V44" s="666" t="s">
        <v>14</v>
      </c>
      <c r="W44" s="667">
        <f t="shared" si="14"/>
        <v>100</v>
      </c>
      <c r="X44" s="1264"/>
      <c r="Y44" s="3382"/>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0"/>
      <c r="Q45" s="530">
        <f t="shared" si="11"/>
        <v>111</v>
      </c>
      <c r="R45" s="663" t="s">
        <v>14</v>
      </c>
      <c r="S45" s="664">
        <f t="shared" si="12"/>
        <v>100</v>
      </c>
      <c r="T45" s="663" t="s">
        <v>14</v>
      </c>
      <c r="U45" s="664">
        <f t="shared" si="13"/>
        <v>100</v>
      </c>
      <c r="V45" s="663" t="s">
        <v>14</v>
      </c>
      <c r="W45" s="664">
        <f t="shared" si="14"/>
        <v>100</v>
      </c>
      <c r="X45" s="665"/>
      <c r="Y45" s="3382"/>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0"/>
      <c r="Q46" s="1262">
        <f t="shared" si="11"/>
        <v>111</v>
      </c>
      <c r="R46" s="666" t="s">
        <v>14</v>
      </c>
      <c r="S46" s="667">
        <f t="shared" si="12"/>
        <v>100</v>
      </c>
      <c r="T46" s="666" t="s">
        <v>14</v>
      </c>
      <c r="U46" s="667">
        <f t="shared" si="13"/>
        <v>100</v>
      </c>
      <c r="V46" s="666" t="s">
        <v>14</v>
      </c>
      <c r="W46" s="667">
        <f t="shared" si="14"/>
        <v>100</v>
      </c>
      <c r="X46" s="1264"/>
      <c r="Y46" s="3382"/>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1"/>
      <c r="Q47" s="1262">
        <f t="shared" si="11"/>
        <v>111</v>
      </c>
      <c r="R47" s="666" t="s">
        <v>14</v>
      </c>
      <c r="S47" s="667">
        <f t="shared" si="12"/>
        <v>100</v>
      </c>
      <c r="T47" s="666" t="s">
        <v>14</v>
      </c>
      <c r="U47" s="667">
        <f t="shared" si="13"/>
        <v>100</v>
      </c>
      <c r="V47" s="666" t="s">
        <v>14</v>
      </c>
      <c r="W47" s="667">
        <f t="shared" si="14"/>
        <v>100</v>
      </c>
      <c r="X47" s="1264"/>
      <c r="Y47" s="3383"/>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384" t="str">
        <f>A48</f>
        <v>成交单价（元/平方米）</v>
      </c>
      <c r="Q48" s="3370"/>
      <c r="R48" s="3371">
        <f>E48</f>
        <v>0</v>
      </c>
      <c r="S48" s="3371"/>
      <c r="T48" s="3371">
        <f>G48</f>
        <v>0</v>
      </c>
      <c r="U48" s="3371"/>
      <c r="V48" s="3371">
        <f>I48</f>
        <v>0</v>
      </c>
      <c r="W48" s="3371"/>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84"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4"/>
      <c r="M50" s="2487"/>
      <c r="N50" s="2487"/>
      <c r="O50" s="2487"/>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255.78</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859"/>
      <c r="M4" s="860"/>
      <c r="N4" s="860"/>
      <c r="O4" s="860"/>
      <c r="P4" s="3392" t="s">
        <v>1775</v>
      </c>
      <c r="Q4" s="3393"/>
      <c r="R4" s="3398" t="s">
        <v>1771</v>
      </c>
      <c r="S4" s="3399"/>
      <c r="T4" s="3398" t="s">
        <v>1772</v>
      </c>
      <c r="U4" s="3399"/>
      <c r="V4" s="3371" t="s">
        <v>1773</v>
      </c>
      <c r="W4" s="3371"/>
      <c r="X4" s="1264"/>
      <c r="Y4" s="3398" t="s">
        <v>1775</v>
      </c>
      <c r="Z4" s="3399"/>
      <c r="AA4" s="3385" t="s">
        <v>1771</v>
      </c>
      <c r="AB4" s="3386" t="s">
        <v>1772</v>
      </c>
      <c r="AC4" s="3385" t="s">
        <v>1773</v>
      </c>
    </row>
    <row r="5" spans="1:29" ht="15">
      <c r="A5" s="348"/>
      <c r="B5" s="349"/>
      <c r="C5" s="3411" t="s">
        <v>1673</v>
      </c>
      <c r="D5" s="3407"/>
      <c r="E5" s="3437" t="s">
        <v>1674</v>
      </c>
      <c r="F5" s="3415"/>
      <c r="G5" s="3411" t="s">
        <v>1675</v>
      </c>
      <c r="H5" s="3407"/>
      <c r="I5" s="3411" t="s">
        <v>1676</v>
      </c>
      <c r="J5" s="3407"/>
      <c r="K5" s="537"/>
      <c r="L5" s="859"/>
      <c r="M5" s="860"/>
      <c r="N5" s="860"/>
      <c r="O5" s="860"/>
      <c r="P5" s="3394"/>
      <c r="Q5" s="3395"/>
      <c r="R5" s="3400"/>
      <c r="S5" s="3401"/>
      <c r="T5" s="3400"/>
      <c r="U5" s="3401"/>
      <c r="V5" s="3371"/>
      <c r="W5" s="3371"/>
      <c r="X5" s="1264"/>
      <c r="Y5" s="3400"/>
      <c r="Z5" s="3401"/>
      <c r="AA5" s="3386"/>
      <c r="AB5" s="3386"/>
      <c r="AC5" s="3386"/>
    </row>
    <row r="6" spans="1:29" ht="15.75" thickBot="1">
      <c r="A6" s="350"/>
      <c r="B6" s="351"/>
      <c r="C6" s="3404" t="s">
        <v>1677</v>
      </c>
      <c r="D6" s="3405"/>
      <c r="E6" s="3412" t="s">
        <v>1677</v>
      </c>
      <c r="F6" s="3413"/>
      <c r="G6" s="3404" t="s">
        <v>1677</v>
      </c>
      <c r="H6" s="3405"/>
      <c r="I6" s="3404" t="s">
        <v>1677</v>
      </c>
      <c r="J6" s="3405"/>
      <c r="K6" s="537" t="s">
        <v>1678</v>
      </c>
      <c r="L6" s="859"/>
      <c r="M6" s="860"/>
      <c r="N6" s="860"/>
      <c r="O6" s="860"/>
      <c r="P6" s="3396"/>
      <c r="Q6" s="3397"/>
      <c r="R6" s="3400"/>
      <c r="S6" s="3401"/>
      <c r="T6" s="3402"/>
      <c r="U6" s="3403"/>
      <c r="V6" s="3371"/>
      <c r="W6" s="3371"/>
      <c r="X6" s="1264"/>
      <c r="Y6" s="3402"/>
      <c r="Z6" s="3403"/>
      <c r="AA6" s="3387"/>
      <c r="AB6" s="3387"/>
      <c r="AC6" s="3387"/>
    </row>
    <row r="7" spans="1:29" s="102" customFormat="1" ht="15.75" thickBot="1">
      <c r="A7" s="352" t="s">
        <v>1679</v>
      </c>
      <c r="B7" s="353"/>
      <c r="C7" s="354">
        <f>'数据-取费表'!B2</f>
        <v>45696</v>
      </c>
      <c r="D7" s="355">
        <v>100</v>
      </c>
      <c r="E7" s="356"/>
      <c r="F7" s="357">
        <f>SUMIF(52:52,YEAR(E7)&amp;"-"&amp;MONTH(E7),53:53)</f>
        <v>0</v>
      </c>
      <c r="G7" s="356"/>
      <c r="H7" s="355">
        <f>SUMIF(52:52,YEAR(G7)&amp;"-"&amp;MONTH(G7),53:53)</f>
        <v>0</v>
      </c>
      <c r="I7" s="356"/>
      <c r="J7" s="355">
        <f>SUMIF(52:52,YEAR(I7)&amp;"-"&amp;MONTH(I7),53:53)</f>
        <v>0</v>
      </c>
      <c r="K7" s="38"/>
      <c r="L7" s="861"/>
      <c r="M7" s="862"/>
      <c r="N7" s="862"/>
      <c r="O7" s="862"/>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08" t="s">
        <v>1683</v>
      </c>
      <c r="Q8" s="3409"/>
      <c r="R8" s="663" t="s">
        <v>14</v>
      </c>
      <c r="S8" s="664">
        <f t="shared" si="0"/>
        <v>100</v>
      </c>
      <c r="T8" s="663" t="s">
        <v>14</v>
      </c>
      <c r="U8" s="664">
        <f t="shared" si="1"/>
        <v>100</v>
      </c>
      <c r="V8" s="663" t="s">
        <v>14</v>
      </c>
      <c r="W8" s="664">
        <f t="shared" si="2"/>
        <v>100</v>
      </c>
      <c r="X8" s="665"/>
      <c r="Y8" s="3408" t="s">
        <v>1683</v>
      </c>
      <c r="Z8" s="340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0" t="s">
        <v>1686</v>
      </c>
      <c r="Q9" s="530" t="str">
        <f t="shared" ref="Q9:Q15" si="6">B9</f>
        <v>用途</v>
      </c>
      <c r="R9" s="663" t="s">
        <v>14</v>
      </c>
      <c r="S9" s="664">
        <f t="shared" si="0"/>
        <v>100</v>
      </c>
      <c r="T9" s="663" t="s">
        <v>14</v>
      </c>
      <c r="U9" s="664">
        <f t="shared" si="1"/>
        <v>100</v>
      </c>
      <c r="V9" s="663" t="s">
        <v>14</v>
      </c>
      <c r="W9" s="664">
        <f t="shared" si="2"/>
        <v>100</v>
      </c>
      <c r="X9" s="665"/>
      <c r="Y9" s="326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70"/>
      <c r="Q10" s="530" t="str">
        <f t="shared" si="6"/>
        <v>土地使用年限（年）</v>
      </c>
      <c r="R10" s="663" t="s">
        <v>14</v>
      </c>
      <c r="S10" s="664">
        <f t="shared" si="0"/>
        <v>100</v>
      </c>
      <c r="T10" s="663" t="s">
        <v>14</v>
      </c>
      <c r="U10" s="664">
        <f t="shared" si="1"/>
        <v>100</v>
      </c>
      <c r="V10" s="663" t="s">
        <v>14</v>
      </c>
      <c r="W10" s="664">
        <f t="shared" si="2"/>
        <v>100</v>
      </c>
      <c r="X10" s="665"/>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0"/>
      <c r="Q11" s="530" t="str">
        <f t="shared" si="6"/>
        <v>容积率</v>
      </c>
      <c r="R11" s="663" t="s">
        <v>14</v>
      </c>
      <c r="S11" s="664">
        <f t="shared" si="0"/>
        <v>100</v>
      </c>
      <c r="T11" s="663" t="s">
        <v>14</v>
      </c>
      <c r="U11" s="664">
        <f t="shared" si="1"/>
        <v>100</v>
      </c>
      <c r="V11" s="663" t="s">
        <v>14</v>
      </c>
      <c r="W11" s="664">
        <f t="shared" si="2"/>
        <v>100</v>
      </c>
      <c r="X11" s="665"/>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70"/>
      <c r="Q12" s="530">
        <f t="shared" si="6"/>
        <v>111</v>
      </c>
      <c r="R12" s="663" t="s">
        <v>14</v>
      </c>
      <c r="S12" s="664">
        <f t="shared" si="0"/>
        <v>100</v>
      </c>
      <c r="T12" s="663" t="s">
        <v>14</v>
      </c>
      <c r="U12" s="664">
        <f t="shared" si="1"/>
        <v>100</v>
      </c>
      <c r="V12" s="663" t="s">
        <v>14</v>
      </c>
      <c r="W12" s="664">
        <f t="shared" si="2"/>
        <v>100</v>
      </c>
      <c r="X12" s="665"/>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70"/>
      <c r="Q13" s="530">
        <f t="shared" si="6"/>
        <v>111</v>
      </c>
      <c r="R13" s="663" t="s">
        <v>14</v>
      </c>
      <c r="S13" s="664">
        <f t="shared" si="0"/>
        <v>100</v>
      </c>
      <c r="T13" s="663" t="s">
        <v>14</v>
      </c>
      <c r="U13" s="664">
        <f t="shared" si="1"/>
        <v>100</v>
      </c>
      <c r="V13" s="663" t="s">
        <v>14</v>
      </c>
      <c r="W13" s="664">
        <f t="shared" si="2"/>
        <v>100</v>
      </c>
      <c r="X13" s="665"/>
      <c r="Y13" s="326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70"/>
      <c r="Q14" s="530">
        <f t="shared" si="6"/>
        <v>111</v>
      </c>
      <c r="R14" s="663" t="s">
        <v>14</v>
      </c>
      <c r="S14" s="664">
        <f t="shared" si="0"/>
        <v>100</v>
      </c>
      <c r="T14" s="663" t="s">
        <v>14</v>
      </c>
      <c r="U14" s="664">
        <f t="shared" si="1"/>
        <v>100</v>
      </c>
      <c r="V14" s="663" t="s">
        <v>14</v>
      </c>
      <c r="W14" s="664">
        <f t="shared" si="2"/>
        <v>100</v>
      </c>
      <c r="X14" s="665"/>
      <c r="Y14" s="3269"/>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7" t="s">
        <v>1691</v>
      </c>
      <c r="Q15" s="1262" t="str">
        <f t="shared" si="6"/>
        <v>产业集聚程度</v>
      </c>
      <c r="R15" s="666" t="s">
        <v>14</v>
      </c>
      <c r="S15" s="667">
        <f t="shared" si="0"/>
        <v>100</v>
      </c>
      <c r="T15" s="666" t="s">
        <v>14</v>
      </c>
      <c r="U15" s="667">
        <f t="shared" si="1"/>
        <v>100</v>
      </c>
      <c r="V15" s="666" t="s">
        <v>14</v>
      </c>
      <c r="W15" s="667">
        <f t="shared" si="2"/>
        <v>100</v>
      </c>
      <c r="X15" s="1264"/>
      <c r="Y15" s="337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8"/>
      <c r="Q16" s="1262"/>
      <c r="R16" s="666"/>
      <c r="S16" s="667"/>
      <c r="T16" s="666"/>
      <c r="U16" s="667"/>
      <c r="V16" s="666"/>
      <c r="W16" s="667"/>
      <c r="X16" s="1264"/>
      <c r="Y16" s="3378"/>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8"/>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78"/>
      <c r="Q18" s="1262"/>
      <c r="R18" s="666"/>
      <c r="S18" s="667"/>
      <c r="T18" s="666"/>
      <c r="U18" s="667"/>
      <c r="V18" s="666"/>
      <c r="W18" s="667"/>
      <c r="X18" s="1264"/>
      <c r="Y18" s="3378"/>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8"/>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78"/>
      <c r="Q20" s="1262"/>
      <c r="R20" s="666"/>
      <c r="S20" s="667"/>
      <c r="T20" s="666"/>
      <c r="U20" s="667"/>
      <c r="V20" s="666"/>
      <c r="W20" s="667"/>
      <c r="X20" s="1264"/>
      <c r="Y20" s="3378"/>
      <c r="Z20" s="1263"/>
      <c r="AA20" s="1263">
        <v>1</v>
      </c>
      <c r="AB20" s="1263">
        <v>1</v>
      </c>
      <c r="AC20" s="1263">
        <v>1</v>
      </c>
    </row>
    <row r="21" spans="1:29" ht="15">
      <c r="A21" s="367"/>
      <c r="B21" s="585"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8"/>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78"/>
      <c r="Q22" s="1262"/>
      <c r="R22" s="666"/>
      <c r="S22" s="667"/>
      <c r="T22" s="666"/>
      <c r="U22" s="667"/>
      <c r="V22" s="666"/>
      <c r="W22" s="667"/>
      <c r="X22" s="1264"/>
      <c r="Y22" s="3378"/>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8"/>
      <c r="Q23" s="1262" t="str">
        <f>B23</f>
        <v>环境质量</v>
      </c>
      <c r="R23" s="666" t="s">
        <v>14</v>
      </c>
      <c r="S23" s="667">
        <f>F23</f>
        <v>100</v>
      </c>
      <c r="T23" s="666" t="s">
        <v>14</v>
      </c>
      <c r="U23" s="667">
        <f>H23</f>
        <v>100</v>
      </c>
      <c r="V23" s="666" t="s">
        <v>14</v>
      </c>
      <c r="W23" s="667">
        <f>J23</f>
        <v>100</v>
      </c>
      <c r="X23" s="1264"/>
      <c r="Y23" s="3378"/>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78"/>
      <c r="Q24" s="1262"/>
      <c r="R24" s="666"/>
      <c r="S24" s="667"/>
      <c r="T24" s="666"/>
      <c r="U24" s="667"/>
      <c r="V24" s="666"/>
      <c r="W24" s="667"/>
      <c r="X24" s="1264"/>
      <c r="Y24" s="3378"/>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8"/>
      <c r="Q25" s="1262">
        <f>B25</f>
        <v>111</v>
      </c>
      <c r="R25" s="666" t="s">
        <v>14</v>
      </c>
      <c r="S25" s="667">
        <f>F25</f>
        <v>100</v>
      </c>
      <c r="T25" s="666" t="s">
        <v>14</v>
      </c>
      <c r="U25" s="667">
        <f>H25</f>
        <v>100</v>
      </c>
      <c r="V25" s="666" t="s">
        <v>14</v>
      </c>
      <c r="W25" s="667">
        <f>J25</f>
        <v>100</v>
      </c>
      <c r="X25" s="1264"/>
      <c r="Y25" s="3378"/>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8"/>
      <c r="Q26" s="1262">
        <f t="shared" ref="Q26:Q40" si="11">B26</f>
        <v>111</v>
      </c>
      <c r="R26" s="666" t="s">
        <v>14</v>
      </c>
      <c r="S26" s="667">
        <f>F26</f>
        <v>100</v>
      </c>
      <c r="T26" s="666" t="s">
        <v>14</v>
      </c>
      <c r="U26" s="667">
        <f>H26</f>
        <v>100</v>
      </c>
      <c r="V26" s="666" t="s">
        <v>14</v>
      </c>
      <c r="W26" s="667">
        <f>J26</f>
        <v>100</v>
      </c>
      <c r="X26" s="1264"/>
      <c r="Y26" s="3378"/>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8"/>
      <c r="Q27" s="530">
        <f t="shared" si="11"/>
        <v>111</v>
      </c>
      <c r="R27" s="663" t="s">
        <v>14</v>
      </c>
      <c r="S27" s="664">
        <f>F27</f>
        <v>100</v>
      </c>
      <c r="T27" s="663" t="s">
        <v>14</v>
      </c>
      <c r="U27" s="664">
        <f>H27</f>
        <v>100</v>
      </c>
      <c r="V27" s="663" t="s">
        <v>14</v>
      </c>
      <c r="W27" s="664">
        <f>J27</f>
        <v>100</v>
      </c>
      <c r="X27" s="665"/>
      <c r="Y27" s="3378"/>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8"/>
      <c r="Q28" s="1262">
        <f t="shared" si="11"/>
        <v>111</v>
      </c>
      <c r="R28" s="666" t="s">
        <v>14</v>
      </c>
      <c r="S28" s="667">
        <f t="shared" ref="S28:S40" si="12">F28</f>
        <v>100</v>
      </c>
      <c r="T28" s="666" t="s">
        <v>14</v>
      </c>
      <c r="U28" s="667">
        <f t="shared" ref="U28:U40" si="13">H28</f>
        <v>100</v>
      </c>
      <c r="V28" s="666" t="s">
        <v>14</v>
      </c>
      <c r="W28" s="667">
        <f t="shared" ref="W28:W40" si="14">J28</f>
        <v>100</v>
      </c>
      <c r="X28" s="1264"/>
      <c r="Y28" s="3378"/>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3" t="s">
        <v>1696</v>
      </c>
      <c r="Q29" s="1262" t="str">
        <f t="shared" si="11"/>
        <v>建筑类型</v>
      </c>
      <c r="R29" s="666" t="s">
        <v>14</v>
      </c>
      <c r="S29" s="667">
        <f t="shared" si="12"/>
        <v>100</v>
      </c>
      <c r="T29" s="666" t="s">
        <v>14</v>
      </c>
      <c r="U29" s="667">
        <f t="shared" si="13"/>
        <v>100</v>
      </c>
      <c r="V29" s="666" t="s">
        <v>14</v>
      </c>
      <c r="W29" s="667">
        <f t="shared" si="14"/>
        <v>100</v>
      </c>
      <c r="X29" s="1264"/>
      <c r="Y29" s="338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2"/>
      <c r="Q30" s="531" t="str">
        <f t="shared" si="11"/>
        <v>项目建筑规模</v>
      </c>
      <c r="R30" s="668" t="s">
        <v>14</v>
      </c>
      <c r="S30" s="669" t="e">
        <f t="shared" si="12"/>
        <v>#N/A</v>
      </c>
      <c r="T30" s="668" t="s">
        <v>14</v>
      </c>
      <c r="U30" s="669" t="e">
        <f t="shared" si="13"/>
        <v>#N/A</v>
      </c>
      <c r="V30" s="668" t="s">
        <v>14</v>
      </c>
      <c r="W30" s="669" t="e">
        <f t="shared" si="14"/>
        <v>#N/A</v>
      </c>
      <c r="X30" s="670"/>
      <c r="Y30" s="3382"/>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2"/>
      <c r="Q31" s="1262" t="str">
        <f t="shared" si="11"/>
        <v>建筑结构</v>
      </c>
      <c r="R31" s="666" t="s">
        <v>14</v>
      </c>
      <c r="S31" s="667">
        <f t="shared" si="12"/>
        <v>100</v>
      </c>
      <c r="T31" s="666" t="s">
        <v>14</v>
      </c>
      <c r="U31" s="667">
        <f t="shared" si="13"/>
        <v>100</v>
      </c>
      <c r="V31" s="666" t="s">
        <v>14</v>
      </c>
      <c r="W31" s="667">
        <f t="shared" si="14"/>
        <v>100</v>
      </c>
      <c r="X31" s="1264"/>
      <c r="Y31" s="338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2"/>
      <c r="Q32" s="1262" t="str">
        <f t="shared" si="11"/>
        <v>公共部分装修</v>
      </c>
      <c r="R32" s="666" t="s">
        <v>14</v>
      </c>
      <c r="S32" s="667">
        <f t="shared" si="12"/>
        <v>100</v>
      </c>
      <c r="T32" s="666" t="s">
        <v>14</v>
      </c>
      <c r="U32" s="667">
        <f t="shared" si="13"/>
        <v>100</v>
      </c>
      <c r="V32" s="666" t="s">
        <v>14</v>
      </c>
      <c r="W32" s="667">
        <f t="shared" si="14"/>
        <v>100</v>
      </c>
      <c r="X32" s="1264"/>
      <c r="Y32" s="338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2"/>
      <c r="Q33" s="1262" t="str">
        <f t="shared" si="11"/>
        <v>成新度</v>
      </c>
      <c r="R33" s="666" t="s">
        <v>14</v>
      </c>
      <c r="S33" s="667" t="e">
        <f t="shared" si="12"/>
        <v>#N/A</v>
      </c>
      <c r="T33" s="666" t="s">
        <v>14</v>
      </c>
      <c r="U33" s="667" t="e">
        <f t="shared" si="13"/>
        <v>#N/A</v>
      </c>
      <c r="V33" s="666" t="s">
        <v>14</v>
      </c>
      <c r="W33" s="667" t="e">
        <f t="shared" si="14"/>
        <v>#N/A</v>
      </c>
      <c r="X33" s="1264"/>
      <c r="Y33" s="338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2"/>
      <c r="Q34" s="530" t="str">
        <f t="shared" si="11"/>
        <v>物业管理</v>
      </c>
      <c r="R34" s="663" t="s">
        <v>14</v>
      </c>
      <c r="S34" s="664">
        <f t="shared" si="12"/>
        <v>100</v>
      </c>
      <c r="T34" s="663" t="s">
        <v>14</v>
      </c>
      <c r="U34" s="664">
        <f t="shared" si="13"/>
        <v>100</v>
      </c>
      <c r="V34" s="663" t="s">
        <v>14</v>
      </c>
      <c r="W34" s="664">
        <f t="shared" si="14"/>
        <v>100</v>
      </c>
      <c r="X34" s="665"/>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2" t="s">
        <v>1696</v>
      </c>
      <c r="Q35" s="1262" t="str">
        <f t="shared" si="11"/>
        <v>市政基础设施</v>
      </c>
      <c r="R35" s="666" t="s">
        <v>14</v>
      </c>
      <c r="S35" s="667">
        <f t="shared" si="12"/>
        <v>100</v>
      </c>
      <c r="T35" s="666" t="s">
        <v>14</v>
      </c>
      <c r="U35" s="667">
        <f t="shared" si="13"/>
        <v>100</v>
      </c>
      <c r="V35" s="666" t="s">
        <v>14</v>
      </c>
      <c r="W35" s="667">
        <f t="shared" si="14"/>
        <v>100</v>
      </c>
      <c r="X35" s="1264"/>
      <c r="Y35" s="338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2"/>
      <c r="Q36" s="1262" t="str">
        <f t="shared" si="11"/>
        <v>内部装修</v>
      </c>
      <c r="R36" s="666" t="s">
        <v>14</v>
      </c>
      <c r="S36" s="667">
        <f t="shared" si="12"/>
        <v>100</v>
      </c>
      <c r="T36" s="666" t="s">
        <v>14</v>
      </c>
      <c r="U36" s="667">
        <f t="shared" si="13"/>
        <v>100</v>
      </c>
      <c r="V36" s="666" t="s">
        <v>14</v>
      </c>
      <c r="W36" s="667">
        <f t="shared" si="14"/>
        <v>100</v>
      </c>
      <c r="X36" s="1264"/>
      <c r="Y36" s="338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2"/>
      <c r="Q37" s="1262" t="str">
        <f t="shared" si="11"/>
        <v>内部装修状况</v>
      </c>
      <c r="R37" s="666" t="s">
        <v>14</v>
      </c>
      <c r="S37" s="667">
        <f t="shared" si="12"/>
        <v>100</v>
      </c>
      <c r="T37" s="666" t="s">
        <v>14</v>
      </c>
      <c r="U37" s="667">
        <f t="shared" si="13"/>
        <v>100</v>
      </c>
      <c r="V37" s="666" t="s">
        <v>14</v>
      </c>
      <c r="W37" s="667">
        <f t="shared" si="14"/>
        <v>100</v>
      </c>
      <c r="X37" s="1264"/>
      <c r="Y37" s="3382"/>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2"/>
      <c r="Q38" s="531">
        <f t="shared" si="11"/>
        <v>111</v>
      </c>
      <c r="R38" s="668" t="s">
        <v>14</v>
      </c>
      <c r="S38" s="669">
        <f t="shared" si="12"/>
        <v>100</v>
      </c>
      <c r="T38" s="668" t="s">
        <v>14</v>
      </c>
      <c r="U38" s="669">
        <f t="shared" si="13"/>
        <v>100</v>
      </c>
      <c r="V38" s="668" t="s">
        <v>14</v>
      </c>
      <c r="W38" s="669">
        <f t="shared" si="14"/>
        <v>100</v>
      </c>
      <c r="X38" s="670"/>
      <c r="Y38" s="3382"/>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2"/>
      <c r="Q39" s="1262">
        <f t="shared" si="11"/>
        <v>111</v>
      </c>
      <c r="R39" s="666" t="s">
        <v>14</v>
      </c>
      <c r="S39" s="667">
        <f t="shared" si="12"/>
        <v>100</v>
      </c>
      <c r="T39" s="666" t="s">
        <v>14</v>
      </c>
      <c r="U39" s="667">
        <f t="shared" si="13"/>
        <v>100</v>
      </c>
      <c r="V39" s="666" t="s">
        <v>14</v>
      </c>
      <c r="W39" s="667">
        <f t="shared" si="14"/>
        <v>100</v>
      </c>
      <c r="X39" s="1264"/>
      <c r="Y39" s="3382"/>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3"/>
      <c r="Q40" s="1262">
        <f t="shared" si="11"/>
        <v>111</v>
      </c>
      <c r="R40" s="666" t="s">
        <v>14</v>
      </c>
      <c r="S40" s="667">
        <f t="shared" si="12"/>
        <v>100</v>
      </c>
      <c r="T40" s="666" t="s">
        <v>14</v>
      </c>
      <c r="U40" s="667">
        <f t="shared" si="13"/>
        <v>100</v>
      </c>
      <c r="V40" s="666" t="s">
        <v>14</v>
      </c>
      <c r="W40" s="667">
        <f t="shared" si="14"/>
        <v>100</v>
      </c>
      <c r="X40" s="1264"/>
      <c r="Y40" s="3383"/>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70" t="str">
        <f>A41</f>
        <v>成交单价（元/平方米）</v>
      </c>
      <c r="Q41" s="3370"/>
      <c r="R41" s="3371">
        <f>E41</f>
        <v>0</v>
      </c>
      <c r="S41" s="3371"/>
      <c r="T41" s="3371">
        <f>G41</f>
        <v>0</v>
      </c>
      <c r="U41" s="3371"/>
      <c r="V41" s="3371">
        <f>I41</f>
        <v>0</v>
      </c>
      <c r="W41" s="3371"/>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2025-2</v>
      </c>
      <c r="D52" s="1103">
        <f>EDATE(C52,-1)</f>
        <v>45658</v>
      </c>
      <c r="E52" s="1103">
        <f t="shared" ref="E52:O52" si="16">EDATE(D52,-1)</f>
        <v>45627</v>
      </c>
      <c r="F52" s="1103">
        <f t="shared" si="16"/>
        <v>45597</v>
      </c>
      <c r="G52" s="1103">
        <f t="shared" si="16"/>
        <v>45566</v>
      </c>
      <c r="H52" s="1103">
        <f t="shared" si="16"/>
        <v>45536</v>
      </c>
      <c r="I52" s="1103">
        <f t="shared" si="16"/>
        <v>45505</v>
      </c>
      <c r="J52" s="1103">
        <f t="shared" si="16"/>
        <v>45474</v>
      </c>
      <c r="K52" s="1103">
        <f t="shared" si="16"/>
        <v>45444</v>
      </c>
      <c r="L52" s="1103">
        <f t="shared" si="16"/>
        <v>45413</v>
      </c>
      <c r="M52" s="1103">
        <f t="shared" si="16"/>
        <v>45383</v>
      </c>
      <c r="N52" s="1103">
        <f t="shared" si="16"/>
        <v>45352</v>
      </c>
      <c r="O52" s="1103">
        <f t="shared" si="16"/>
        <v>45323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3323</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6"/>
      <c r="M4" s="2487"/>
      <c r="N4" s="2487"/>
      <c r="O4" s="2487"/>
      <c r="P4" s="3392" t="s">
        <v>1775</v>
      </c>
      <c r="Q4" s="3393"/>
      <c r="R4" s="3398" t="s">
        <v>1771</v>
      </c>
      <c r="S4" s="3399"/>
      <c r="T4" s="3398" t="s">
        <v>1772</v>
      </c>
      <c r="U4" s="3399"/>
      <c r="V4" s="3371" t="s">
        <v>1773</v>
      </c>
      <c r="W4" s="3371"/>
      <c r="X4" s="1264"/>
      <c r="Y4" s="3398" t="s">
        <v>1775</v>
      </c>
      <c r="Z4" s="3399"/>
      <c r="AA4" s="3385" t="s">
        <v>1771</v>
      </c>
      <c r="AB4" s="3386" t="s">
        <v>1772</v>
      </c>
      <c r="AC4" s="3385" t="s">
        <v>1773</v>
      </c>
    </row>
    <row r="5" spans="1:29" ht="15">
      <c r="A5" s="348"/>
      <c r="B5" s="349"/>
      <c r="C5" s="3411" t="s">
        <v>1673</v>
      </c>
      <c r="D5" s="3407"/>
      <c r="E5" s="3437" t="s">
        <v>1674</v>
      </c>
      <c r="F5" s="3415"/>
      <c r="G5" s="3411" t="s">
        <v>1675</v>
      </c>
      <c r="H5" s="3407"/>
      <c r="I5" s="3411" t="s">
        <v>1676</v>
      </c>
      <c r="J5" s="3407"/>
      <c r="K5" s="537"/>
      <c r="L5" s="2486"/>
      <c r="M5" s="2487"/>
      <c r="N5" s="2487"/>
      <c r="O5" s="2487"/>
      <c r="P5" s="3394"/>
      <c r="Q5" s="3395"/>
      <c r="R5" s="3400"/>
      <c r="S5" s="3401"/>
      <c r="T5" s="3400"/>
      <c r="U5" s="3401"/>
      <c r="V5" s="3371"/>
      <c r="W5" s="3371"/>
      <c r="X5" s="1264"/>
      <c r="Y5" s="3400"/>
      <c r="Z5" s="3401"/>
      <c r="AA5" s="3386"/>
      <c r="AB5" s="3386"/>
      <c r="AC5" s="3386"/>
    </row>
    <row r="6" spans="1:29" ht="15.75" thickBot="1">
      <c r="A6" s="350"/>
      <c r="B6" s="351"/>
      <c r="C6" s="3404" t="s">
        <v>1677</v>
      </c>
      <c r="D6" s="3405"/>
      <c r="E6" s="3412" t="s">
        <v>1677</v>
      </c>
      <c r="F6" s="3413"/>
      <c r="G6" s="3404" t="s">
        <v>1677</v>
      </c>
      <c r="H6" s="3405"/>
      <c r="I6" s="3404" t="s">
        <v>1677</v>
      </c>
      <c r="J6" s="3405"/>
      <c r="K6" s="537" t="s">
        <v>1678</v>
      </c>
      <c r="L6" s="2486"/>
      <c r="M6" s="2487"/>
      <c r="N6" s="2487"/>
      <c r="O6" s="2487"/>
      <c r="P6" s="3396"/>
      <c r="Q6" s="3397"/>
      <c r="R6" s="3400"/>
      <c r="S6" s="3401"/>
      <c r="T6" s="3402"/>
      <c r="U6" s="3403"/>
      <c r="V6" s="3371"/>
      <c r="W6" s="3371"/>
      <c r="X6" s="1264"/>
      <c r="Y6" s="3402"/>
      <c r="Z6" s="3403"/>
      <c r="AA6" s="3387"/>
      <c r="AB6" s="3387"/>
      <c r="AC6" s="3387"/>
    </row>
    <row r="7" spans="1:29" s="102" customFormat="1" ht="15.75" thickBot="1">
      <c r="A7" s="352" t="s">
        <v>1679</v>
      </c>
      <c r="B7" s="353"/>
      <c r="C7" s="354">
        <f>'数据-取费表'!B2</f>
        <v>45696</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8" t="s">
        <v>1680</v>
      </c>
      <c r="Q7" s="3410"/>
      <c r="R7" s="663" t="s">
        <v>14</v>
      </c>
      <c r="S7" s="664">
        <f t="shared" ref="S7:S14" si="0">F7</f>
        <v>0</v>
      </c>
      <c r="T7" s="663" t="s">
        <v>14</v>
      </c>
      <c r="U7" s="664">
        <f t="shared" ref="U7:U14" si="1">H7</f>
        <v>0</v>
      </c>
      <c r="V7" s="663" t="s">
        <v>14</v>
      </c>
      <c r="W7" s="664">
        <f t="shared" ref="W7:W14" si="2">J7</f>
        <v>0</v>
      </c>
      <c r="X7" s="665"/>
      <c r="Y7" s="3408" t="s">
        <v>1680</v>
      </c>
      <c r="Z7" s="340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8" t="s">
        <v>1683</v>
      </c>
      <c r="Q8" s="3409"/>
      <c r="R8" s="663" t="s">
        <v>14</v>
      </c>
      <c r="S8" s="664">
        <f t="shared" si="0"/>
        <v>100</v>
      </c>
      <c r="T8" s="663" t="s">
        <v>14</v>
      </c>
      <c r="U8" s="664">
        <f t="shared" si="1"/>
        <v>100</v>
      </c>
      <c r="V8" s="663" t="s">
        <v>14</v>
      </c>
      <c r="W8" s="664">
        <f t="shared" si="2"/>
        <v>100</v>
      </c>
      <c r="X8" s="665"/>
      <c r="Y8" s="3408" t="s">
        <v>1683</v>
      </c>
      <c r="Z8" s="3409"/>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0" t="s">
        <v>1686</v>
      </c>
      <c r="Q9" s="530" t="str">
        <f t="shared" ref="Q9:Q14" si="6">B9</f>
        <v>用途</v>
      </c>
      <c r="R9" s="663" t="s">
        <v>14</v>
      </c>
      <c r="S9" s="664">
        <f t="shared" si="0"/>
        <v>100</v>
      </c>
      <c r="T9" s="663" t="s">
        <v>14</v>
      </c>
      <c r="U9" s="664">
        <f t="shared" si="1"/>
        <v>100</v>
      </c>
      <c r="V9" s="663" t="s">
        <v>14</v>
      </c>
      <c r="W9" s="664">
        <f t="shared" si="2"/>
        <v>100</v>
      </c>
      <c r="X9" s="665"/>
      <c r="Y9" s="3269" t="s">
        <v>1687</v>
      </c>
      <c r="Z9" s="50" t="str">
        <f t="shared" ref="Z9:Z14" si="7">Q9</f>
        <v>用途</v>
      </c>
      <c r="AA9" s="50">
        <f t="shared" si="3"/>
        <v>1</v>
      </c>
      <c r="AB9" s="50">
        <f t="shared" si="4"/>
        <v>1</v>
      </c>
      <c r="AC9" s="50">
        <f t="shared" si="5"/>
        <v>1</v>
      </c>
    </row>
    <row r="10" spans="1:29" s="366" customFormat="1" ht="27">
      <c r="A10" s="564"/>
      <c r="B10" s="565"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0"/>
      <c r="Q10" s="530" t="str">
        <f t="shared" si="6"/>
        <v>土地使用年限（年）</v>
      </c>
      <c r="R10" s="663" t="s">
        <v>14</v>
      </c>
      <c r="S10" s="664">
        <f t="shared" si="0"/>
        <v>100</v>
      </c>
      <c r="T10" s="663" t="s">
        <v>14</v>
      </c>
      <c r="U10" s="664">
        <f t="shared" si="1"/>
        <v>100</v>
      </c>
      <c r="V10" s="663" t="s">
        <v>14</v>
      </c>
      <c r="W10" s="664">
        <f t="shared" si="2"/>
        <v>100</v>
      </c>
      <c r="X10" s="665"/>
      <c r="Y10" s="3269"/>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0"/>
      <c r="Q11" s="530">
        <f t="shared" si="6"/>
        <v>111</v>
      </c>
      <c r="R11" s="663" t="s">
        <v>14</v>
      </c>
      <c r="S11" s="664">
        <f t="shared" si="0"/>
        <v>100</v>
      </c>
      <c r="T11" s="663" t="s">
        <v>14</v>
      </c>
      <c r="U11" s="664">
        <f t="shared" si="1"/>
        <v>100</v>
      </c>
      <c r="V11" s="663" t="s">
        <v>14</v>
      </c>
      <c r="W11" s="664">
        <f t="shared" si="2"/>
        <v>100</v>
      </c>
      <c r="X11" s="665"/>
      <c r="Y11" s="3269"/>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0"/>
      <c r="Q12" s="530">
        <f t="shared" si="6"/>
        <v>111</v>
      </c>
      <c r="R12" s="663" t="s">
        <v>14</v>
      </c>
      <c r="S12" s="664">
        <f t="shared" si="0"/>
        <v>100</v>
      </c>
      <c r="T12" s="663" t="s">
        <v>14</v>
      </c>
      <c r="U12" s="664">
        <f t="shared" si="1"/>
        <v>100</v>
      </c>
      <c r="V12" s="663" t="s">
        <v>14</v>
      </c>
      <c r="W12" s="664">
        <f t="shared" si="2"/>
        <v>100</v>
      </c>
      <c r="X12" s="665"/>
      <c r="Y12" s="3269"/>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0"/>
      <c r="Q13" s="530">
        <f t="shared" si="6"/>
        <v>111</v>
      </c>
      <c r="R13" s="663" t="s">
        <v>14</v>
      </c>
      <c r="S13" s="664">
        <f t="shared" si="0"/>
        <v>100</v>
      </c>
      <c r="T13" s="663" t="s">
        <v>14</v>
      </c>
      <c r="U13" s="664">
        <f t="shared" si="1"/>
        <v>100</v>
      </c>
      <c r="V13" s="663" t="s">
        <v>14</v>
      </c>
      <c r="W13" s="664">
        <f t="shared" si="2"/>
        <v>100</v>
      </c>
      <c r="X13" s="665"/>
      <c r="Y13" s="3269"/>
      <c r="Z13" s="50">
        <f t="shared" si="7"/>
        <v>111</v>
      </c>
      <c r="AA13" s="50">
        <f t="shared" si="3"/>
        <v>1</v>
      </c>
      <c r="AB13" s="50">
        <f t="shared" si="4"/>
        <v>1</v>
      </c>
      <c r="AC13" s="50">
        <f t="shared" si="5"/>
        <v>1</v>
      </c>
    </row>
    <row r="14" spans="1:29" ht="15">
      <c r="A14" s="345" t="s">
        <v>1690</v>
      </c>
      <c r="B14" s="553"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7" t="s">
        <v>1691</v>
      </c>
      <c r="Q14" s="1262" t="str">
        <f t="shared" si="6"/>
        <v>交通便捷度</v>
      </c>
      <c r="R14" s="666" t="s">
        <v>14</v>
      </c>
      <c r="S14" s="667">
        <f t="shared" si="0"/>
        <v>100</v>
      </c>
      <c r="T14" s="666" t="s">
        <v>14</v>
      </c>
      <c r="U14" s="667">
        <f t="shared" si="1"/>
        <v>100</v>
      </c>
      <c r="V14" s="666" t="s">
        <v>14</v>
      </c>
      <c r="W14" s="667">
        <f t="shared" si="2"/>
        <v>100</v>
      </c>
      <c r="X14" s="1264"/>
      <c r="Y14" s="3377"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378"/>
      <c r="Q15" s="1262"/>
      <c r="R15" s="666"/>
      <c r="S15" s="667"/>
      <c r="T15" s="666"/>
      <c r="U15" s="667"/>
      <c r="V15" s="666"/>
      <c r="W15" s="667"/>
      <c r="X15" s="1264"/>
      <c r="Y15" s="3378"/>
      <c r="Z15" s="1263"/>
      <c r="AA15" s="1263">
        <v>1</v>
      </c>
      <c r="AB15" s="1263">
        <v>1</v>
      </c>
      <c r="AC15" s="1263">
        <v>1</v>
      </c>
    </row>
    <row r="16" spans="1:29" ht="15">
      <c r="A16" s="348"/>
      <c r="B16" s="555"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8"/>
      <c r="Q16" s="1262" t="str">
        <f>B16</f>
        <v>公共配套设施</v>
      </c>
      <c r="R16" s="666" t="s">
        <v>14</v>
      </c>
      <c r="S16" s="667">
        <f>F16</f>
        <v>100</v>
      </c>
      <c r="T16" s="666" t="s">
        <v>14</v>
      </c>
      <c r="U16" s="667">
        <f>H16</f>
        <v>100</v>
      </c>
      <c r="V16" s="666" t="s">
        <v>14</v>
      </c>
      <c r="W16" s="667">
        <f>J16</f>
        <v>100</v>
      </c>
      <c r="X16" s="1264"/>
      <c r="Y16" s="337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78"/>
      <c r="Q17" s="1262"/>
      <c r="R17" s="666"/>
      <c r="S17" s="667"/>
      <c r="T17" s="666"/>
      <c r="U17" s="667"/>
      <c r="V17" s="666"/>
      <c r="W17" s="667"/>
      <c r="X17" s="1264"/>
      <c r="Y17" s="3378"/>
      <c r="Z17" s="1263"/>
      <c r="AA17" s="1263">
        <v>1</v>
      </c>
      <c r="AB17" s="1263">
        <v>1</v>
      </c>
      <c r="AC17" s="1263">
        <v>1</v>
      </c>
    </row>
    <row r="18" spans="1:29" ht="15">
      <c r="A18" s="348"/>
      <c r="B18" s="556"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8"/>
      <c r="Q18" s="1262" t="str">
        <f>B18</f>
        <v>基础设施水平</v>
      </c>
      <c r="R18" s="666" t="s">
        <v>14</v>
      </c>
      <c r="S18" s="667">
        <f>F18</f>
        <v>100</v>
      </c>
      <c r="T18" s="666" t="s">
        <v>14</v>
      </c>
      <c r="U18" s="667">
        <f>H18</f>
        <v>100</v>
      </c>
      <c r="V18" s="666" t="s">
        <v>14</v>
      </c>
      <c r="W18" s="667">
        <f>J18</f>
        <v>100</v>
      </c>
      <c r="X18" s="1264"/>
      <c r="Y18" s="3378"/>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378"/>
      <c r="Q19" s="1262"/>
      <c r="R19" s="666"/>
      <c r="S19" s="667"/>
      <c r="T19" s="666"/>
      <c r="U19" s="667"/>
      <c r="V19" s="666"/>
      <c r="W19" s="667"/>
      <c r="X19" s="1264"/>
      <c r="Y19" s="3378"/>
      <c r="Z19" s="1263"/>
      <c r="AA19" s="1263">
        <v>1</v>
      </c>
      <c r="AB19" s="1263">
        <v>1</v>
      </c>
      <c r="AC19" s="1263">
        <v>1</v>
      </c>
    </row>
    <row r="20" spans="1:29" ht="15">
      <c r="A20" s="348"/>
      <c r="B20" s="555"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8"/>
      <c r="Q20" s="1262" t="str">
        <f>B20</f>
        <v>自然及人文环境</v>
      </c>
      <c r="R20" s="666" t="s">
        <v>14</v>
      </c>
      <c r="S20" s="667">
        <f>F20</f>
        <v>100</v>
      </c>
      <c r="T20" s="666" t="s">
        <v>14</v>
      </c>
      <c r="U20" s="667">
        <f>H20</f>
        <v>100</v>
      </c>
      <c r="V20" s="666" t="s">
        <v>14</v>
      </c>
      <c r="W20" s="667">
        <f>J20</f>
        <v>100</v>
      </c>
      <c r="X20" s="1264"/>
      <c r="Y20" s="337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78"/>
      <c r="Q21" s="1262"/>
      <c r="R21" s="666"/>
      <c r="S21" s="667"/>
      <c r="T21" s="666"/>
      <c r="U21" s="667"/>
      <c r="V21" s="666"/>
      <c r="W21" s="667"/>
      <c r="X21" s="1264"/>
      <c r="Y21" s="3378"/>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8"/>
      <c r="Q22" s="1262" t="str">
        <f>B22</f>
        <v>楼层</v>
      </c>
      <c r="R22" s="666" t="s">
        <v>14</v>
      </c>
      <c r="S22" s="667">
        <f>F22</f>
        <v>100</v>
      </c>
      <c r="T22" s="666" t="s">
        <v>14</v>
      </c>
      <c r="U22" s="667">
        <f>H22</f>
        <v>100</v>
      </c>
      <c r="V22" s="666" t="s">
        <v>14</v>
      </c>
      <c r="W22" s="667">
        <f>J22</f>
        <v>100</v>
      </c>
      <c r="X22" s="1264"/>
      <c r="Y22" s="337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8"/>
      <c r="Q23" s="1262">
        <f>B23</f>
        <v>111</v>
      </c>
      <c r="R23" s="666" t="s">
        <v>14</v>
      </c>
      <c r="S23" s="667">
        <f>F23</f>
        <v>100</v>
      </c>
      <c r="T23" s="666" t="s">
        <v>14</v>
      </c>
      <c r="U23" s="667">
        <f>H23</f>
        <v>100</v>
      </c>
      <c r="V23" s="666" t="s">
        <v>14</v>
      </c>
      <c r="W23" s="667">
        <f>J23</f>
        <v>100</v>
      </c>
      <c r="X23" s="1264"/>
      <c r="Y23" s="337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8"/>
      <c r="Q24" s="1262">
        <f t="shared" ref="Q24:Q36" si="11">B24</f>
        <v>111</v>
      </c>
      <c r="R24" s="666" t="s">
        <v>14</v>
      </c>
      <c r="S24" s="667">
        <f>F24</f>
        <v>100</v>
      </c>
      <c r="T24" s="666" t="s">
        <v>14</v>
      </c>
      <c r="U24" s="667">
        <f>H24</f>
        <v>100</v>
      </c>
      <c r="V24" s="666" t="s">
        <v>14</v>
      </c>
      <c r="W24" s="667">
        <f>J24</f>
        <v>100</v>
      </c>
      <c r="X24" s="1264"/>
      <c r="Y24" s="3378"/>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378"/>
      <c r="Q25" s="530">
        <f t="shared" si="11"/>
        <v>111</v>
      </c>
      <c r="R25" s="663" t="s">
        <v>14</v>
      </c>
      <c r="S25" s="664">
        <f>F25</f>
        <v>100</v>
      </c>
      <c r="T25" s="663" t="s">
        <v>14</v>
      </c>
      <c r="U25" s="664">
        <f>H25</f>
        <v>100</v>
      </c>
      <c r="V25" s="663" t="s">
        <v>14</v>
      </c>
      <c r="W25" s="664">
        <f>J25</f>
        <v>100</v>
      </c>
      <c r="X25" s="665"/>
      <c r="Y25" s="3378"/>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3"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2"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382"/>
      <c r="Q27" s="531" t="str">
        <f t="shared" si="11"/>
        <v>项目停车位配比</v>
      </c>
      <c r="R27" s="668" t="s">
        <v>14</v>
      </c>
      <c r="S27" s="669">
        <f t="shared" si="12"/>
        <v>100</v>
      </c>
      <c r="T27" s="668" t="s">
        <v>14</v>
      </c>
      <c r="U27" s="669">
        <f t="shared" si="13"/>
        <v>100</v>
      </c>
      <c r="V27" s="668" t="s">
        <v>14</v>
      </c>
      <c r="W27" s="669">
        <f t="shared" si="14"/>
        <v>100</v>
      </c>
      <c r="X27" s="670"/>
      <c r="Y27" s="3382"/>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2"/>
      <c r="Q28" s="1262" t="str">
        <f t="shared" si="11"/>
        <v>公共部分装修</v>
      </c>
      <c r="R28" s="666" t="s">
        <v>14</v>
      </c>
      <c r="S28" s="667">
        <f t="shared" si="12"/>
        <v>100</v>
      </c>
      <c r="T28" s="666" t="s">
        <v>14</v>
      </c>
      <c r="U28" s="667">
        <f t="shared" si="13"/>
        <v>100</v>
      </c>
      <c r="V28" s="666" t="s">
        <v>14</v>
      </c>
      <c r="W28" s="667">
        <f t="shared" si="14"/>
        <v>100</v>
      </c>
      <c r="X28" s="1264"/>
      <c r="Y28" s="3382"/>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2"/>
      <c r="Q29" s="1262" t="str">
        <f t="shared" si="11"/>
        <v>成新率</v>
      </c>
      <c r="R29" s="666" t="s">
        <v>14</v>
      </c>
      <c r="S29" s="667" t="e">
        <f t="shared" si="12"/>
        <v>#N/A</v>
      </c>
      <c r="T29" s="666" t="s">
        <v>14</v>
      </c>
      <c r="U29" s="667" t="e">
        <f t="shared" si="13"/>
        <v>#N/A</v>
      </c>
      <c r="V29" s="666" t="s">
        <v>14</v>
      </c>
      <c r="W29" s="667" t="e">
        <f t="shared" si="14"/>
        <v>#N/A</v>
      </c>
      <c r="X29" s="1264"/>
      <c r="Y29" s="3382"/>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382"/>
      <c r="Q30" s="1262" t="str">
        <f t="shared" si="11"/>
        <v>物业等级</v>
      </c>
      <c r="R30" s="666" t="s">
        <v>14</v>
      </c>
      <c r="S30" s="667">
        <f t="shared" si="12"/>
        <v>100</v>
      </c>
      <c r="T30" s="666" t="s">
        <v>14</v>
      </c>
      <c r="U30" s="667">
        <f t="shared" si="13"/>
        <v>100</v>
      </c>
      <c r="V30" s="666" t="s">
        <v>14</v>
      </c>
      <c r="W30" s="667">
        <f t="shared" si="14"/>
        <v>100</v>
      </c>
      <c r="X30" s="1264"/>
      <c r="Y30" s="3382"/>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2"/>
      <c r="Q31" s="530" t="str">
        <f t="shared" si="11"/>
        <v>停车位面积</v>
      </c>
      <c r="R31" s="663" t="s">
        <v>14</v>
      </c>
      <c r="S31" s="664" t="e">
        <f t="shared" si="12"/>
        <v>#N/A</v>
      </c>
      <c r="T31" s="663" t="s">
        <v>14</v>
      </c>
      <c r="U31" s="664" t="e">
        <f t="shared" si="13"/>
        <v>#N/A</v>
      </c>
      <c r="V31" s="663" t="s">
        <v>14</v>
      </c>
      <c r="W31" s="664" t="e">
        <f t="shared" si="14"/>
        <v>#N/A</v>
      </c>
      <c r="X31" s="665"/>
      <c r="Y31" s="3382"/>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2" t="s">
        <v>1696</v>
      </c>
      <c r="Q32" s="1262" t="str">
        <f t="shared" si="11"/>
        <v>车位类型</v>
      </c>
      <c r="R32" s="666" t="s">
        <v>14</v>
      </c>
      <c r="S32" s="667">
        <f t="shared" si="12"/>
        <v>100</v>
      </c>
      <c r="T32" s="666" t="s">
        <v>14</v>
      </c>
      <c r="U32" s="667">
        <f t="shared" si="13"/>
        <v>100</v>
      </c>
      <c r="V32" s="666" t="s">
        <v>14</v>
      </c>
      <c r="W32" s="667">
        <f t="shared" si="14"/>
        <v>100</v>
      </c>
      <c r="X32" s="1264"/>
      <c r="Y32" s="3382"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2"/>
      <c r="Q33" s="1262" t="str">
        <f t="shared" si="11"/>
        <v>是否直接入户</v>
      </c>
      <c r="R33" s="666" t="s">
        <v>14</v>
      </c>
      <c r="S33" s="667">
        <f t="shared" si="12"/>
        <v>100</v>
      </c>
      <c r="T33" s="666" t="s">
        <v>14</v>
      </c>
      <c r="U33" s="667">
        <f t="shared" si="13"/>
        <v>100</v>
      </c>
      <c r="V33" s="666" t="s">
        <v>14</v>
      </c>
      <c r="W33" s="667">
        <f t="shared" si="14"/>
        <v>100</v>
      </c>
      <c r="X33" s="1264"/>
      <c r="Y33" s="3382"/>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2"/>
      <c r="Q34" s="1262">
        <f t="shared" si="11"/>
        <v>111</v>
      </c>
      <c r="R34" s="666" t="s">
        <v>14</v>
      </c>
      <c r="S34" s="667">
        <f t="shared" si="12"/>
        <v>100</v>
      </c>
      <c r="T34" s="666" t="s">
        <v>14</v>
      </c>
      <c r="U34" s="667">
        <f t="shared" si="13"/>
        <v>100</v>
      </c>
      <c r="V34" s="666" t="s">
        <v>14</v>
      </c>
      <c r="W34" s="667">
        <f t="shared" si="14"/>
        <v>100</v>
      </c>
      <c r="X34" s="1264"/>
      <c r="Y34" s="3382"/>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2"/>
      <c r="Q35" s="531">
        <f t="shared" si="11"/>
        <v>111</v>
      </c>
      <c r="R35" s="668" t="s">
        <v>14</v>
      </c>
      <c r="S35" s="669">
        <f t="shared" si="12"/>
        <v>100</v>
      </c>
      <c r="T35" s="668" t="s">
        <v>14</v>
      </c>
      <c r="U35" s="669">
        <f t="shared" si="13"/>
        <v>100</v>
      </c>
      <c r="V35" s="668" t="s">
        <v>14</v>
      </c>
      <c r="W35" s="669">
        <f t="shared" si="14"/>
        <v>100</v>
      </c>
      <c r="X35" s="670"/>
      <c r="Y35" s="3382"/>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2"/>
      <c r="Q36" s="1262">
        <f t="shared" si="11"/>
        <v>111</v>
      </c>
      <c r="R36" s="666" t="s">
        <v>14</v>
      </c>
      <c r="S36" s="667">
        <f t="shared" si="12"/>
        <v>100</v>
      </c>
      <c r="T36" s="666" t="s">
        <v>14</v>
      </c>
      <c r="U36" s="667">
        <f t="shared" si="13"/>
        <v>100</v>
      </c>
      <c r="V36" s="666" t="s">
        <v>14</v>
      </c>
      <c r="W36" s="667">
        <f t="shared" si="14"/>
        <v>100</v>
      </c>
      <c r="X36" s="1264"/>
      <c r="Y36" s="3382"/>
      <c r="Z36" s="1263">
        <f t="shared" si="15"/>
        <v>111</v>
      </c>
      <c r="AA36" s="1263">
        <f t="shared" si="3"/>
        <v>1</v>
      </c>
      <c r="AB36" s="1263">
        <f t="shared" si="4"/>
        <v>1</v>
      </c>
      <c r="AC36" s="1263">
        <f t="shared" si="5"/>
        <v>1</v>
      </c>
    </row>
    <row r="37" spans="1:29" ht="15">
      <c r="A37" s="416" t="s">
        <v>1844</v>
      </c>
      <c r="B37" s="1820" t="s">
        <v>3343</v>
      </c>
      <c r="C37" s="1080" t="s">
        <v>0</v>
      </c>
      <c r="D37" s="418"/>
      <c r="E37" s="419"/>
      <c r="F37" s="420"/>
      <c r="G37" s="421"/>
      <c r="H37" s="422"/>
      <c r="I37" s="419"/>
      <c r="J37" s="422"/>
      <c r="K37" s="544"/>
      <c r="L37" s="2494"/>
      <c r="M37" s="2487"/>
      <c r="N37" s="2487"/>
      <c r="O37" s="2487"/>
      <c r="P37" s="3370" t="str">
        <f>A37</f>
        <v>成交单价</v>
      </c>
      <c r="Q37" s="3370"/>
      <c r="R37" s="3371">
        <f>E37</f>
        <v>0</v>
      </c>
      <c r="S37" s="3371"/>
      <c r="T37" s="3371">
        <f>G37</f>
        <v>0</v>
      </c>
      <c r="U37" s="3371"/>
      <c r="V37" s="3371">
        <f>I37</f>
        <v>0</v>
      </c>
      <c r="W37" s="3371"/>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4"/>
      <c r="M39" s="2487"/>
      <c r="N39" s="2487"/>
      <c r="O39" s="2487"/>
      <c r="P39" s="3372" t="str">
        <f>A39</f>
        <v>估价对象XX用房的比较价值（楼面单价，元/平方米）</v>
      </c>
      <c r="Q39" s="3373"/>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2025-2</v>
      </c>
      <c r="D48" s="1103">
        <f>EDATE(C48,-1)</f>
        <v>45658</v>
      </c>
      <c r="E48" s="1103">
        <f t="shared" ref="E48:O48" si="16">EDATE(D48,-1)</f>
        <v>45627</v>
      </c>
      <c r="F48" s="1103">
        <f t="shared" si="16"/>
        <v>45597</v>
      </c>
      <c r="G48" s="1103">
        <f t="shared" si="16"/>
        <v>45566</v>
      </c>
      <c r="H48" s="1103">
        <f t="shared" si="16"/>
        <v>45536</v>
      </c>
      <c r="I48" s="1103">
        <f t="shared" si="16"/>
        <v>45505</v>
      </c>
      <c r="J48" s="1103">
        <f t="shared" si="16"/>
        <v>45474</v>
      </c>
      <c r="K48" s="1103">
        <f t="shared" si="16"/>
        <v>45444</v>
      </c>
      <c r="L48" s="1103">
        <f t="shared" si="16"/>
        <v>45413</v>
      </c>
      <c r="M48" s="1103">
        <f t="shared" si="16"/>
        <v>45383</v>
      </c>
      <c r="N48" s="1103">
        <f t="shared" si="16"/>
        <v>45352</v>
      </c>
      <c r="O48" s="1103">
        <f t="shared" si="16"/>
        <v>45323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估价对象为北京市房地产，为所有。根据《国有土地使用证》[]，估价对象（分摊）出让国有建设用地使用权面积为0平方米，建筑面积为255.78平方米。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估价对象为北京市房地产,属开发建设的，该项目尚在开发建设中。根据《国有土地使用证》[]，估价对象（分摊）出让国有建设用地使用权面积为0平方米，规划建筑面积为255.78平方米。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2025年2月8日（评估专业人员实地查勘之日）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3324</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6"/>
      <c r="M4" s="2487"/>
      <c r="N4" s="2487"/>
      <c r="O4" s="2487"/>
      <c r="P4" s="3392" t="s">
        <v>1775</v>
      </c>
      <c r="Q4" s="3393"/>
      <c r="R4" s="3398" t="s">
        <v>1771</v>
      </c>
      <c r="S4" s="3399"/>
      <c r="T4" s="3398" t="s">
        <v>1772</v>
      </c>
      <c r="U4" s="3399"/>
      <c r="V4" s="3371" t="s">
        <v>1773</v>
      </c>
      <c r="W4" s="3371"/>
      <c r="X4" s="1264"/>
      <c r="Y4" s="3398" t="s">
        <v>1775</v>
      </c>
      <c r="Z4" s="3399"/>
      <c r="AA4" s="3385" t="s">
        <v>1771</v>
      </c>
      <c r="AB4" s="3386" t="s">
        <v>1772</v>
      </c>
      <c r="AC4" s="3385" t="s">
        <v>1773</v>
      </c>
    </row>
    <row r="5" spans="1:29" ht="15">
      <c r="A5" s="348"/>
      <c r="B5" s="349"/>
      <c r="C5" s="3411" t="s">
        <v>1673</v>
      </c>
      <c r="D5" s="3407"/>
      <c r="E5" s="3437" t="s">
        <v>1674</v>
      </c>
      <c r="F5" s="3415"/>
      <c r="G5" s="3411" t="s">
        <v>1675</v>
      </c>
      <c r="H5" s="3407"/>
      <c r="I5" s="3411" t="s">
        <v>1676</v>
      </c>
      <c r="J5" s="3407"/>
      <c r="K5" s="537"/>
      <c r="L5" s="2486"/>
      <c r="M5" s="2487"/>
      <c r="N5" s="2487"/>
      <c r="O5" s="2487"/>
      <c r="P5" s="3394"/>
      <c r="Q5" s="3395"/>
      <c r="R5" s="3400"/>
      <c r="S5" s="3401"/>
      <c r="T5" s="3400"/>
      <c r="U5" s="3401"/>
      <c r="V5" s="3371"/>
      <c r="W5" s="3371"/>
      <c r="X5" s="1264"/>
      <c r="Y5" s="3400"/>
      <c r="Z5" s="3401"/>
      <c r="AA5" s="3386"/>
      <c r="AB5" s="3386"/>
      <c r="AC5" s="3386"/>
    </row>
    <row r="6" spans="1:29" ht="15.75" thickBot="1">
      <c r="A6" s="350"/>
      <c r="B6" s="351"/>
      <c r="C6" s="3404" t="s">
        <v>1677</v>
      </c>
      <c r="D6" s="3405"/>
      <c r="E6" s="3412" t="s">
        <v>1677</v>
      </c>
      <c r="F6" s="3413"/>
      <c r="G6" s="3404" t="s">
        <v>1677</v>
      </c>
      <c r="H6" s="3405"/>
      <c r="I6" s="3404" t="s">
        <v>1677</v>
      </c>
      <c r="J6" s="3405"/>
      <c r="K6" s="537" t="s">
        <v>1678</v>
      </c>
      <c r="L6" s="2486"/>
      <c r="M6" s="2487"/>
      <c r="N6" s="2487"/>
      <c r="O6" s="2487"/>
      <c r="P6" s="3396"/>
      <c r="Q6" s="3397"/>
      <c r="R6" s="3400"/>
      <c r="S6" s="3401"/>
      <c r="T6" s="3402"/>
      <c r="U6" s="3403"/>
      <c r="V6" s="3371"/>
      <c r="W6" s="3371"/>
      <c r="X6" s="1264"/>
      <c r="Y6" s="3402"/>
      <c r="Z6" s="3403"/>
      <c r="AA6" s="3387"/>
      <c r="AB6" s="3387"/>
      <c r="AC6" s="3387"/>
    </row>
    <row r="7" spans="1:29" s="102" customFormat="1" ht="15.75" thickBot="1">
      <c r="A7" s="352" t="s">
        <v>1679</v>
      </c>
      <c r="B7" s="353"/>
      <c r="C7" s="354">
        <f>'数据-取费表'!B2</f>
        <v>45696</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8" t="s">
        <v>1680</v>
      </c>
      <c r="Q7" s="3410"/>
      <c r="R7" s="663" t="s">
        <v>14</v>
      </c>
      <c r="S7" s="664">
        <f t="shared" ref="S7:S14" si="0">F7</f>
        <v>0</v>
      </c>
      <c r="T7" s="663" t="s">
        <v>14</v>
      </c>
      <c r="U7" s="664">
        <f t="shared" ref="U7:U14" si="1">H7</f>
        <v>0</v>
      </c>
      <c r="V7" s="663" t="s">
        <v>14</v>
      </c>
      <c r="W7" s="664">
        <f t="shared" ref="W7:W14" si="2">J7</f>
        <v>0</v>
      </c>
      <c r="X7" s="665"/>
      <c r="Y7" s="3408" t="s">
        <v>1680</v>
      </c>
      <c r="Z7" s="340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8" t="s">
        <v>1683</v>
      </c>
      <c r="Q8" s="3409"/>
      <c r="R8" s="663" t="s">
        <v>14</v>
      </c>
      <c r="S8" s="664">
        <f t="shared" si="0"/>
        <v>100</v>
      </c>
      <c r="T8" s="663" t="s">
        <v>14</v>
      </c>
      <c r="U8" s="664">
        <f t="shared" si="1"/>
        <v>100</v>
      </c>
      <c r="V8" s="663" t="s">
        <v>14</v>
      </c>
      <c r="W8" s="664">
        <f t="shared" si="2"/>
        <v>100</v>
      </c>
      <c r="X8" s="665"/>
      <c r="Y8" s="3408" t="s">
        <v>1683</v>
      </c>
      <c r="Z8" s="340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0" t="s">
        <v>1686</v>
      </c>
      <c r="Q9" s="530" t="str">
        <f t="shared" ref="Q9:Q14" si="6">B9</f>
        <v>用途</v>
      </c>
      <c r="R9" s="663" t="s">
        <v>14</v>
      </c>
      <c r="S9" s="664">
        <f t="shared" si="0"/>
        <v>100</v>
      </c>
      <c r="T9" s="663" t="s">
        <v>14</v>
      </c>
      <c r="U9" s="664">
        <f t="shared" si="1"/>
        <v>100</v>
      </c>
      <c r="V9" s="663" t="s">
        <v>14</v>
      </c>
      <c r="W9" s="664">
        <f t="shared" si="2"/>
        <v>100</v>
      </c>
      <c r="X9" s="665"/>
      <c r="Y9" s="326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0"/>
      <c r="Q10" s="530" t="str">
        <f t="shared" si="6"/>
        <v>土地使用年限（年）</v>
      </c>
      <c r="R10" s="663" t="s">
        <v>14</v>
      </c>
      <c r="S10" s="664">
        <f t="shared" si="0"/>
        <v>100</v>
      </c>
      <c r="T10" s="663" t="s">
        <v>14</v>
      </c>
      <c r="U10" s="664">
        <f t="shared" si="1"/>
        <v>100</v>
      </c>
      <c r="V10" s="663" t="s">
        <v>14</v>
      </c>
      <c r="W10" s="664">
        <f t="shared" si="2"/>
        <v>100</v>
      </c>
      <c r="X10" s="665"/>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0"/>
      <c r="Q11" s="530">
        <f t="shared" si="6"/>
        <v>111</v>
      </c>
      <c r="R11" s="663" t="s">
        <v>14</v>
      </c>
      <c r="S11" s="664">
        <f t="shared" si="0"/>
        <v>100</v>
      </c>
      <c r="T11" s="663" t="s">
        <v>14</v>
      </c>
      <c r="U11" s="664">
        <f t="shared" si="1"/>
        <v>100</v>
      </c>
      <c r="V11" s="663" t="s">
        <v>14</v>
      </c>
      <c r="W11" s="664">
        <f t="shared" si="2"/>
        <v>100</v>
      </c>
      <c r="X11" s="665"/>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0"/>
      <c r="Q12" s="530">
        <f t="shared" si="6"/>
        <v>111</v>
      </c>
      <c r="R12" s="663" t="s">
        <v>14</v>
      </c>
      <c r="S12" s="664">
        <f t="shared" si="0"/>
        <v>100</v>
      </c>
      <c r="T12" s="663" t="s">
        <v>14</v>
      </c>
      <c r="U12" s="664">
        <f t="shared" si="1"/>
        <v>100</v>
      </c>
      <c r="V12" s="663" t="s">
        <v>14</v>
      </c>
      <c r="W12" s="664">
        <f t="shared" si="2"/>
        <v>100</v>
      </c>
      <c r="X12" s="665"/>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0"/>
      <c r="Q13" s="530">
        <f t="shared" si="6"/>
        <v>111</v>
      </c>
      <c r="R13" s="663" t="s">
        <v>14</v>
      </c>
      <c r="S13" s="664">
        <f t="shared" si="0"/>
        <v>100</v>
      </c>
      <c r="T13" s="663" t="s">
        <v>14</v>
      </c>
      <c r="U13" s="664">
        <f t="shared" si="1"/>
        <v>100</v>
      </c>
      <c r="V13" s="663" t="s">
        <v>14</v>
      </c>
      <c r="W13" s="664">
        <f t="shared" si="2"/>
        <v>100</v>
      </c>
      <c r="X13" s="665"/>
      <c r="Y13" s="3269"/>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7" t="s">
        <v>1691</v>
      </c>
      <c r="Q14" s="1262" t="str">
        <f t="shared" si="6"/>
        <v>交通便捷度</v>
      </c>
      <c r="R14" s="666" t="s">
        <v>14</v>
      </c>
      <c r="S14" s="667">
        <f t="shared" si="0"/>
        <v>100</v>
      </c>
      <c r="T14" s="666" t="s">
        <v>14</v>
      </c>
      <c r="U14" s="667">
        <f t="shared" si="1"/>
        <v>100</v>
      </c>
      <c r="V14" s="666" t="s">
        <v>14</v>
      </c>
      <c r="W14" s="667">
        <f t="shared" si="2"/>
        <v>100</v>
      </c>
      <c r="X14" s="1264"/>
      <c r="Y14" s="337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78"/>
      <c r="Q15" s="1262"/>
      <c r="R15" s="666"/>
      <c r="S15" s="667"/>
      <c r="T15" s="666"/>
      <c r="U15" s="667"/>
      <c r="V15" s="666"/>
      <c r="W15" s="667"/>
      <c r="X15" s="1264"/>
      <c r="Y15" s="3378"/>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8"/>
      <c r="Q16" s="1262" t="str">
        <f>B16</f>
        <v>公共配套设施</v>
      </c>
      <c r="R16" s="666" t="s">
        <v>14</v>
      </c>
      <c r="S16" s="667">
        <f>F16</f>
        <v>100</v>
      </c>
      <c r="T16" s="666" t="s">
        <v>14</v>
      </c>
      <c r="U16" s="667">
        <f>H16</f>
        <v>100</v>
      </c>
      <c r="V16" s="666" t="s">
        <v>14</v>
      </c>
      <c r="W16" s="667">
        <f>J16</f>
        <v>100</v>
      </c>
      <c r="X16" s="1264"/>
      <c r="Y16" s="337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78"/>
      <c r="Q17" s="1262"/>
      <c r="R17" s="666"/>
      <c r="S17" s="667"/>
      <c r="T17" s="666"/>
      <c r="U17" s="667"/>
      <c r="V17" s="666"/>
      <c r="W17" s="667"/>
      <c r="X17" s="1264"/>
      <c r="Y17" s="3378"/>
      <c r="Z17" s="1263"/>
      <c r="AA17" s="1263">
        <v>1</v>
      </c>
      <c r="AB17" s="1263">
        <v>1</v>
      </c>
      <c r="AC17" s="1263">
        <v>1</v>
      </c>
    </row>
    <row r="18" spans="1:29" ht="15">
      <c r="A18" s="367"/>
      <c r="B18" s="585"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8"/>
      <c r="Q18" s="1262" t="str">
        <f>B18</f>
        <v>基础设施水平</v>
      </c>
      <c r="R18" s="666" t="s">
        <v>14</v>
      </c>
      <c r="S18" s="667">
        <f>F18</f>
        <v>100</v>
      </c>
      <c r="T18" s="666" t="s">
        <v>14</v>
      </c>
      <c r="U18" s="667">
        <f>H18</f>
        <v>100</v>
      </c>
      <c r="V18" s="666" t="s">
        <v>14</v>
      </c>
      <c r="W18" s="667">
        <f>J18</f>
        <v>100</v>
      </c>
      <c r="X18" s="1264"/>
      <c r="Y18" s="3378"/>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78"/>
      <c r="Q19" s="1262"/>
      <c r="R19" s="666"/>
      <c r="S19" s="667"/>
      <c r="T19" s="666"/>
      <c r="U19" s="667"/>
      <c r="V19" s="666"/>
      <c r="W19" s="667"/>
      <c r="X19" s="1264"/>
      <c r="Y19" s="3378"/>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8"/>
      <c r="Q20" s="1262" t="str">
        <f>B20</f>
        <v>自然及人文环境</v>
      </c>
      <c r="R20" s="666" t="s">
        <v>14</v>
      </c>
      <c r="S20" s="667">
        <f>F20</f>
        <v>100</v>
      </c>
      <c r="T20" s="666" t="s">
        <v>14</v>
      </c>
      <c r="U20" s="667">
        <f>H20</f>
        <v>100</v>
      </c>
      <c r="V20" s="666" t="s">
        <v>14</v>
      </c>
      <c r="W20" s="667">
        <f>J20</f>
        <v>100</v>
      </c>
      <c r="X20" s="1264"/>
      <c r="Y20" s="337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78"/>
      <c r="Q21" s="1262"/>
      <c r="R21" s="666"/>
      <c r="S21" s="667"/>
      <c r="T21" s="666"/>
      <c r="U21" s="667"/>
      <c r="V21" s="666"/>
      <c r="W21" s="667"/>
      <c r="X21" s="1264"/>
      <c r="Y21" s="337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8"/>
      <c r="Q22" s="1262" t="str">
        <f>B22</f>
        <v>楼层</v>
      </c>
      <c r="R22" s="666" t="s">
        <v>14</v>
      </c>
      <c r="S22" s="667">
        <f>F22</f>
        <v>100</v>
      </c>
      <c r="T22" s="666" t="s">
        <v>14</v>
      </c>
      <c r="U22" s="667">
        <f>H22</f>
        <v>100</v>
      </c>
      <c r="V22" s="666" t="s">
        <v>14</v>
      </c>
      <c r="W22" s="667">
        <f>J22</f>
        <v>100</v>
      </c>
      <c r="X22" s="1264"/>
      <c r="Y22" s="337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8"/>
      <c r="Q23" s="1262">
        <f>B23</f>
        <v>111</v>
      </c>
      <c r="R23" s="666" t="s">
        <v>14</v>
      </c>
      <c r="S23" s="667">
        <f>F23</f>
        <v>100</v>
      </c>
      <c r="T23" s="666" t="s">
        <v>14</v>
      </c>
      <c r="U23" s="667">
        <f>H23</f>
        <v>100</v>
      </c>
      <c r="V23" s="666" t="s">
        <v>14</v>
      </c>
      <c r="W23" s="667">
        <f>J23</f>
        <v>100</v>
      </c>
      <c r="X23" s="1264"/>
      <c r="Y23" s="337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8"/>
      <c r="Q24" s="1262">
        <f t="shared" ref="Q24:Q34" si="11">B24</f>
        <v>111</v>
      </c>
      <c r="R24" s="666" t="s">
        <v>14</v>
      </c>
      <c r="S24" s="667">
        <f>F24</f>
        <v>100</v>
      </c>
      <c r="T24" s="666" t="s">
        <v>14</v>
      </c>
      <c r="U24" s="667">
        <f>H24</f>
        <v>100</v>
      </c>
      <c r="V24" s="666" t="s">
        <v>14</v>
      </c>
      <c r="W24" s="667">
        <f>J24</f>
        <v>100</v>
      </c>
      <c r="X24" s="1264"/>
      <c r="Y24" s="3378"/>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378"/>
      <c r="Q25" s="530">
        <f t="shared" si="11"/>
        <v>111</v>
      </c>
      <c r="R25" s="663" t="s">
        <v>14</v>
      </c>
      <c r="S25" s="664">
        <f>F25</f>
        <v>100</v>
      </c>
      <c r="T25" s="663" t="s">
        <v>14</v>
      </c>
      <c r="U25" s="664">
        <f>H25</f>
        <v>100</v>
      </c>
      <c r="V25" s="663" t="s">
        <v>14</v>
      </c>
      <c r="W25" s="664">
        <f>J25</f>
        <v>100</v>
      </c>
      <c r="X25" s="665"/>
      <c r="Y25" s="3378"/>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3"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2"/>
      <c r="Q27" s="531" t="str">
        <f t="shared" si="11"/>
        <v>成新率</v>
      </c>
      <c r="R27" s="668" t="s">
        <v>14</v>
      </c>
      <c r="S27" s="669" t="e">
        <f t="shared" si="12"/>
        <v>#N/A</v>
      </c>
      <c r="T27" s="668" t="s">
        <v>14</v>
      </c>
      <c r="U27" s="669" t="e">
        <f t="shared" si="13"/>
        <v>#N/A</v>
      </c>
      <c r="V27" s="668" t="s">
        <v>14</v>
      </c>
      <c r="W27" s="669" t="e">
        <f t="shared" si="14"/>
        <v>#N/A</v>
      </c>
      <c r="X27" s="670"/>
      <c r="Y27" s="3382"/>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2"/>
      <c r="Q28" s="1262" t="str">
        <f t="shared" si="11"/>
        <v>物业等级</v>
      </c>
      <c r="R28" s="666" t="s">
        <v>14</v>
      </c>
      <c r="S28" s="667">
        <f t="shared" si="12"/>
        <v>100</v>
      </c>
      <c r="T28" s="666" t="s">
        <v>14</v>
      </c>
      <c r="U28" s="667">
        <f t="shared" si="13"/>
        <v>100</v>
      </c>
      <c r="V28" s="666" t="s">
        <v>14</v>
      </c>
      <c r="W28" s="667">
        <f t="shared" si="14"/>
        <v>100</v>
      </c>
      <c r="X28" s="1264"/>
      <c r="Y28" s="3382"/>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382"/>
      <c r="Q29" s="1262" t="str">
        <f t="shared" si="11"/>
        <v>有无电梯</v>
      </c>
      <c r="R29" s="666" t="s">
        <v>14</v>
      </c>
      <c r="S29" s="667">
        <f t="shared" si="12"/>
        <v>100</v>
      </c>
      <c r="T29" s="666" t="s">
        <v>14</v>
      </c>
      <c r="U29" s="667">
        <f t="shared" si="13"/>
        <v>100</v>
      </c>
      <c r="V29" s="666" t="s">
        <v>14</v>
      </c>
      <c r="W29" s="667">
        <f t="shared" si="14"/>
        <v>100</v>
      </c>
      <c r="X29" s="1264"/>
      <c r="Y29" s="338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2"/>
      <c r="Q30" s="1262" t="str">
        <f t="shared" si="11"/>
        <v>建筑面积</v>
      </c>
      <c r="R30" s="666" t="s">
        <v>14</v>
      </c>
      <c r="S30" s="667" t="e">
        <f t="shared" si="12"/>
        <v>#N/A</v>
      </c>
      <c r="T30" s="666" t="s">
        <v>14</v>
      </c>
      <c r="U30" s="667" t="e">
        <f t="shared" si="13"/>
        <v>#N/A</v>
      </c>
      <c r="V30" s="666" t="s">
        <v>14</v>
      </c>
      <c r="W30" s="667" t="e">
        <f t="shared" si="14"/>
        <v>#N/A</v>
      </c>
      <c r="X30" s="1264"/>
      <c r="Y30" s="3382"/>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382"/>
      <c r="Q31" s="530" t="str">
        <f t="shared" si="11"/>
        <v>是否封闭</v>
      </c>
      <c r="R31" s="663" t="s">
        <v>14</v>
      </c>
      <c r="S31" s="664">
        <f t="shared" si="12"/>
        <v>100</v>
      </c>
      <c r="T31" s="663" t="s">
        <v>14</v>
      </c>
      <c r="U31" s="664">
        <f t="shared" si="13"/>
        <v>100</v>
      </c>
      <c r="V31" s="663" t="s">
        <v>14</v>
      </c>
      <c r="W31" s="664">
        <f t="shared" si="14"/>
        <v>100</v>
      </c>
      <c r="X31" s="665"/>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2" t="s">
        <v>1696</v>
      </c>
      <c r="Q32" s="1262">
        <f t="shared" si="11"/>
        <v>111</v>
      </c>
      <c r="R32" s="666" t="s">
        <v>14</v>
      </c>
      <c r="S32" s="667">
        <f t="shared" si="12"/>
        <v>100</v>
      </c>
      <c r="T32" s="666" t="s">
        <v>14</v>
      </c>
      <c r="U32" s="667">
        <f t="shared" si="13"/>
        <v>100</v>
      </c>
      <c r="V32" s="666" t="s">
        <v>14</v>
      </c>
      <c r="W32" s="667">
        <f t="shared" si="14"/>
        <v>100</v>
      </c>
      <c r="X32" s="1264"/>
      <c r="Y32" s="338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2"/>
      <c r="Q33" s="1262">
        <f t="shared" si="11"/>
        <v>111</v>
      </c>
      <c r="R33" s="666" t="s">
        <v>14</v>
      </c>
      <c r="S33" s="667">
        <f t="shared" si="12"/>
        <v>100</v>
      </c>
      <c r="T33" s="666" t="s">
        <v>14</v>
      </c>
      <c r="U33" s="667">
        <f t="shared" si="13"/>
        <v>100</v>
      </c>
      <c r="V33" s="666" t="s">
        <v>14</v>
      </c>
      <c r="W33" s="667">
        <f t="shared" si="14"/>
        <v>100</v>
      </c>
      <c r="X33" s="1264"/>
      <c r="Y33" s="3382"/>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2"/>
      <c r="Q34" s="1262">
        <f t="shared" si="11"/>
        <v>111</v>
      </c>
      <c r="R34" s="666" t="s">
        <v>14</v>
      </c>
      <c r="S34" s="667">
        <f t="shared" si="12"/>
        <v>100</v>
      </c>
      <c r="T34" s="666" t="s">
        <v>14</v>
      </c>
      <c r="U34" s="667">
        <f t="shared" si="13"/>
        <v>100</v>
      </c>
      <c r="V34" s="666" t="s">
        <v>14</v>
      </c>
      <c r="W34" s="667">
        <f t="shared" si="14"/>
        <v>100</v>
      </c>
      <c r="X34" s="1264"/>
      <c r="Y34" s="3382"/>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370" t="str">
        <f>A35</f>
        <v>成交单价（元/平方米）</v>
      </c>
      <c r="Q35" s="3370"/>
      <c r="R35" s="3371">
        <f>E35</f>
        <v>0</v>
      </c>
      <c r="S35" s="3371"/>
      <c r="T35" s="3371">
        <f>G35</f>
        <v>0</v>
      </c>
      <c r="U35" s="3371"/>
      <c r="V35" s="3371">
        <f>I35</f>
        <v>0</v>
      </c>
      <c r="W35" s="3371"/>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372" t="str">
        <f>A37</f>
        <v>估价对象XX用房的比较价值（楼面单价，元/平方米）</v>
      </c>
      <c r="Q37" s="3373"/>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2025-2</v>
      </c>
      <c r="D46" s="1103">
        <f>EDATE(C46,-1)</f>
        <v>45658</v>
      </c>
      <c r="E46" s="1103">
        <f t="shared" ref="E46:O46" si="16">EDATE(D46,-1)</f>
        <v>45627</v>
      </c>
      <c r="F46" s="1103">
        <f t="shared" si="16"/>
        <v>45597</v>
      </c>
      <c r="G46" s="1103">
        <f t="shared" si="16"/>
        <v>45566</v>
      </c>
      <c r="H46" s="1103">
        <f t="shared" si="16"/>
        <v>45536</v>
      </c>
      <c r="I46" s="1103">
        <f t="shared" si="16"/>
        <v>45505</v>
      </c>
      <c r="J46" s="1103">
        <f t="shared" si="16"/>
        <v>45474</v>
      </c>
      <c r="K46" s="1103">
        <f t="shared" si="16"/>
        <v>45444</v>
      </c>
      <c r="L46" s="1103">
        <f t="shared" si="16"/>
        <v>45413</v>
      </c>
      <c r="M46" s="1103">
        <f t="shared" si="16"/>
        <v>45383</v>
      </c>
      <c r="N46" s="1103">
        <f t="shared" si="16"/>
        <v>45352</v>
      </c>
      <c r="O46" s="1103">
        <f t="shared" si="16"/>
        <v>45323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6"/>
      <c r="M4" s="2487"/>
      <c r="N4" s="2487"/>
      <c r="O4" s="2487"/>
      <c r="P4" s="3392" t="s">
        <v>1775</v>
      </c>
      <c r="Q4" s="3393"/>
      <c r="R4" s="3398" t="s">
        <v>1771</v>
      </c>
      <c r="S4" s="3399"/>
      <c r="T4" s="3398" t="s">
        <v>1772</v>
      </c>
      <c r="U4" s="3399"/>
      <c r="V4" s="3371" t="s">
        <v>1773</v>
      </c>
      <c r="W4" s="3371"/>
      <c r="X4" s="1264"/>
      <c r="Y4" s="3398" t="s">
        <v>1775</v>
      </c>
      <c r="Z4" s="3399"/>
      <c r="AA4" s="3385" t="s">
        <v>1771</v>
      </c>
      <c r="AB4" s="3386" t="s">
        <v>1772</v>
      </c>
      <c r="AC4" s="3385" t="s">
        <v>1773</v>
      </c>
    </row>
    <row r="5" spans="1:29" ht="15">
      <c r="A5" s="348"/>
      <c r="B5" s="349"/>
      <c r="C5" s="3411" t="s">
        <v>1673</v>
      </c>
      <c r="D5" s="3407"/>
      <c r="E5" s="3437" t="s">
        <v>1674</v>
      </c>
      <c r="F5" s="3415"/>
      <c r="G5" s="3411" t="s">
        <v>1675</v>
      </c>
      <c r="H5" s="3407"/>
      <c r="I5" s="3411" t="s">
        <v>1676</v>
      </c>
      <c r="J5" s="3407"/>
      <c r="K5" s="537"/>
      <c r="L5" s="2486"/>
      <c r="M5" s="2487"/>
      <c r="N5" s="2487"/>
      <c r="O5" s="2487"/>
      <c r="P5" s="3394"/>
      <c r="Q5" s="3395"/>
      <c r="R5" s="3400"/>
      <c r="S5" s="3401"/>
      <c r="T5" s="3400"/>
      <c r="U5" s="3401"/>
      <c r="V5" s="3371"/>
      <c r="W5" s="3371"/>
      <c r="X5" s="1264"/>
      <c r="Y5" s="3400"/>
      <c r="Z5" s="3401"/>
      <c r="AA5" s="3386"/>
      <c r="AB5" s="3386"/>
      <c r="AC5" s="3386"/>
    </row>
    <row r="6" spans="1:29" ht="15.75" thickBot="1">
      <c r="A6" s="350"/>
      <c r="B6" s="351"/>
      <c r="C6" s="3404" t="s">
        <v>1677</v>
      </c>
      <c r="D6" s="3405"/>
      <c r="E6" s="3412" t="s">
        <v>1677</v>
      </c>
      <c r="F6" s="3413"/>
      <c r="G6" s="3404" t="s">
        <v>1677</v>
      </c>
      <c r="H6" s="3405"/>
      <c r="I6" s="3404" t="s">
        <v>1677</v>
      </c>
      <c r="J6" s="3405"/>
      <c r="K6" s="537" t="s">
        <v>1678</v>
      </c>
      <c r="L6" s="2486"/>
      <c r="M6" s="2487"/>
      <c r="N6" s="2487"/>
      <c r="O6" s="2487"/>
      <c r="P6" s="3396"/>
      <c r="Q6" s="3397"/>
      <c r="R6" s="3400"/>
      <c r="S6" s="3401"/>
      <c r="T6" s="3402"/>
      <c r="U6" s="3403"/>
      <c r="V6" s="3371"/>
      <c r="W6" s="3371"/>
      <c r="X6" s="1264"/>
      <c r="Y6" s="3402"/>
      <c r="Z6" s="3403"/>
      <c r="AA6" s="3387"/>
      <c r="AB6" s="3387"/>
      <c r="AC6" s="3387"/>
    </row>
    <row r="7" spans="1:29" s="102" customFormat="1" ht="15.75" thickBot="1">
      <c r="A7" s="352" t="s">
        <v>1679</v>
      </c>
      <c r="B7" s="353"/>
      <c r="C7" s="354">
        <f>'数据-取费表'!B2</f>
        <v>45696</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8" t="s">
        <v>1683</v>
      </c>
      <c r="Q8" s="3409"/>
      <c r="R8" s="663" t="s">
        <v>14</v>
      </c>
      <c r="S8" s="664">
        <f t="shared" si="0"/>
        <v>0</v>
      </c>
      <c r="T8" s="663" t="s">
        <v>14</v>
      </c>
      <c r="U8" s="664">
        <f t="shared" si="1"/>
        <v>0</v>
      </c>
      <c r="V8" s="663" t="s">
        <v>14</v>
      </c>
      <c r="W8" s="664">
        <f t="shared" si="2"/>
        <v>0</v>
      </c>
      <c r="X8" s="665"/>
      <c r="Y8" s="3408" t="s">
        <v>1683</v>
      </c>
      <c r="Z8" s="340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0" t="s">
        <v>1686</v>
      </c>
      <c r="Q9" s="530" t="str">
        <f t="shared" ref="Q9:Q15" si="6">B9</f>
        <v>用途</v>
      </c>
      <c r="R9" s="663" t="s">
        <v>14</v>
      </c>
      <c r="S9" s="664">
        <f t="shared" si="0"/>
        <v>100</v>
      </c>
      <c r="T9" s="663" t="s">
        <v>14</v>
      </c>
      <c r="U9" s="664">
        <f t="shared" si="1"/>
        <v>100</v>
      </c>
      <c r="V9" s="663" t="s">
        <v>14</v>
      </c>
      <c r="W9" s="664">
        <f t="shared" si="2"/>
        <v>100</v>
      </c>
      <c r="X9" s="665"/>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165</v>
      </c>
      <c r="G10" s="402"/>
      <c r="H10" s="119">
        <f>ROUND(100/'数据-取费表'!G16,0)</f>
        <v>165</v>
      </c>
      <c r="I10" s="402"/>
      <c r="J10" s="119">
        <f>ROUND(100/'数据-取费表'!G16,0)</f>
        <v>165</v>
      </c>
      <c r="K10" s="591"/>
      <c r="L10" s="2489"/>
      <c r="M10" s="2490"/>
      <c r="N10" s="2490"/>
      <c r="O10" s="2541"/>
      <c r="P10" s="3370"/>
      <c r="Q10" s="530" t="str">
        <f t="shared" si="6"/>
        <v>土地使用年限（年）</v>
      </c>
      <c r="R10" s="663" t="s">
        <v>14</v>
      </c>
      <c r="S10" s="664">
        <f t="shared" si="0"/>
        <v>165</v>
      </c>
      <c r="T10" s="663" t="s">
        <v>14</v>
      </c>
      <c r="U10" s="664">
        <f t="shared" si="1"/>
        <v>165</v>
      </c>
      <c r="V10" s="663" t="s">
        <v>14</v>
      </c>
      <c r="W10" s="664">
        <f t="shared" si="2"/>
        <v>165</v>
      </c>
      <c r="X10" s="665"/>
      <c r="Y10" s="3269"/>
      <c r="Z10" s="50" t="str">
        <f t="shared" si="7"/>
        <v>土地使用年限（年）</v>
      </c>
      <c r="AA10" s="50">
        <f t="shared" si="3"/>
        <v>0.60606060606060608</v>
      </c>
      <c r="AB10" s="50">
        <f t="shared" si="4"/>
        <v>0.60606060606060608</v>
      </c>
      <c r="AC10" s="50">
        <f t="shared" si="5"/>
        <v>0.60606060606060608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70"/>
      <c r="Q11" s="530" t="str">
        <f t="shared" si="6"/>
        <v>容积率</v>
      </c>
      <c r="R11" s="663" t="s">
        <v>14</v>
      </c>
      <c r="S11" s="664" t="e">
        <f t="shared" si="0"/>
        <v>#N/A</v>
      </c>
      <c r="T11" s="663" t="s">
        <v>14</v>
      </c>
      <c r="U11" s="664" t="e">
        <f t="shared" si="1"/>
        <v>#N/A</v>
      </c>
      <c r="V11" s="663" t="s">
        <v>14</v>
      </c>
      <c r="W11" s="664" t="e">
        <f t="shared" si="2"/>
        <v>#N/A</v>
      </c>
      <c r="X11" s="665"/>
      <c r="Y11" s="326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70"/>
      <c r="Q12" s="530" t="str">
        <f t="shared" si="6"/>
        <v>配建</v>
      </c>
      <c r="R12" s="663" t="s">
        <v>14</v>
      </c>
      <c r="S12" s="664">
        <f t="shared" si="0"/>
        <v>100</v>
      </c>
      <c r="T12" s="663" t="s">
        <v>14</v>
      </c>
      <c r="U12" s="664">
        <f t="shared" si="1"/>
        <v>100</v>
      </c>
      <c r="V12" s="663" t="s">
        <v>14</v>
      </c>
      <c r="W12" s="664">
        <f t="shared" si="2"/>
        <v>100</v>
      </c>
      <c r="X12" s="665"/>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70"/>
      <c r="Q13" s="530">
        <f t="shared" si="6"/>
        <v>111</v>
      </c>
      <c r="R13" s="663" t="s">
        <v>14</v>
      </c>
      <c r="S13" s="664">
        <f t="shared" si="0"/>
        <v>100</v>
      </c>
      <c r="T13" s="663" t="s">
        <v>14</v>
      </c>
      <c r="U13" s="664">
        <f t="shared" si="1"/>
        <v>100</v>
      </c>
      <c r="V13" s="663" t="s">
        <v>14</v>
      </c>
      <c r="W13" s="664">
        <f t="shared" si="2"/>
        <v>100</v>
      </c>
      <c r="X13" s="665"/>
      <c r="Y13" s="326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70"/>
      <c r="Q14" s="530">
        <f t="shared" si="6"/>
        <v>111</v>
      </c>
      <c r="R14" s="663" t="s">
        <v>14</v>
      </c>
      <c r="S14" s="664">
        <f t="shared" si="0"/>
        <v>100</v>
      </c>
      <c r="T14" s="663" t="s">
        <v>14</v>
      </c>
      <c r="U14" s="664">
        <f t="shared" si="1"/>
        <v>100</v>
      </c>
      <c r="V14" s="663" t="s">
        <v>14</v>
      </c>
      <c r="W14" s="664">
        <f t="shared" si="2"/>
        <v>100</v>
      </c>
      <c r="X14" s="665"/>
      <c r="Y14" s="3269"/>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77" t="s">
        <v>1691</v>
      </c>
      <c r="Q15" s="1262" t="str">
        <f t="shared" si="6"/>
        <v>居住社区成熟度</v>
      </c>
      <c r="R15" s="666" t="s">
        <v>14</v>
      </c>
      <c r="S15" s="667">
        <f t="shared" si="0"/>
        <v>100</v>
      </c>
      <c r="T15" s="666" t="s">
        <v>14</v>
      </c>
      <c r="U15" s="667">
        <f t="shared" si="1"/>
        <v>100</v>
      </c>
      <c r="V15" s="666" t="s">
        <v>14</v>
      </c>
      <c r="W15" s="667">
        <f t="shared" si="2"/>
        <v>100</v>
      </c>
      <c r="X15" s="1264"/>
      <c r="Y15" s="337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78"/>
      <c r="Q16" s="1262"/>
      <c r="R16" s="666"/>
      <c r="S16" s="667"/>
      <c r="T16" s="666"/>
      <c r="U16" s="667"/>
      <c r="V16" s="666"/>
      <c r="W16" s="667"/>
      <c r="X16" s="1264"/>
      <c r="Y16" s="3378"/>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78"/>
      <c r="Q17" s="1262" t="str">
        <f>B17</f>
        <v>商业繁华度</v>
      </c>
      <c r="R17" s="666" t="s">
        <v>14</v>
      </c>
      <c r="S17" s="667">
        <f>F17</f>
        <v>100</v>
      </c>
      <c r="T17" s="666" t="s">
        <v>14</v>
      </c>
      <c r="U17" s="667">
        <f>H17</f>
        <v>100</v>
      </c>
      <c r="V17" s="666" t="s">
        <v>14</v>
      </c>
      <c r="W17" s="667">
        <f>J17</f>
        <v>100</v>
      </c>
      <c r="X17" s="1264"/>
      <c r="Y17" s="337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78"/>
      <c r="Q18" s="1262"/>
      <c r="R18" s="666"/>
      <c r="S18" s="667"/>
      <c r="T18" s="666"/>
      <c r="U18" s="667"/>
      <c r="V18" s="666"/>
      <c r="W18" s="667"/>
      <c r="X18" s="1264"/>
      <c r="Y18" s="3378"/>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78"/>
      <c r="Q19" s="1262" t="str">
        <f>B19</f>
        <v>办公集聚程度</v>
      </c>
      <c r="R19" s="666" t="s">
        <v>14</v>
      </c>
      <c r="S19" s="667">
        <f>F19</f>
        <v>100</v>
      </c>
      <c r="T19" s="666" t="s">
        <v>14</v>
      </c>
      <c r="U19" s="667">
        <f>H19</f>
        <v>100</v>
      </c>
      <c r="V19" s="666" t="s">
        <v>14</v>
      </c>
      <c r="W19" s="667">
        <f>J19</f>
        <v>100</v>
      </c>
      <c r="X19" s="1264"/>
      <c r="Y19" s="337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78"/>
      <c r="Q20" s="1262"/>
      <c r="R20" s="666"/>
      <c r="S20" s="667"/>
      <c r="T20" s="666"/>
      <c r="U20" s="667"/>
      <c r="V20" s="666"/>
      <c r="W20" s="667"/>
      <c r="X20" s="1264"/>
      <c r="Y20" s="3378"/>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78"/>
      <c r="Q21" s="1262" t="str">
        <f>B21</f>
        <v>交通便捷度</v>
      </c>
      <c r="R21" s="666" t="s">
        <v>14</v>
      </c>
      <c r="S21" s="667">
        <f>F21</f>
        <v>100</v>
      </c>
      <c r="T21" s="666" t="s">
        <v>14</v>
      </c>
      <c r="U21" s="667">
        <f>H21</f>
        <v>100</v>
      </c>
      <c r="V21" s="666" t="s">
        <v>14</v>
      </c>
      <c r="W21" s="667">
        <f>J21</f>
        <v>100</v>
      </c>
      <c r="X21" s="1264"/>
      <c r="Y21" s="3378"/>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78"/>
      <c r="Q22" s="1262"/>
      <c r="R22" s="666"/>
      <c r="S22" s="667"/>
      <c r="T22" s="666"/>
      <c r="U22" s="667"/>
      <c r="V22" s="666"/>
      <c r="W22" s="667"/>
      <c r="X22" s="1264"/>
      <c r="Y22" s="3378"/>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78"/>
      <c r="Q23" s="1262" t="str">
        <f t="shared" ref="Q23:Q37" si="8">B23</f>
        <v>区域土地利用方向</v>
      </c>
      <c r="R23" s="666" t="s">
        <v>14</v>
      </c>
      <c r="S23" s="667">
        <f>F23</f>
        <v>100</v>
      </c>
      <c r="T23" s="666" t="s">
        <v>14</v>
      </c>
      <c r="U23" s="667">
        <f>H23</f>
        <v>100</v>
      </c>
      <c r="V23" s="666" t="s">
        <v>14</v>
      </c>
      <c r="W23" s="667">
        <f>J23</f>
        <v>100</v>
      </c>
      <c r="X23" s="1264"/>
      <c r="Y23" s="337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78"/>
      <c r="Q24" s="1262"/>
      <c r="R24" s="666"/>
      <c r="S24" s="667"/>
      <c r="T24" s="666"/>
      <c r="U24" s="667"/>
      <c r="V24" s="666"/>
      <c r="W24" s="667"/>
      <c r="X24" s="1264"/>
      <c r="Y24" s="3378"/>
      <c r="Z24" s="1263"/>
      <c r="AA24" s="1263"/>
      <c r="AB24" s="1263"/>
      <c r="AC24" s="1263"/>
    </row>
    <row r="25" spans="1:29" ht="27">
      <c r="A25" s="348"/>
      <c r="B25" s="585"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78"/>
      <c r="Q25" s="1262" t="str">
        <f t="shared" si="8"/>
        <v>自然及人文环境状况</v>
      </c>
      <c r="R25" s="666" t="s">
        <v>14</v>
      </c>
      <c r="S25" s="667">
        <f>F25</f>
        <v>100</v>
      </c>
      <c r="T25" s="666" t="s">
        <v>14</v>
      </c>
      <c r="U25" s="667">
        <f>H25</f>
        <v>100</v>
      </c>
      <c r="V25" s="666" t="s">
        <v>14</v>
      </c>
      <c r="W25" s="667">
        <f>J25</f>
        <v>100</v>
      </c>
      <c r="X25" s="1264"/>
      <c r="Y25" s="337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78"/>
      <c r="Q26" s="1262"/>
      <c r="R26" s="666"/>
      <c r="S26" s="667"/>
      <c r="T26" s="666"/>
      <c r="U26" s="667"/>
      <c r="V26" s="666"/>
      <c r="W26" s="667"/>
      <c r="X26" s="1264"/>
      <c r="Y26" s="3378"/>
      <c r="Z26" s="1263"/>
      <c r="AA26" s="1263">
        <v>1</v>
      </c>
      <c r="AB26" s="1263">
        <v>1</v>
      </c>
      <c r="AC26" s="1263">
        <v>1</v>
      </c>
    </row>
    <row r="27" spans="1:29" s="102" customFormat="1" ht="15">
      <c r="A27" s="443"/>
      <c r="B27" s="585"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78"/>
      <c r="Q27" s="530" t="str">
        <f t="shared" si="8"/>
        <v>公共配套设施</v>
      </c>
      <c r="R27" s="663" t="s">
        <v>14</v>
      </c>
      <c r="S27" s="664">
        <f>F27</f>
        <v>100</v>
      </c>
      <c r="T27" s="663" t="s">
        <v>14</v>
      </c>
      <c r="U27" s="664">
        <f>H27</f>
        <v>100</v>
      </c>
      <c r="V27" s="663" t="s">
        <v>14</v>
      </c>
      <c r="W27" s="664">
        <f>J27</f>
        <v>100</v>
      </c>
      <c r="X27" s="665"/>
      <c r="Y27" s="337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78"/>
      <c r="Q28" s="530"/>
      <c r="R28" s="663"/>
      <c r="S28" s="664"/>
      <c r="T28" s="663"/>
      <c r="U28" s="664"/>
      <c r="V28" s="663"/>
      <c r="W28" s="664"/>
      <c r="X28" s="665"/>
      <c r="Y28" s="3378"/>
      <c r="Z28" s="50"/>
      <c r="AA28" s="1263">
        <v>1</v>
      </c>
      <c r="AB28" s="1263">
        <v>1</v>
      </c>
      <c r="AC28" s="1263">
        <v>1</v>
      </c>
    </row>
    <row r="29" spans="1:29" s="102" customFormat="1" ht="15">
      <c r="A29" s="443"/>
      <c r="B29" s="585"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78"/>
      <c r="Q29" s="530" t="str">
        <f t="shared" ref="Q29" si="9">B29</f>
        <v>基础设施水平</v>
      </c>
      <c r="R29" s="663" t="s">
        <v>14</v>
      </c>
      <c r="S29" s="664">
        <f>F29</f>
        <v>100</v>
      </c>
      <c r="T29" s="663" t="s">
        <v>14</v>
      </c>
      <c r="U29" s="664">
        <f>H29</f>
        <v>100</v>
      </c>
      <c r="V29" s="663" t="s">
        <v>14</v>
      </c>
      <c r="W29" s="664">
        <f>J29</f>
        <v>100</v>
      </c>
      <c r="X29" s="665"/>
      <c r="Y29" s="337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78"/>
      <c r="Q30" s="530"/>
      <c r="R30" s="663"/>
      <c r="S30" s="664"/>
      <c r="T30" s="663"/>
      <c r="U30" s="664"/>
      <c r="V30" s="663"/>
      <c r="W30" s="664"/>
      <c r="X30" s="665"/>
      <c r="Y30" s="3378"/>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37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8"/>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78"/>
      <c r="Q32" s="1262" t="str">
        <f t="shared" si="8"/>
        <v>毗邻道路的类型与等级</v>
      </c>
      <c r="R32" s="666" t="s">
        <v>14</v>
      </c>
      <c r="S32" s="667">
        <f t="shared" si="10"/>
        <v>100</v>
      </c>
      <c r="T32" s="666" t="s">
        <v>14</v>
      </c>
      <c r="U32" s="667">
        <f t="shared" si="11"/>
        <v>100</v>
      </c>
      <c r="V32" s="666" t="s">
        <v>14</v>
      </c>
      <c r="W32" s="667">
        <f t="shared" si="12"/>
        <v>100</v>
      </c>
      <c r="X32" s="1264"/>
      <c r="Y32" s="337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78"/>
      <c r="Q33" s="1262"/>
      <c r="R33" s="666"/>
      <c r="S33" s="667"/>
      <c r="T33" s="666"/>
      <c r="U33" s="667"/>
      <c r="V33" s="666"/>
      <c r="W33" s="667"/>
      <c r="X33" s="1264"/>
      <c r="Y33" s="3378"/>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378"/>
      <c r="Q34" s="1262" t="str">
        <f t="shared" si="8"/>
        <v>土地级别</v>
      </c>
      <c r="R34" s="666" t="s">
        <v>14</v>
      </c>
      <c r="S34" s="667">
        <f t="shared" si="10"/>
        <v>100</v>
      </c>
      <c r="T34" s="666" t="s">
        <v>14</v>
      </c>
      <c r="U34" s="667">
        <f t="shared" si="11"/>
        <v>100</v>
      </c>
      <c r="V34" s="666" t="s">
        <v>14</v>
      </c>
      <c r="W34" s="667">
        <f t="shared" si="12"/>
        <v>100</v>
      </c>
      <c r="X34" s="1264"/>
      <c r="Y34" s="3378"/>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78"/>
      <c r="Q35" s="1262">
        <f t="shared" si="8"/>
        <v>111</v>
      </c>
      <c r="R35" s="666" t="s">
        <v>14</v>
      </c>
      <c r="S35" s="667">
        <f t="shared" si="10"/>
        <v>100</v>
      </c>
      <c r="T35" s="666" t="s">
        <v>14</v>
      </c>
      <c r="U35" s="667">
        <f t="shared" si="11"/>
        <v>100</v>
      </c>
      <c r="V35" s="666" t="s">
        <v>14</v>
      </c>
      <c r="W35" s="667">
        <f t="shared" si="12"/>
        <v>100</v>
      </c>
      <c r="X35" s="1264"/>
      <c r="Y35" s="3378"/>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3" t="s">
        <v>1696</v>
      </c>
      <c r="Q36" s="1262">
        <f t="shared" si="8"/>
        <v>111</v>
      </c>
      <c r="R36" s="666" t="s">
        <v>14</v>
      </c>
      <c r="S36" s="667">
        <f t="shared" si="10"/>
        <v>100</v>
      </c>
      <c r="T36" s="666" t="s">
        <v>14</v>
      </c>
      <c r="U36" s="667">
        <f t="shared" si="11"/>
        <v>100</v>
      </c>
      <c r="V36" s="666" t="s">
        <v>14</v>
      </c>
      <c r="W36" s="667">
        <f t="shared" si="12"/>
        <v>100</v>
      </c>
      <c r="X36" s="1264"/>
      <c r="Y36" s="3382"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382"/>
      <c r="Q37" s="1262">
        <f t="shared" si="8"/>
        <v>111</v>
      </c>
      <c r="R37" s="668" t="s">
        <v>14</v>
      </c>
      <c r="S37" s="669">
        <f t="shared" si="10"/>
        <v>100</v>
      </c>
      <c r="T37" s="668" t="s">
        <v>14</v>
      </c>
      <c r="U37" s="669">
        <f t="shared" si="11"/>
        <v>100</v>
      </c>
      <c r="V37" s="668" t="s">
        <v>14</v>
      </c>
      <c r="W37" s="669">
        <f t="shared" si="12"/>
        <v>100</v>
      </c>
      <c r="X37" s="670"/>
      <c r="Y37" s="3382"/>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382"/>
      <c r="Q38" s="1262" t="str">
        <f>B38</f>
        <v>宗地面积</v>
      </c>
      <c r="R38" s="666" t="s">
        <v>14</v>
      </c>
      <c r="S38" s="667" t="e">
        <f t="shared" si="10"/>
        <v>#N/A</v>
      </c>
      <c r="T38" s="666" t="s">
        <v>14</v>
      </c>
      <c r="U38" s="667" t="e">
        <f t="shared" si="11"/>
        <v>#N/A</v>
      </c>
      <c r="V38" s="666" t="s">
        <v>14</v>
      </c>
      <c r="W38" s="667" t="e">
        <f t="shared" si="12"/>
        <v>#N/A</v>
      </c>
      <c r="X38" s="1264"/>
      <c r="Y38" s="338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2"/>
      <c r="Q39" s="1262" t="str">
        <f t="shared" ref="Q39:Q45" si="14">B39</f>
        <v>宗地形状</v>
      </c>
      <c r="R39" s="666" t="s">
        <v>14</v>
      </c>
      <c r="S39" s="667">
        <f t="shared" si="10"/>
        <v>100</v>
      </c>
      <c r="T39" s="666" t="s">
        <v>14</v>
      </c>
      <c r="U39" s="667">
        <f t="shared" si="11"/>
        <v>100</v>
      </c>
      <c r="V39" s="666" t="s">
        <v>14</v>
      </c>
      <c r="W39" s="667">
        <f t="shared" si="12"/>
        <v>100</v>
      </c>
      <c r="X39" s="1264"/>
      <c r="Y39" s="338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2"/>
      <c r="Q40" s="1262" t="str">
        <f t="shared" si="14"/>
        <v>临街宽度及深度</v>
      </c>
      <c r="R40" s="666" t="s">
        <v>14</v>
      </c>
      <c r="S40" s="667">
        <f t="shared" si="10"/>
        <v>100</v>
      </c>
      <c r="T40" s="666" t="s">
        <v>14</v>
      </c>
      <c r="U40" s="667">
        <f t="shared" si="11"/>
        <v>100</v>
      </c>
      <c r="V40" s="666" t="s">
        <v>14</v>
      </c>
      <c r="W40" s="667">
        <f t="shared" si="12"/>
        <v>100</v>
      </c>
      <c r="X40" s="1264"/>
      <c r="Y40" s="3382"/>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2"/>
      <c r="Q41" s="1262" t="str">
        <f t="shared" si="14"/>
        <v>宗地开发程度</v>
      </c>
      <c r="R41" s="663" t="s">
        <v>14</v>
      </c>
      <c r="S41" s="664">
        <f t="shared" si="10"/>
        <v>100</v>
      </c>
      <c r="T41" s="663" t="s">
        <v>14</v>
      </c>
      <c r="U41" s="664">
        <f t="shared" si="11"/>
        <v>100</v>
      </c>
      <c r="V41" s="663" t="s">
        <v>14</v>
      </c>
      <c r="W41" s="664">
        <f t="shared" si="12"/>
        <v>100</v>
      </c>
      <c r="X41" s="665"/>
      <c r="Y41" s="338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2" t="s">
        <v>1696</v>
      </c>
      <c r="Q42" s="1262" t="str">
        <f t="shared" si="14"/>
        <v>工程地质条件</v>
      </c>
      <c r="R42" s="666" t="s">
        <v>14</v>
      </c>
      <c r="S42" s="667">
        <f t="shared" si="10"/>
        <v>100</v>
      </c>
      <c r="T42" s="666" t="s">
        <v>14</v>
      </c>
      <c r="U42" s="667">
        <f t="shared" si="11"/>
        <v>100</v>
      </c>
      <c r="V42" s="666" t="s">
        <v>14</v>
      </c>
      <c r="W42" s="667">
        <f t="shared" si="12"/>
        <v>100</v>
      </c>
      <c r="X42" s="1264"/>
      <c r="Y42" s="3382"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382"/>
      <c r="Q43" s="1262">
        <f t="shared" si="14"/>
        <v>111</v>
      </c>
      <c r="R43" s="666" t="s">
        <v>14</v>
      </c>
      <c r="S43" s="667">
        <f t="shared" si="10"/>
        <v>100</v>
      </c>
      <c r="T43" s="666" t="s">
        <v>14</v>
      </c>
      <c r="U43" s="667">
        <f t="shared" si="11"/>
        <v>100</v>
      </c>
      <c r="V43" s="666" t="s">
        <v>14</v>
      </c>
      <c r="W43" s="667">
        <f t="shared" si="12"/>
        <v>100</v>
      </c>
      <c r="X43" s="1264"/>
      <c r="Y43" s="3382"/>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382"/>
      <c r="Q44" s="1262">
        <f t="shared" si="14"/>
        <v>111</v>
      </c>
      <c r="R44" s="666" t="s">
        <v>14</v>
      </c>
      <c r="S44" s="667">
        <f t="shared" si="10"/>
        <v>100</v>
      </c>
      <c r="T44" s="666" t="s">
        <v>14</v>
      </c>
      <c r="U44" s="667">
        <f t="shared" si="11"/>
        <v>100</v>
      </c>
      <c r="V44" s="666" t="s">
        <v>14</v>
      </c>
      <c r="W44" s="667">
        <f t="shared" si="12"/>
        <v>100</v>
      </c>
      <c r="X44" s="1264"/>
      <c r="Y44" s="3382"/>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382"/>
      <c r="Q45" s="1262">
        <f t="shared" si="14"/>
        <v>111</v>
      </c>
      <c r="R45" s="668" t="s">
        <v>14</v>
      </c>
      <c r="S45" s="669">
        <f t="shared" si="10"/>
        <v>100</v>
      </c>
      <c r="T45" s="668" t="s">
        <v>14</v>
      </c>
      <c r="U45" s="669">
        <f t="shared" si="11"/>
        <v>100</v>
      </c>
      <c r="V45" s="668" t="s">
        <v>14</v>
      </c>
      <c r="W45" s="669">
        <f t="shared" si="12"/>
        <v>100</v>
      </c>
      <c r="X45" s="670"/>
      <c r="Y45" s="3382"/>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370" t="str">
        <f>A46</f>
        <v>成交单价</v>
      </c>
      <c r="Q46" s="3370"/>
      <c r="R46" s="3371">
        <f>E46</f>
        <v>0</v>
      </c>
      <c r="S46" s="3371"/>
      <c r="T46" s="3371">
        <f>G46</f>
        <v>0</v>
      </c>
      <c r="U46" s="3371"/>
      <c r="V46" s="3371">
        <f>I46</f>
        <v>0</v>
      </c>
      <c r="W46" s="3371"/>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370" t="str">
        <f>A47</f>
        <v>比较价值（元/平方米）</v>
      </c>
      <c r="Q47" s="3370"/>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372" t="str">
        <f>A48</f>
        <v>估价对象XX用房的比较价值（楼面单价，元/平方米）</v>
      </c>
      <c r="Q48" s="3373"/>
      <c r="R48" s="3456" t="e">
        <f>ROUND(IF(D47="简单平均",AVERAGE(R47:W47),R47*F47+T47*H47+V47*J47),0)</f>
        <v>#DIV/0!</v>
      </c>
      <c r="S48" s="3456"/>
      <c r="T48" s="3456"/>
      <c r="U48" s="3456"/>
      <c r="V48" s="3456"/>
      <c r="W48" s="345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88" t="s">
        <v>1887</v>
      </c>
      <c r="H55" s="3457"/>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255.78</v>
      </c>
      <c r="F56" s="832" t="e">
        <f t="shared" ref="F56:F64" si="15">ROUND(B56*E56/10000,0)</f>
        <v>#DIV/0!</v>
      </c>
      <c r="G56" s="3384"/>
      <c r="H56" s="3370"/>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0.6</v>
      </c>
      <c r="D57" s="890">
        <v>0.25</v>
      </c>
      <c r="E57" s="613"/>
      <c r="F57" s="832" t="e">
        <f t="shared" si="15"/>
        <v>#DIV/0!</v>
      </c>
      <c r="G57" s="2750" t="s">
        <v>1892</v>
      </c>
      <c r="H57" s="833" t="str">
        <f>项目基本情况!B37</f>
        <v>六级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0.3</v>
      </c>
      <c r="D58" s="890">
        <v>0.25</v>
      </c>
      <c r="E58" s="613"/>
      <c r="F58" s="832" t="e">
        <f t="shared" si="15"/>
        <v>#DIV/0!</v>
      </c>
      <c r="G58" s="2751"/>
      <c r="H58" s="833" t="str">
        <f>项目基本情况!B37</f>
        <v>六级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0.25</v>
      </c>
      <c r="D59" s="890">
        <v>0.25</v>
      </c>
      <c r="E59" s="613"/>
      <c r="F59" s="832" t="e">
        <f t="shared" si="15"/>
        <v>#DIV/0!</v>
      </c>
      <c r="G59" s="2751"/>
      <c r="H59" s="833" t="str">
        <f>项目基本情况!B37</f>
        <v>六级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0.15</v>
      </c>
      <c r="D63" s="890">
        <v>0.25</v>
      </c>
      <c r="E63" s="209">
        <f>'数据-汇总表'!E14</f>
        <v>0</v>
      </c>
      <c r="F63" s="832" t="e">
        <f t="shared" si="15"/>
        <v>#DIV/0!</v>
      </c>
      <c r="G63" s="1834" t="s">
        <v>1892</v>
      </c>
      <c r="H63" s="833" t="str">
        <f>项目基本情况!B37</f>
        <v>六级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255.78</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6"/>
      <c r="M4" s="2487"/>
      <c r="N4" s="2487"/>
      <c r="O4" s="2487"/>
      <c r="P4" s="3392" t="s">
        <v>1775</v>
      </c>
      <c r="Q4" s="3393"/>
      <c r="R4" s="3398" t="s">
        <v>1771</v>
      </c>
      <c r="S4" s="3399"/>
      <c r="T4" s="3398" t="s">
        <v>1772</v>
      </c>
      <c r="U4" s="3399"/>
      <c r="V4" s="3371" t="s">
        <v>1773</v>
      </c>
      <c r="W4" s="3371"/>
      <c r="X4" s="1264"/>
      <c r="Y4" s="3398" t="s">
        <v>1775</v>
      </c>
      <c r="Z4" s="3399"/>
      <c r="AA4" s="3385" t="s">
        <v>1771</v>
      </c>
      <c r="AB4" s="3386" t="s">
        <v>1772</v>
      </c>
      <c r="AC4" s="3385" t="s">
        <v>1773</v>
      </c>
    </row>
    <row r="5" spans="1:29" ht="15">
      <c r="A5" s="348"/>
      <c r="B5" s="349"/>
      <c r="C5" s="3411" t="s">
        <v>1673</v>
      </c>
      <c r="D5" s="3407"/>
      <c r="E5" s="3437" t="s">
        <v>1674</v>
      </c>
      <c r="F5" s="3415"/>
      <c r="G5" s="3411" t="s">
        <v>1675</v>
      </c>
      <c r="H5" s="3407"/>
      <c r="I5" s="3411" t="s">
        <v>1676</v>
      </c>
      <c r="J5" s="3407"/>
      <c r="K5" s="537"/>
      <c r="L5" s="2486"/>
      <c r="M5" s="2487"/>
      <c r="N5" s="2487"/>
      <c r="O5" s="2487"/>
      <c r="P5" s="3394"/>
      <c r="Q5" s="3395"/>
      <c r="R5" s="3400"/>
      <c r="S5" s="3401"/>
      <c r="T5" s="3400"/>
      <c r="U5" s="3401"/>
      <c r="V5" s="3371"/>
      <c r="W5" s="3371"/>
      <c r="X5" s="1264"/>
      <c r="Y5" s="3400"/>
      <c r="Z5" s="3401"/>
      <c r="AA5" s="3386"/>
      <c r="AB5" s="3386"/>
      <c r="AC5" s="3386"/>
    </row>
    <row r="6" spans="1:29" ht="15.75" thickBot="1">
      <c r="A6" s="350"/>
      <c r="B6" s="351"/>
      <c r="C6" s="3458" t="s">
        <v>1919</v>
      </c>
      <c r="D6" s="3459"/>
      <c r="E6" s="3460" t="s">
        <v>1919</v>
      </c>
      <c r="F6" s="3461"/>
      <c r="G6" s="3458" t="s">
        <v>1919</v>
      </c>
      <c r="H6" s="3459"/>
      <c r="I6" s="3458" t="s">
        <v>1919</v>
      </c>
      <c r="J6" s="3459"/>
      <c r="K6" s="537" t="s">
        <v>1678</v>
      </c>
      <c r="L6" s="2486"/>
      <c r="M6" s="2487"/>
      <c r="N6" s="2487"/>
      <c r="O6" s="2487"/>
      <c r="P6" s="3396"/>
      <c r="Q6" s="3397"/>
      <c r="R6" s="3400"/>
      <c r="S6" s="3401"/>
      <c r="T6" s="3402"/>
      <c r="U6" s="3403"/>
      <c r="V6" s="3371"/>
      <c r="W6" s="3371"/>
      <c r="X6" s="1264"/>
      <c r="Y6" s="3402"/>
      <c r="Z6" s="3403"/>
      <c r="AA6" s="3387"/>
      <c r="AB6" s="3387"/>
      <c r="AC6" s="3387"/>
    </row>
    <row r="7" spans="1:29" s="102" customFormat="1" ht="15.75" thickBot="1">
      <c r="A7" s="352" t="s">
        <v>1679</v>
      </c>
      <c r="B7" s="353"/>
      <c r="C7" s="354">
        <f>'数据-取费表'!B2</f>
        <v>45696</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8" t="s">
        <v>1680</v>
      </c>
      <c r="Q7" s="3410"/>
      <c r="R7" s="663" t="s">
        <v>14</v>
      </c>
      <c r="S7" s="664">
        <f t="shared" ref="S7:S15" si="0">F7</f>
        <v>0</v>
      </c>
      <c r="T7" s="663" t="s">
        <v>14</v>
      </c>
      <c r="U7" s="664">
        <f t="shared" ref="U7:U15" si="1">H7</f>
        <v>0</v>
      </c>
      <c r="V7" s="663" t="s">
        <v>14</v>
      </c>
      <c r="W7" s="664">
        <f t="shared" ref="W7:W15" si="2">J7</f>
        <v>0</v>
      </c>
      <c r="X7" s="665"/>
      <c r="Y7" s="3408" t="s">
        <v>1680</v>
      </c>
      <c r="Z7" s="340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8" t="s">
        <v>1683</v>
      </c>
      <c r="Q8" s="3409"/>
      <c r="R8" s="663" t="s">
        <v>14</v>
      </c>
      <c r="S8" s="664">
        <f t="shared" si="0"/>
        <v>0</v>
      </c>
      <c r="T8" s="663" t="s">
        <v>14</v>
      </c>
      <c r="U8" s="664">
        <f t="shared" si="1"/>
        <v>0</v>
      </c>
      <c r="V8" s="663" t="s">
        <v>14</v>
      </c>
      <c r="W8" s="664">
        <f t="shared" si="2"/>
        <v>0</v>
      </c>
      <c r="X8" s="665"/>
      <c r="Y8" s="3408" t="s">
        <v>1683</v>
      </c>
      <c r="Z8" s="340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0" t="s">
        <v>1686</v>
      </c>
      <c r="Q9" s="530" t="str">
        <f t="shared" ref="Q9:Q15" si="6">B9</f>
        <v>用途</v>
      </c>
      <c r="R9" s="663" t="s">
        <v>14</v>
      </c>
      <c r="S9" s="664">
        <f t="shared" si="0"/>
        <v>100</v>
      </c>
      <c r="T9" s="663" t="s">
        <v>14</v>
      </c>
      <c r="U9" s="664">
        <f t="shared" si="1"/>
        <v>100</v>
      </c>
      <c r="V9" s="663" t="s">
        <v>14</v>
      </c>
      <c r="W9" s="664">
        <f t="shared" si="2"/>
        <v>100</v>
      </c>
      <c r="X9" s="665"/>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165</v>
      </c>
      <c r="G10" s="371"/>
      <c r="H10" s="119">
        <f>ROUND(100/'数据-取费表'!G16,0)</f>
        <v>165</v>
      </c>
      <c r="I10" s="371"/>
      <c r="J10" s="119">
        <f>ROUND(100/'数据-取费表'!G16,0)</f>
        <v>165</v>
      </c>
      <c r="K10" s="591"/>
      <c r="L10" s="2489"/>
      <c r="M10" s="2490"/>
      <c r="N10" s="2490"/>
      <c r="O10" s="2541"/>
      <c r="P10" s="3370"/>
      <c r="Q10" s="530" t="str">
        <f t="shared" si="6"/>
        <v>土地使用年限（年）</v>
      </c>
      <c r="R10" s="663" t="s">
        <v>14</v>
      </c>
      <c r="S10" s="664">
        <f t="shared" si="0"/>
        <v>165</v>
      </c>
      <c r="T10" s="663" t="s">
        <v>14</v>
      </c>
      <c r="U10" s="664">
        <f t="shared" si="1"/>
        <v>165</v>
      </c>
      <c r="V10" s="663" t="s">
        <v>14</v>
      </c>
      <c r="W10" s="664">
        <f t="shared" si="2"/>
        <v>165</v>
      </c>
      <c r="X10" s="665"/>
      <c r="Y10" s="3269"/>
      <c r="Z10" s="50" t="str">
        <f t="shared" si="7"/>
        <v>土地使用年限（年）</v>
      </c>
      <c r="AA10" s="50">
        <f t="shared" si="3"/>
        <v>0.60606060606060608</v>
      </c>
      <c r="AB10" s="50">
        <f t="shared" si="4"/>
        <v>0.60606060606060608</v>
      </c>
      <c r="AC10" s="50">
        <f t="shared" si="5"/>
        <v>0.60606060606060608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70"/>
      <c r="Q11" s="530" t="str">
        <f t="shared" si="6"/>
        <v>容积率</v>
      </c>
      <c r="R11" s="663" t="s">
        <v>14</v>
      </c>
      <c r="S11" s="664" t="e">
        <f t="shared" si="0"/>
        <v>#N/A</v>
      </c>
      <c r="T11" s="663" t="s">
        <v>14</v>
      </c>
      <c r="U11" s="664" t="e">
        <f t="shared" si="1"/>
        <v>#N/A</v>
      </c>
      <c r="V11" s="663" t="s">
        <v>14</v>
      </c>
      <c r="W11" s="664" t="e">
        <f t="shared" si="2"/>
        <v>#N/A</v>
      </c>
      <c r="X11" s="665"/>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70"/>
      <c r="Q12" s="530">
        <f t="shared" si="6"/>
        <v>111</v>
      </c>
      <c r="R12" s="663" t="s">
        <v>14</v>
      </c>
      <c r="S12" s="664">
        <f t="shared" si="0"/>
        <v>100</v>
      </c>
      <c r="T12" s="663" t="s">
        <v>14</v>
      </c>
      <c r="U12" s="664">
        <f t="shared" si="1"/>
        <v>100</v>
      </c>
      <c r="V12" s="663" t="s">
        <v>14</v>
      </c>
      <c r="W12" s="664">
        <f t="shared" si="2"/>
        <v>100</v>
      </c>
      <c r="X12" s="665"/>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70"/>
      <c r="Q13" s="530">
        <f t="shared" si="6"/>
        <v>111</v>
      </c>
      <c r="R13" s="663" t="s">
        <v>14</v>
      </c>
      <c r="S13" s="664">
        <f t="shared" si="0"/>
        <v>100</v>
      </c>
      <c r="T13" s="663" t="s">
        <v>14</v>
      </c>
      <c r="U13" s="664">
        <f t="shared" si="1"/>
        <v>100</v>
      </c>
      <c r="V13" s="663" t="s">
        <v>14</v>
      </c>
      <c r="W13" s="664">
        <f t="shared" si="2"/>
        <v>100</v>
      </c>
      <c r="X13" s="665"/>
      <c r="Y13" s="326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70"/>
      <c r="Q14" s="530">
        <f t="shared" si="6"/>
        <v>111</v>
      </c>
      <c r="R14" s="663" t="s">
        <v>14</v>
      </c>
      <c r="S14" s="664">
        <f t="shared" si="0"/>
        <v>100</v>
      </c>
      <c r="T14" s="663" t="s">
        <v>14</v>
      </c>
      <c r="U14" s="664">
        <f t="shared" si="1"/>
        <v>100</v>
      </c>
      <c r="V14" s="663" t="s">
        <v>14</v>
      </c>
      <c r="W14" s="664">
        <f t="shared" si="2"/>
        <v>100</v>
      </c>
      <c r="X14" s="665"/>
      <c r="Y14" s="3269"/>
      <c r="Z14" s="50">
        <f t="shared" si="7"/>
        <v>111</v>
      </c>
      <c r="AA14" s="50">
        <f t="shared" si="3"/>
        <v>1</v>
      </c>
      <c r="AB14" s="50">
        <f t="shared" si="4"/>
        <v>1</v>
      </c>
      <c r="AC14" s="50">
        <f t="shared" si="5"/>
        <v>1</v>
      </c>
    </row>
    <row r="15" spans="1:29" ht="15">
      <c r="A15" s="379" t="s">
        <v>1690</v>
      </c>
      <c r="B15" s="553"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77" t="s">
        <v>1691</v>
      </c>
      <c r="Q15" s="1262" t="str">
        <f t="shared" si="6"/>
        <v>产业集聚程度</v>
      </c>
      <c r="R15" s="666" t="s">
        <v>14</v>
      </c>
      <c r="S15" s="667">
        <f t="shared" si="0"/>
        <v>100</v>
      </c>
      <c r="T15" s="666" t="s">
        <v>14</v>
      </c>
      <c r="U15" s="667">
        <f t="shared" si="1"/>
        <v>100</v>
      </c>
      <c r="V15" s="666" t="s">
        <v>14</v>
      </c>
      <c r="W15" s="667">
        <f t="shared" si="2"/>
        <v>100</v>
      </c>
      <c r="X15" s="1264"/>
      <c r="Y15" s="3377"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378"/>
      <c r="Q16" s="1262"/>
      <c r="R16" s="666"/>
      <c r="S16" s="667"/>
      <c r="T16" s="666"/>
      <c r="U16" s="667"/>
      <c r="V16" s="666"/>
      <c r="W16" s="667"/>
      <c r="X16" s="1264"/>
      <c r="Y16" s="3378"/>
      <c r="Z16" s="1263"/>
      <c r="AA16" s="1263">
        <v>1</v>
      </c>
      <c r="AB16" s="1263">
        <v>1</v>
      </c>
      <c r="AC16" s="1263">
        <v>1</v>
      </c>
    </row>
    <row r="17" spans="1:29" ht="15">
      <c r="A17" s="367"/>
      <c r="B17" s="555"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78"/>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78"/>
      <c r="Q18" s="1262"/>
      <c r="R18" s="666"/>
      <c r="S18" s="667"/>
      <c r="T18" s="666"/>
      <c r="U18" s="667"/>
      <c r="V18" s="666"/>
      <c r="W18" s="667"/>
      <c r="X18" s="1264"/>
      <c r="Y18" s="3378"/>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78"/>
      <c r="Q19" s="1262" t="str">
        <f t="shared" ref="Q19:Q33" si="8">B19</f>
        <v>区域土地利用方向</v>
      </c>
      <c r="R19" s="666" t="s">
        <v>14</v>
      </c>
      <c r="S19" s="667">
        <f>F19</f>
        <v>100</v>
      </c>
      <c r="T19" s="666" t="s">
        <v>14</v>
      </c>
      <c r="U19" s="667">
        <f>H19</f>
        <v>100</v>
      </c>
      <c r="V19" s="666" t="s">
        <v>14</v>
      </c>
      <c r="W19" s="667">
        <f>J19</f>
        <v>100</v>
      </c>
      <c r="X19" s="1264"/>
      <c r="Y19" s="337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78"/>
      <c r="Q20" s="1262"/>
      <c r="R20" s="666"/>
      <c r="S20" s="667"/>
      <c r="T20" s="666"/>
      <c r="U20" s="667"/>
      <c r="V20" s="666"/>
      <c r="W20" s="667"/>
      <c r="X20" s="1264"/>
      <c r="Y20" s="3378"/>
      <c r="Z20" s="1263"/>
      <c r="AA20" s="1263"/>
      <c r="AB20" s="1263"/>
      <c r="AC20" s="1263"/>
    </row>
    <row r="21" spans="1:29" ht="15">
      <c r="A21" s="348"/>
      <c r="B21" s="555"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78"/>
      <c r="Q21" s="1262" t="str">
        <f t="shared" si="8"/>
        <v>环境状况</v>
      </c>
      <c r="R21" s="666" t="s">
        <v>14</v>
      </c>
      <c r="S21" s="667">
        <f>F21</f>
        <v>100</v>
      </c>
      <c r="T21" s="666" t="s">
        <v>14</v>
      </c>
      <c r="U21" s="667">
        <f>H21</f>
        <v>100</v>
      </c>
      <c r="V21" s="666" t="s">
        <v>14</v>
      </c>
      <c r="W21" s="667">
        <f>J21</f>
        <v>100</v>
      </c>
      <c r="X21" s="1264"/>
      <c r="Y21" s="337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78"/>
      <c r="Q22" s="1262"/>
      <c r="R22" s="666"/>
      <c r="S22" s="667"/>
      <c r="T22" s="666"/>
      <c r="U22" s="667"/>
      <c r="V22" s="666"/>
      <c r="W22" s="667"/>
      <c r="X22" s="1264"/>
      <c r="Y22" s="3378"/>
      <c r="Z22" s="1263"/>
      <c r="AA22" s="1263">
        <v>1</v>
      </c>
      <c r="AB22" s="1263">
        <v>1</v>
      </c>
      <c r="AC22" s="1263">
        <v>1</v>
      </c>
    </row>
    <row r="23" spans="1:29" s="102" customFormat="1" ht="15">
      <c r="A23" s="443"/>
      <c r="B23" s="556"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78"/>
      <c r="Q23" s="530" t="str">
        <f t="shared" si="8"/>
        <v>公共配套设施</v>
      </c>
      <c r="R23" s="663" t="s">
        <v>14</v>
      </c>
      <c r="S23" s="664">
        <f>F23</f>
        <v>100</v>
      </c>
      <c r="T23" s="663" t="s">
        <v>14</v>
      </c>
      <c r="U23" s="664">
        <f>H23</f>
        <v>100</v>
      </c>
      <c r="V23" s="663" t="s">
        <v>14</v>
      </c>
      <c r="W23" s="664">
        <f>J23</f>
        <v>100</v>
      </c>
      <c r="X23" s="665"/>
      <c r="Y23" s="3378"/>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78"/>
      <c r="Q24" s="530"/>
      <c r="R24" s="663"/>
      <c r="S24" s="664"/>
      <c r="T24" s="663"/>
      <c r="U24" s="664"/>
      <c r="V24" s="663"/>
      <c r="W24" s="664"/>
      <c r="X24" s="665"/>
      <c r="Y24" s="3378"/>
      <c r="Z24" s="50"/>
      <c r="AA24" s="50">
        <v>1</v>
      </c>
      <c r="AB24" s="50">
        <v>1</v>
      </c>
      <c r="AC24" s="50">
        <v>1</v>
      </c>
    </row>
    <row r="25" spans="1:29" s="102" customFormat="1" ht="15">
      <c r="A25" s="443"/>
      <c r="B25" s="556"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78"/>
      <c r="Q25" s="530" t="str">
        <f t="shared" ref="Q25" si="9">B25</f>
        <v>基础设施水平</v>
      </c>
      <c r="R25" s="663" t="s">
        <v>14</v>
      </c>
      <c r="S25" s="664">
        <f>F25</f>
        <v>100</v>
      </c>
      <c r="T25" s="663" t="s">
        <v>14</v>
      </c>
      <c r="U25" s="664">
        <f>H25</f>
        <v>100</v>
      </c>
      <c r="V25" s="663" t="s">
        <v>14</v>
      </c>
      <c r="W25" s="664">
        <f>J25</f>
        <v>100</v>
      </c>
      <c r="X25" s="665"/>
      <c r="Y25" s="3378"/>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78"/>
      <c r="Q26" s="530"/>
      <c r="R26" s="663"/>
      <c r="S26" s="664"/>
      <c r="T26" s="663"/>
      <c r="U26" s="664"/>
      <c r="V26" s="663"/>
      <c r="W26" s="664"/>
      <c r="X26" s="665"/>
      <c r="Y26" s="3378"/>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37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8"/>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78"/>
      <c r="Q28" s="1262" t="str">
        <f t="shared" si="8"/>
        <v>毗邻道路的类型与等级</v>
      </c>
      <c r="R28" s="666" t="s">
        <v>14</v>
      </c>
      <c r="S28" s="667">
        <f t="shared" si="10"/>
        <v>100</v>
      </c>
      <c r="T28" s="666" t="s">
        <v>14</v>
      </c>
      <c r="U28" s="667">
        <f t="shared" si="11"/>
        <v>100</v>
      </c>
      <c r="V28" s="666" t="s">
        <v>14</v>
      </c>
      <c r="W28" s="667">
        <f t="shared" si="12"/>
        <v>100</v>
      </c>
      <c r="X28" s="1264"/>
      <c r="Y28" s="337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78"/>
      <c r="Q29" s="1262"/>
      <c r="R29" s="666"/>
      <c r="S29" s="667"/>
      <c r="T29" s="666"/>
      <c r="U29" s="667"/>
      <c r="V29" s="666"/>
      <c r="W29" s="667"/>
      <c r="X29" s="1264"/>
      <c r="Y29" s="3378"/>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378"/>
      <c r="Q30" s="1262" t="str">
        <f t="shared" si="8"/>
        <v>土地级别</v>
      </c>
      <c r="R30" s="666" t="s">
        <v>14</v>
      </c>
      <c r="S30" s="667">
        <f t="shared" si="10"/>
        <v>100</v>
      </c>
      <c r="T30" s="666" t="s">
        <v>14</v>
      </c>
      <c r="U30" s="667">
        <f t="shared" si="11"/>
        <v>100</v>
      </c>
      <c r="V30" s="666" t="s">
        <v>14</v>
      </c>
      <c r="W30" s="667">
        <f t="shared" si="12"/>
        <v>100</v>
      </c>
      <c r="X30" s="1264"/>
      <c r="Y30" s="3378"/>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8"/>
      <c r="Q31" s="1262">
        <f t="shared" si="8"/>
        <v>111</v>
      </c>
      <c r="R31" s="666" t="s">
        <v>14</v>
      </c>
      <c r="S31" s="667">
        <f t="shared" si="10"/>
        <v>100</v>
      </c>
      <c r="T31" s="666" t="s">
        <v>14</v>
      </c>
      <c r="U31" s="667">
        <f t="shared" si="11"/>
        <v>100</v>
      </c>
      <c r="V31" s="666" t="s">
        <v>14</v>
      </c>
      <c r="W31" s="667">
        <f t="shared" si="12"/>
        <v>100</v>
      </c>
      <c r="X31" s="1264"/>
      <c r="Y31" s="3378"/>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3" t="s">
        <v>1696</v>
      </c>
      <c r="Q32" s="1262">
        <f t="shared" si="8"/>
        <v>111</v>
      </c>
      <c r="R32" s="666" t="s">
        <v>14</v>
      </c>
      <c r="S32" s="667">
        <f t="shared" si="10"/>
        <v>100</v>
      </c>
      <c r="T32" s="666" t="s">
        <v>14</v>
      </c>
      <c r="U32" s="667">
        <f t="shared" si="11"/>
        <v>100</v>
      </c>
      <c r="V32" s="666" t="s">
        <v>14</v>
      </c>
      <c r="W32" s="667">
        <f t="shared" si="12"/>
        <v>100</v>
      </c>
      <c r="X32" s="1264"/>
      <c r="Y32" s="3382"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382"/>
      <c r="Q33" s="1262">
        <f t="shared" si="8"/>
        <v>111</v>
      </c>
      <c r="R33" s="668" t="s">
        <v>14</v>
      </c>
      <c r="S33" s="669">
        <f t="shared" si="10"/>
        <v>100</v>
      </c>
      <c r="T33" s="668" t="s">
        <v>14</v>
      </c>
      <c r="U33" s="669">
        <f t="shared" si="11"/>
        <v>100</v>
      </c>
      <c r="V33" s="668" t="s">
        <v>14</v>
      </c>
      <c r="W33" s="669">
        <f t="shared" si="12"/>
        <v>100</v>
      </c>
      <c r="X33" s="670"/>
      <c r="Y33" s="3382"/>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382"/>
      <c r="Q34" s="1262" t="str">
        <f>B34</f>
        <v>宗地面积</v>
      </c>
      <c r="R34" s="666" t="s">
        <v>14</v>
      </c>
      <c r="S34" s="667" t="e">
        <f t="shared" si="10"/>
        <v>#N/A</v>
      </c>
      <c r="T34" s="666" t="s">
        <v>14</v>
      </c>
      <c r="U34" s="667" t="e">
        <f t="shared" si="11"/>
        <v>#N/A</v>
      </c>
      <c r="V34" s="666" t="s">
        <v>14</v>
      </c>
      <c r="W34" s="667" t="e">
        <f t="shared" si="12"/>
        <v>#N/A</v>
      </c>
      <c r="X34" s="1264"/>
      <c r="Y34" s="3382"/>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2"/>
      <c r="Q35" s="1262" t="str">
        <f t="shared" ref="Q35:Q40" si="14">B35</f>
        <v>宗地形状</v>
      </c>
      <c r="R35" s="666" t="s">
        <v>14</v>
      </c>
      <c r="S35" s="667">
        <f t="shared" si="10"/>
        <v>100</v>
      </c>
      <c r="T35" s="666" t="s">
        <v>14</v>
      </c>
      <c r="U35" s="667">
        <f t="shared" si="11"/>
        <v>100</v>
      </c>
      <c r="V35" s="666" t="s">
        <v>14</v>
      </c>
      <c r="W35" s="667">
        <f t="shared" si="12"/>
        <v>100</v>
      </c>
      <c r="X35" s="1264"/>
      <c r="Y35" s="3382"/>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2"/>
      <c r="Q36" s="1262" t="str">
        <f t="shared" si="14"/>
        <v>宗地开发程度</v>
      </c>
      <c r="R36" s="663" t="s">
        <v>14</v>
      </c>
      <c r="S36" s="664">
        <f t="shared" si="10"/>
        <v>100</v>
      </c>
      <c r="T36" s="663" t="s">
        <v>14</v>
      </c>
      <c r="U36" s="664">
        <f t="shared" si="11"/>
        <v>100</v>
      </c>
      <c r="V36" s="663" t="s">
        <v>14</v>
      </c>
      <c r="W36" s="664">
        <f t="shared" si="12"/>
        <v>100</v>
      </c>
      <c r="X36" s="665"/>
      <c r="Y36" s="338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2" t="s">
        <v>1696</v>
      </c>
      <c r="Q37" s="1262" t="str">
        <f t="shared" si="14"/>
        <v>工程地质条件</v>
      </c>
      <c r="R37" s="666" t="s">
        <v>14</v>
      </c>
      <c r="S37" s="667">
        <f t="shared" si="10"/>
        <v>100</v>
      </c>
      <c r="T37" s="666" t="s">
        <v>14</v>
      </c>
      <c r="U37" s="667">
        <f t="shared" si="11"/>
        <v>100</v>
      </c>
      <c r="V37" s="666" t="s">
        <v>14</v>
      </c>
      <c r="W37" s="667">
        <f t="shared" si="12"/>
        <v>100</v>
      </c>
      <c r="X37" s="1264"/>
      <c r="Y37" s="3382"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382"/>
      <c r="Q38" s="1262">
        <f t="shared" si="14"/>
        <v>111</v>
      </c>
      <c r="R38" s="666" t="s">
        <v>14</v>
      </c>
      <c r="S38" s="667">
        <f t="shared" si="10"/>
        <v>100</v>
      </c>
      <c r="T38" s="666" t="s">
        <v>14</v>
      </c>
      <c r="U38" s="667">
        <f t="shared" si="11"/>
        <v>100</v>
      </c>
      <c r="V38" s="666" t="s">
        <v>14</v>
      </c>
      <c r="W38" s="667">
        <f t="shared" si="12"/>
        <v>100</v>
      </c>
      <c r="X38" s="1264"/>
      <c r="Y38" s="3382"/>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382"/>
      <c r="Q39" s="1262">
        <f t="shared" si="14"/>
        <v>111</v>
      </c>
      <c r="R39" s="666" t="s">
        <v>14</v>
      </c>
      <c r="S39" s="667">
        <f t="shared" si="10"/>
        <v>100</v>
      </c>
      <c r="T39" s="666" t="s">
        <v>14</v>
      </c>
      <c r="U39" s="667">
        <f t="shared" si="11"/>
        <v>100</v>
      </c>
      <c r="V39" s="666" t="s">
        <v>14</v>
      </c>
      <c r="W39" s="667">
        <f t="shared" si="12"/>
        <v>100</v>
      </c>
      <c r="X39" s="1264"/>
      <c r="Y39" s="3382"/>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382"/>
      <c r="Q40" s="1262">
        <f t="shared" si="14"/>
        <v>111</v>
      </c>
      <c r="R40" s="668" t="s">
        <v>14</v>
      </c>
      <c r="S40" s="669">
        <f t="shared" si="10"/>
        <v>100</v>
      </c>
      <c r="T40" s="668" t="s">
        <v>14</v>
      </c>
      <c r="U40" s="669">
        <f t="shared" si="11"/>
        <v>100</v>
      </c>
      <c r="V40" s="668" t="s">
        <v>14</v>
      </c>
      <c r="W40" s="669">
        <f t="shared" si="12"/>
        <v>100</v>
      </c>
      <c r="X40" s="670"/>
      <c r="Y40" s="3382"/>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370" t="str">
        <f>A41</f>
        <v>成交单价</v>
      </c>
      <c r="Q41" s="3370"/>
      <c r="R41" s="3371">
        <f>E41</f>
        <v>0</v>
      </c>
      <c r="S41" s="3371"/>
      <c r="T41" s="3371">
        <f>G41</f>
        <v>0</v>
      </c>
      <c r="U41" s="3371"/>
      <c r="V41" s="3371">
        <f>I41</f>
        <v>0</v>
      </c>
      <c r="W41" s="3371"/>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370" t="str">
        <f>A42</f>
        <v>比较价值（元/平方米）</v>
      </c>
      <c r="Q42" s="3370"/>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372" t="str">
        <f>A43</f>
        <v>估价对象XX用房的比较价值（楼面单价，元/平方米）</v>
      </c>
      <c r="Q43" s="3373"/>
      <c r="R43" s="3456" t="e">
        <f>ROUND(IF(D42="简单平均",AVERAGE(R42:W42),R42*F42+T42*H42+V42*J42),0)</f>
        <v>#DIV/0!</v>
      </c>
      <c r="S43" s="3456"/>
      <c r="T43" s="3456"/>
      <c r="U43" s="3456"/>
      <c r="V43" s="3456"/>
      <c r="W43" s="345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88" t="s">
        <v>1887</v>
      </c>
      <c r="H50" s="3457"/>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255.78</v>
      </c>
      <c r="F51" s="610" t="e">
        <f t="shared" ref="F51:F60" si="15">ROUND(B51*E51/10000,0)</f>
        <v>#DIV/0!</v>
      </c>
      <c r="G51" s="3384"/>
      <c r="H51" s="3370"/>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0.6</v>
      </c>
      <c r="D52" s="890">
        <v>0.25</v>
      </c>
      <c r="E52" s="613"/>
      <c r="F52" s="610" t="e">
        <f t="shared" si="15"/>
        <v>#DIV/0!</v>
      </c>
      <c r="G52" s="2750" t="s">
        <v>1892</v>
      </c>
      <c r="H52" s="833" t="str">
        <f>项目基本情况!B37</f>
        <v>六级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0.3</v>
      </c>
      <c r="D53" s="890">
        <v>0.25</v>
      </c>
      <c r="E53" s="613"/>
      <c r="F53" s="610" t="e">
        <f t="shared" si="15"/>
        <v>#DIV/0!</v>
      </c>
      <c r="G53" s="2751"/>
      <c r="H53" s="833" t="str">
        <f>项目基本情况!B37</f>
        <v>六级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0.25</v>
      </c>
      <c r="D54" s="890">
        <v>0.25</v>
      </c>
      <c r="E54" s="613"/>
      <c r="F54" s="610" t="e">
        <f t="shared" si="15"/>
        <v>#DIV/0!</v>
      </c>
      <c r="G54" s="2751"/>
      <c r="H54" s="833" t="str">
        <f>项目基本情况!B37</f>
        <v>六级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0.15</v>
      </c>
      <c r="D59" s="890">
        <v>0.25</v>
      </c>
      <c r="E59" s="209">
        <f>'数据-汇总表'!E14</f>
        <v>0</v>
      </c>
      <c r="F59" s="610" t="e">
        <f t="shared" si="15"/>
        <v>#DIV/0!</v>
      </c>
      <c r="G59" s="1834" t="s">
        <v>1892</v>
      </c>
      <c r="H59" s="833" t="str">
        <f>项目基本情况!B37</f>
        <v>六级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5" t="s">
        <v>2084</v>
      </c>
      <c r="D1" s="3466"/>
      <c r="E1" s="3466"/>
      <c r="F1" s="3466"/>
      <c r="G1" s="3466"/>
      <c r="H1" s="3466"/>
      <c r="I1" s="3466"/>
      <c r="J1" s="3466"/>
      <c r="K1" s="3466"/>
      <c r="L1" s="3466"/>
      <c r="M1" s="3466"/>
      <c r="N1" s="3466"/>
      <c r="O1" s="3466"/>
      <c r="P1" s="3466"/>
      <c r="Q1" s="3466"/>
      <c r="R1" s="3466"/>
      <c r="S1" s="3467"/>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261</v>
      </c>
      <c r="C2" s="1983" t="s">
        <v>2074</v>
      </c>
      <c r="D2" s="1983" t="s">
        <v>2075</v>
      </c>
      <c r="E2" s="2397">
        <f ca="1">SUMIF(E6:E13,"&lt;&gt;#ref!",E6:E13)</f>
        <v>255.78</v>
      </c>
      <c r="F2" s="2544"/>
      <c r="G2" s="2544"/>
      <c r="H2" s="2544"/>
      <c r="I2" s="2544"/>
      <c r="J2" s="2544"/>
      <c r="K2" s="2544"/>
      <c r="L2" s="2544"/>
      <c r="M2" s="2544"/>
      <c r="N2" s="2544"/>
      <c r="O2" s="2544"/>
      <c r="P2" s="2544"/>
    </row>
    <row r="3" spans="1:16" ht="15.75">
      <c r="A3" s="1983" t="s">
        <v>2076</v>
      </c>
      <c r="B3" s="2387">
        <f ca="1">ROUND(B2*10000/E2,0)</f>
        <v>10204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261</v>
      </c>
      <c r="C6" s="1983" t="s">
        <v>2074</v>
      </c>
      <c r="D6" s="2544"/>
      <c r="E6" s="2397">
        <f ca="1">SUMIF(INDIRECT("'"&amp;A6&amp;"'"&amp;"!C:C"),"建筑面积",INDIRECT("'"&amp;A6&amp;"'"&amp;"!D:D"))</f>
        <v>255.78</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31"/>
  <sheetViews>
    <sheetView view="pageBreakPreview" topLeftCell="A32" zoomScale="85" zoomScaleNormal="70" zoomScaleSheetLayoutView="85" workbookViewId="0">
      <selection activeCell="D63" sqref="D6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673</v>
      </c>
      <c r="E1" s="3124" t="s">
        <v>3439</v>
      </c>
      <c r="F1" s="1734" t="s">
        <v>3472</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685</v>
      </c>
      <c r="B2" s="1084">
        <f>IF(E1="项目模式",IF(C2="——",ROUND(C49*D3/10000,0),ROUND(C49*D3/10000,0)-D2),IF(E1="单套模式",IF(C2="——",ROUND(C49*D3/10000,4),ROUND(C49*D3/10000,4)-D2)))</f>
        <v>0.1356</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686</v>
      </c>
      <c r="B3" s="536">
        <f>IF(C2="——",C49,ROUND(B2*10000/D3,0))</f>
        <v>5.3</v>
      </c>
      <c r="C3" s="344" t="s">
        <v>1665</v>
      </c>
      <c r="D3" s="343">
        <f>IF(D1="",'数据-汇总表'!E3,SUMIF('数据-汇总表'!$C19:$C33,D1,'数据-汇总表'!$E19:$E33))</f>
        <v>255.78</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1666</v>
      </c>
      <c r="B4" s="346"/>
      <c r="C4" s="3388" t="s">
        <v>1667</v>
      </c>
      <c r="D4" s="3389"/>
      <c r="E4" s="3390" t="s">
        <v>1668</v>
      </c>
      <c r="F4" s="3391"/>
      <c r="G4" s="3388" t="s">
        <v>1669</v>
      </c>
      <c r="H4" s="3389"/>
      <c r="I4" s="3388" t="s">
        <v>1670</v>
      </c>
      <c r="J4" s="3389"/>
      <c r="K4" s="537" t="s">
        <v>1671</v>
      </c>
      <c r="L4" s="2486"/>
      <c r="M4" s="2487"/>
      <c r="N4" s="2487"/>
      <c r="O4" s="2487"/>
      <c r="P4" s="3392" t="s">
        <v>1672</v>
      </c>
      <c r="Q4" s="3393"/>
      <c r="R4" s="3398" t="s">
        <v>1668</v>
      </c>
      <c r="S4" s="3399"/>
      <c r="T4" s="3398" t="s">
        <v>1669</v>
      </c>
      <c r="U4" s="3399"/>
      <c r="V4" s="3371" t="s">
        <v>1670</v>
      </c>
      <c r="W4" s="3371"/>
      <c r="X4" s="1264"/>
      <c r="Y4" s="3398" t="s">
        <v>1672</v>
      </c>
      <c r="Z4" s="3399"/>
      <c r="AA4" s="3385" t="s">
        <v>1668</v>
      </c>
      <c r="AB4" s="3371" t="s">
        <v>1669</v>
      </c>
      <c r="AC4" s="3385" t="s">
        <v>1670</v>
      </c>
    </row>
    <row r="5" spans="1:29" ht="15">
      <c r="A5" s="348"/>
      <c r="B5" s="349"/>
      <c r="C5" s="3411" t="s">
        <v>1673</v>
      </c>
      <c r="D5" s="3407"/>
      <c r="E5" s="3414" t="s">
        <v>3489</v>
      </c>
      <c r="F5" s="3415"/>
      <c r="G5" s="3406" t="s">
        <v>3487</v>
      </c>
      <c r="H5" s="3407"/>
      <c r="I5" s="3406" t="s">
        <v>3488</v>
      </c>
      <c r="J5" s="3407"/>
      <c r="K5" s="537"/>
      <c r="L5" s="2486"/>
      <c r="M5" s="2487"/>
      <c r="N5" s="2487"/>
      <c r="O5" s="2487"/>
      <c r="P5" s="3394"/>
      <c r="Q5" s="3395"/>
      <c r="R5" s="3400"/>
      <c r="S5" s="3401"/>
      <c r="T5" s="3400"/>
      <c r="U5" s="3401"/>
      <c r="V5" s="3371"/>
      <c r="W5" s="3371"/>
      <c r="X5" s="1264"/>
      <c r="Y5" s="3400"/>
      <c r="Z5" s="3401"/>
      <c r="AA5" s="3386"/>
      <c r="AB5" s="3371"/>
      <c r="AC5" s="3386"/>
    </row>
    <row r="6" spans="1:29" ht="15.75" thickBot="1">
      <c r="A6" s="350"/>
      <c r="B6" s="351"/>
      <c r="C6" s="3404" t="s">
        <v>1677</v>
      </c>
      <c r="D6" s="3405"/>
      <c r="E6" s="3412" t="s">
        <v>1677</v>
      </c>
      <c r="F6" s="3413"/>
      <c r="G6" s="3404" t="s">
        <v>1677</v>
      </c>
      <c r="H6" s="3405"/>
      <c r="I6" s="3404" t="s">
        <v>1677</v>
      </c>
      <c r="J6" s="3405"/>
      <c r="K6" s="537" t="s">
        <v>1678</v>
      </c>
      <c r="L6" s="2486"/>
      <c r="M6" s="2487"/>
      <c r="N6" s="2487"/>
      <c r="O6" s="2487"/>
      <c r="P6" s="3396"/>
      <c r="Q6" s="3397"/>
      <c r="R6" s="3400"/>
      <c r="S6" s="3401"/>
      <c r="T6" s="3402"/>
      <c r="U6" s="3403"/>
      <c r="V6" s="3371"/>
      <c r="W6" s="3371"/>
      <c r="X6" s="1264"/>
      <c r="Y6" s="3402"/>
      <c r="Z6" s="3403"/>
      <c r="AA6" s="3387"/>
      <c r="AB6" s="3371"/>
      <c r="AC6" s="3387"/>
    </row>
    <row r="7" spans="1:29" s="102" customFormat="1" ht="15.75" thickBot="1">
      <c r="A7" s="352" t="s">
        <v>1679</v>
      </c>
      <c r="B7" s="353"/>
      <c r="C7" s="354">
        <f>'数据-取费表'!B2</f>
        <v>45696</v>
      </c>
      <c r="D7" s="355">
        <v>100</v>
      </c>
      <c r="E7" s="356">
        <f>C7</f>
        <v>45696</v>
      </c>
      <c r="F7" s="357">
        <f>SUMIF(58:58,YEAR(E7)&amp;"-"&amp;MONTH(E7),59:59)</f>
        <v>100</v>
      </c>
      <c r="G7" s="356">
        <f>C7</f>
        <v>45696</v>
      </c>
      <c r="H7" s="355">
        <f>SUMIF(58:58,YEAR(G7)&amp;"-"&amp;MONTH(G7),59:59)</f>
        <v>100</v>
      </c>
      <c r="I7" s="356">
        <f>C7</f>
        <v>45696</v>
      </c>
      <c r="J7" s="355">
        <f>SUMIF(58:58,YEAR(I7)&amp;"-"&amp;MONTH(I7),59:59)</f>
        <v>100</v>
      </c>
      <c r="K7" s="38"/>
      <c r="L7" s="2488"/>
      <c r="M7" s="2439"/>
      <c r="N7" s="2439"/>
      <c r="O7" s="2439"/>
      <c r="P7" s="3408" t="s">
        <v>1680</v>
      </c>
      <c r="Q7" s="3410"/>
      <c r="R7" s="663" t="s">
        <v>14</v>
      </c>
      <c r="S7" s="664">
        <f t="shared" ref="S7:S15" si="0">F7</f>
        <v>100</v>
      </c>
      <c r="T7" s="663" t="s">
        <v>14</v>
      </c>
      <c r="U7" s="664">
        <f t="shared" ref="U7:U15" si="1">H7</f>
        <v>100</v>
      </c>
      <c r="V7" s="663" t="s">
        <v>14</v>
      </c>
      <c r="W7" s="664">
        <f t="shared" ref="W7:W15" si="2">J7</f>
        <v>100</v>
      </c>
      <c r="X7" s="665"/>
      <c r="Y7" s="3408" t="s">
        <v>1680</v>
      </c>
      <c r="Z7" s="3409"/>
      <c r="AA7" s="50">
        <f>D7/F7</f>
        <v>1</v>
      </c>
      <c r="AB7" s="50">
        <f>D7/H7</f>
        <v>1</v>
      </c>
      <c r="AC7" s="50">
        <f>D7/J7</f>
        <v>1</v>
      </c>
    </row>
    <row r="8" spans="1:29" s="102" customFormat="1" ht="15.75" thickBot="1">
      <c r="A8" s="352" t="s">
        <v>1681</v>
      </c>
      <c r="B8" s="353"/>
      <c r="C8" s="358" t="s">
        <v>3441</v>
      </c>
      <c r="D8" s="355">
        <v>100</v>
      </c>
      <c r="E8" s="358" t="s">
        <v>3442</v>
      </c>
      <c r="F8" s="357">
        <f>SUMIF(61:61,E8,62:62)-SUMIF(61:61,C8,62:62)+100</f>
        <v>105</v>
      </c>
      <c r="G8" s="358" t="s">
        <v>3442</v>
      </c>
      <c r="H8" s="355">
        <f>SUMIF(61:61,G8,62:62)-SUMIF(61:61,C8,62:62)+100</f>
        <v>105</v>
      </c>
      <c r="I8" s="358" t="s">
        <v>3442</v>
      </c>
      <c r="J8" s="355">
        <f>SUMIF(61:61,I8,62:62)-SUMIF(61:61,C8,62:62)+100</f>
        <v>105</v>
      </c>
      <c r="K8" s="38"/>
      <c r="L8" s="2488"/>
      <c r="M8" s="2439"/>
      <c r="N8" s="2439"/>
      <c r="O8" s="2439"/>
      <c r="P8" s="3408" t="s">
        <v>1683</v>
      </c>
      <c r="Q8" s="3409"/>
      <c r="R8" s="663" t="s">
        <v>14</v>
      </c>
      <c r="S8" s="664">
        <f t="shared" si="0"/>
        <v>105</v>
      </c>
      <c r="T8" s="663" t="s">
        <v>14</v>
      </c>
      <c r="U8" s="664">
        <f t="shared" si="1"/>
        <v>105</v>
      </c>
      <c r="V8" s="663" t="s">
        <v>14</v>
      </c>
      <c r="W8" s="664">
        <f t="shared" si="2"/>
        <v>105</v>
      </c>
      <c r="X8" s="665"/>
      <c r="Y8" s="3408" t="s">
        <v>1683</v>
      </c>
      <c r="Z8" s="3409"/>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63" t="s">
        <v>3443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84" t="s">
        <v>1686</v>
      </c>
      <c r="Q9" s="530" t="str">
        <f t="shared" ref="Q9:Q15" si="6">B9</f>
        <v>用途</v>
      </c>
      <c r="R9" s="663" t="s">
        <v>14</v>
      </c>
      <c r="S9" s="664">
        <f t="shared" si="0"/>
        <v>100</v>
      </c>
      <c r="T9" s="663" t="s">
        <v>14</v>
      </c>
      <c r="U9" s="664">
        <f t="shared" si="1"/>
        <v>100</v>
      </c>
      <c r="V9" s="663" t="s">
        <v>14</v>
      </c>
      <c r="W9" s="664">
        <f t="shared" si="2"/>
        <v>100</v>
      </c>
      <c r="X9" s="665"/>
      <c r="Y9" s="3269" t="s">
        <v>1687</v>
      </c>
      <c r="Z9" s="50" t="str">
        <f t="shared" ref="Z9:Z15" si="7">Q9</f>
        <v>用途</v>
      </c>
      <c r="AA9" s="50">
        <f t="shared" si="3"/>
        <v>1</v>
      </c>
      <c r="AB9" s="50">
        <f t="shared" si="4"/>
        <v>1</v>
      </c>
      <c r="AC9" s="50">
        <f t="shared" si="5"/>
        <v>1</v>
      </c>
    </row>
    <row r="10" spans="1:29" s="366" customFormat="1" ht="27">
      <c r="A10" s="363"/>
      <c r="B10" s="364" t="s">
        <v>1688</v>
      </c>
      <c r="C10" s="3132" t="s">
        <v>3469</v>
      </c>
      <c r="D10" s="119">
        <v>100</v>
      </c>
      <c r="E10" s="3133" t="s">
        <v>3469</v>
      </c>
      <c r="F10" s="364">
        <f>SUMIF(65:65,E10,66:66)-SUMIF(65:65,C10,66:66)+100</f>
        <v>100</v>
      </c>
      <c r="G10" s="3132" t="s">
        <v>3470</v>
      </c>
      <c r="H10" s="119">
        <f>SUMIF(65:65,G10,66:66)-SUMIF(65:65,C10,66:66)+100</f>
        <v>101</v>
      </c>
      <c r="I10" s="3132" t="s">
        <v>3470</v>
      </c>
      <c r="J10" s="119">
        <f>SUMIF(65:65,I10,66:66)-SUMIF(65:65,C10,66:66)+100</f>
        <v>101</v>
      </c>
      <c r="K10" s="38"/>
      <c r="L10" s="2489"/>
      <c r="M10" s="2490"/>
      <c r="N10" s="2490"/>
      <c r="O10" s="2490"/>
      <c r="P10" s="3384"/>
      <c r="Q10" s="530" t="str">
        <f t="shared" si="6"/>
        <v>土地使用年限（年）</v>
      </c>
      <c r="R10" s="663" t="s">
        <v>14</v>
      </c>
      <c r="S10" s="664">
        <f t="shared" si="0"/>
        <v>100</v>
      </c>
      <c r="T10" s="663" t="s">
        <v>14</v>
      </c>
      <c r="U10" s="664">
        <f t="shared" si="1"/>
        <v>101</v>
      </c>
      <c r="V10" s="663" t="s">
        <v>14</v>
      </c>
      <c r="W10" s="664">
        <f t="shared" si="2"/>
        <v>101</v>
      </c>
      <c r="X10" s="665"/>
      <c r="Y10" s="3269"/>
      <c r="Z10" s="50" t="str">
        <f t="shared" si="7"/>
        <v>土地使用年限（年）</v>
      </c>
      <c r="AA10" s="50">
        <f t="shared" si="3"/>
        <v>1</v>
      </c>
      <c r="AB10" s="50">
        <f t="shared" si="4"/>
        <v>0.99009900990099009</v>
      </c>
      <c r="AC10" s="50">
        <f t="shared" si="5"/>
        <v>0.99009900990099009</v>
      </c>
    </row>
    <row r="11" spans="1:29" ht="15">
      <c r="A11" s="367"/>
      <c r="B11" s="364" t="s">
        <v>1689</v>
      </c>
      <c r="C11" s="368">
        <v>1.53</v>
      </c>
      <c r="D11" s="119">
        <v>100</v>
      </c>
      <c r="E11" s="369">
        <v>1.36</v>
      </c>
      <c r="F11" s="364">
        <f>LOOKUP(E11,68:68,69:69)-LOOKUP(C11,68:68,69:69)+100</f>
        <v>100</v>
      </c>
      <c r="G11" s="368">
        <v>2.1</v>
      </c>
      <c r="H11" s="119">
        <f>LOOKUP(G11,68:68,69:69)-LOOKUP(C11,68:68,69:69)+100</f>
        <v>100</v>
      </c>
      <c r="I11" s="368">
        <v>2.5</v>
      </c>
      <c r="J11" s="119">
        <f>LOOKUP(I11,68:68,69:69)-LOOKUP(C11,68:68,69:69)+100</f>
        <v>100</v>
      </c>
      <c r="K11" s="538">
        <v>0</v>
      </c>
      <c r="L11" s="2491"/>
      <c r="M11" s="2487"/>
      <c r="N11" s="2487"/>
      <c r="O11" s="2487"/>
      <c r="P11" s="3384"/>
      <c r="Q11" s="530" t="str">
        <f t="shared" si="6"/>
        <v>容积率</v>
      </c>
      <c r="R11" s="663" t="s">
        <v>14</v>
      </c>
      <c r="S11" s="664">
        <f t="shared" si="0"/>
        <v>100</v>
      </c>
      <c r="T11" s="663" t="s">
        <v>14</v>
      </c>
      <c r="U11" s="664">
        <f t="shared" si="1"/>
        <v>100</v>
      </c>
      <c r="V11" s="663" t="s">
        <v>14</v>
      </c>
      <c r="W11" s="664">
        <f t="shared" si="2"/>
        <v>100</v>
      </c>
      <c r="X11" s="665"/>
      <c r="Y11" s="3269"/>
      <c r="Z11" s="50" t="str">
        <f t="shared" si="7"/>
        <v>容积率</v>
      </c>
      <c r="AA11" s="50">
        <f t="shared" si="3"/>
        <v>1</v>
      </c>
      <c r="AB11" s="50">
        <f t="shared" si="4"/>
        <v>1</v>
      </c>
      <c r="AC11" s="50">
        <f t="shared" si="5"/>
        <v>1</v>
      </c>
    </row>
    <row r="12" spans="1:29" s="102" customFormat="1" ht="15">
      <c r="A12" s="370"/>
      <c r="B12" s="3164" t="s">
        <v>3444</v>
      </c>
      <c r="C12" s="371">
        <v>2002</v>
      </c>
      <c r="D12" s="372">
        <v>100</v>
      </c>
      <c r="E12" s="373">
        <v>1996</v>
      </c>
      <c r="F12" s="364">
        <f>SUMIF(70:70,E12,71:71)-SUMIF(70:70,C12,71:71)+100</f>
        <v>100</v>
      </c>
      <c r="G12" s="373">
        <v>2010</v>
      </c>
      <c r="H12" s="119">
        <f>SUMIF(70:70,G12,71:71)-SUMIF(70:70,C12,71:71)+100</f>
        <v>100</v>
      </c>
      <c r="I12" s="373">
        <v>2010</v>
      </c>
      <c r="J12" s="119">
        <f>SUMIF(70:70,I12,71:71)-SUMIF(70:70,C12,71:71)+100</f>
        <v>100</v>
      </c>
      <c r="K12" s="539"/>
      <c r="L12" s="2488"/>
      <c r="M12" s="2439"/>
      <c r="N12" s="2439"/>
      <c r="O12" s="2439"/>
      <c r="P12" s="3384"/>
      <c r="Q12" s="530" t="str">
        <f t="shared" si="6"/>
        <v>建成年代</v>
      </c>
      <c r="R12" s="663" t="s">
        <v>14</v>
      </c>
      <c r="S12" s="664">
        <f t="shared" si="0"/>
        <v>100</v>
      </c>
      <c r="T12" s="663" t="s">
        <v>14</v>
      </c>
      <c r="U12" s="664">
        <f t="shared" si="1"/>
        <v>100</v>
      </c>
      <c r="V12" s="663" t="s">
        <v>14</v>
      </c>
      <c r="W12" s="664">
        <f t="shared" si="2"/>
        <v>100</v>
      </c>
      <c r="X12" s="665"/>
      <c r="Y12" s="3269"/>
      <c r="Z12" s="50" t="str">
        <f t="shared" si="7"/>
        <v>建成年代</v>
      </c>
      <c r="AA12" s="50">
        <f>D12/F12</f>
        <v>1</v>
      </c>
      <c r="AB12" s="50">
        <f>D12/H12</f>
        <v>1</v>
      </c>
      <c r="AC12" s="50">
        <f>D12/J12</f>
        <v>1</v>
      </c>
    </row>
    <row r="13" spans="1:29" ht="15.75" thickBot="1">
      <c r="A13" s="367"/>
      <c r="B13" s="3164" t="s">
        <v>3468</v>
      </c>
      <c r="C13" s="373">
        <f>40-(2025-C12)</f>
        <v>17</v>
      </c>
      <c r="D13" s="374">
        <v>100</v>
      </c>
      <c r="E13" s="373">
        <f>40-(2025-E12)</f>
        <v>11</v>
      </c>
      <c r="F13" s="364">
        <f>SUMIF(72:72,E13,73:73)-SUMIF(72:72,C13,73:73)+100</f>
        <v>100</v>
      </c>
      <c r="G13" s="373">
        <f>40-(2025-G12)</f>
        <v>25</v>
      </c>
      <c r="H13" s="374">
        <f>SUMIF(72:72,G13,73:73)-SUMIF(72:72,C13,73:73)+100</f>
        <v>100</v>
      </c>
      <c r="I13" s="373">
        <f>40-(2025-I12)</f>
        <v>25</v>
      </c>
      <c r="J13" s="374">
        <f>SUMIF(72:72,I13,73:73)-SUMIF(72:72,C13,73:73)+100</f>
        <v>100</v>
      </c>
      <c r="K13" s="539"/>
      <c r="L13" s="2492"/>
      <c r="M13" s="2487"/>
      <c r="N13" s="2487"/>
      <c r="O13" s="2487"/>
      <c r="P13" s="3384"/>
      <c r="Q13" s="530" t="str">
        <f t="shared" si="6"/>
        <v>土地剩余年限</v>
      </c>
      <c r="R13" s="663" t="s">
        <v>14</v>
      </c>
      <c r="S13" s="664">
        <f t="shared" si="0"/>
        <v>100</v>
      </c>
      <c r="T13" s="663" t="s">
        <v>14</v>
      </c>
      <c r="U13" s="664">
        <f t="shared" si="1"/>
        <v>100</v>
      </c>
      <c r="V13" s="663" t="s">
        <v>14</v>
      </c>
      <c r="W13" s="664">
        <f t="shared" si="2"/>
        <v>100</v>
      </c>
      <c r="X13" s="665"/>
      <c r="Y13" s="3269"/>
      <c r="Z13" s="50" t="str">
        <f t="shared" si="7"/>
        <v>土地剩余年限</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4"/>
      <c r="Q14" s="530">
        <f t="shared" si="6"/>
        <v>111</v>
      </c>
      <c r="R14" s="663" t="s">
        <v>14</v>
      </c>
      <c r="S14" s="664">
        <f t="shared" si="0"/>
        <v>100</v>
      </c>
      <c r="T14" s="663" t="s">
        <v>14</v>
      </c>
      <c r="U14" s="664">
        <f t="shared" si="1"/>
        <v>100</v>
      </c>
      <c r="V14" s="663" t="s">
        <v>14</v>
      </c>
      <c r="W14" s="664">
        <f t="shared" si="2"/>
        <v>100</v>
      </c>
      <c r="X14" s="665"/>
      <c r="Y14" s="326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98</v>
      </c>
      <c r="I15" s="381"/>
      <c r="J15" s="380">
        <f>SUMIF(76:76,I16,77:77)-SUMIF(76:76,C16,77:77)+100</f>
        <v>100</v>
      </c>
      <c r="K15" s="540">
        <v>2</v>
      </c>
      <c r="L15" s="2492"/>
      <c r="M15" s="2487"/>
      <c r="N15" s="2487"/>
      <c r="O15" s="2487"/>
      <c r="P15" s="3375" t="s">
        <v>1691</v>
      </c>
      <c r="Q15" s="1262" t="str">
        <f t="shared" si="6"/>
        <v>商业繁华度</v>
      </c>
      <c r="R15" s="666" t="s">
        <v>14</v>
      </c>
      <c r="S15" s="667">
        <f t="shared" si="0"/>
        <v>100</v>
      </c>
      <c r="T15" s="666" t="s">
        <v>14</v>
      </c>
      <c r="U15" s="667">
        <f t="shared" si="1"/>
        <v>98</v>
      </c>
      <c r="V15" s="666" t="s">
        <v>14</v>
      </c>
      <c r="W15" s="667">
        <f t="shared" si="2"/>
        <v>100</v>
      </c>
      <c r="X15" s="1264"/>
      <c r="Y15" s="3377" t="s">
        <v>1691</v>
      </c>
      <c r="Z15" s="1263" t="str">
        <f t="shared" si="7"/>
        <v>商业繁华度</v>
      </c>
      <c r="AA15" s="1263">
        <f t="shared" si="3"/>
        <v>1</v>
      </c>
      <c r="AB15" s="1263">
        <f t="shared" si="4"/>
        <v>1.0204081632653061</v>
      </c>
      <c r="AC15" s="1263">
        <f t="shared" si="5"/>
        <v>1</v>
      </c>
    </row>
    <row r="16" spans="1:29" ht="15">
      <c r="A16" s="367"/>
      <c r="B16" s="385"/>
      <c r="C16" s="386" t="s">
        <v>3404</v>
      </c>
      <c r="D16" s="387"/>
      <c r="E16" s="386" t="s">
        <v>3404</v>
      </c>
      <c r="F16" s="388"/>
      <c r="G16" s="386" t="s">
        <v>3405</v>
      </c>
      <c r="H16" s="389"/>
      <c r="I16" s="386" t="s">
        <v>3404</v>
      </c>
      <c r="J16" s="387"/>
      <c r="K16" s="541"/>
      <c r="L16" s="2492"/>
      <c r="M16" s="2487"/>
      <c r="N16" s="2487"/>
      <c r="O16" s="2487"/>
      <c r="P16" s="3376"/>
      <c r="Q16" s="1262"/>
      <c r="R16" s="666"/>
      <c r="S16" s="667"/>
      <c r="T16" s="666"/>
      <c r="U16" s="667"/>
      <c r="V16" s="666"/>
      <c r="W16" s="667"/>
      <c r="X16" s="1264"/>
      <c r="Y16" s="3378"/>
      <c r="Z16" s="1263"/>
      <c r="AA16" s="1263">
        <v>1</v>
      </c>
      <c r="AB16" s="1263">
        <v>1</v>
      </c>
      <c r="AC16" s="1263">
        <v>1</v>
      </c>
    </row>
    <row r="17" spans="1:29" ht="15">
      <c r="A17" s="367"/>
      <c r="B17" s="390" t="s">
        <v>1259</v>
      </c>
      <c r="C17" s="1753">
        <f>估价对象房地状况!C6</f>
        <v>0</v>
      </c>
      <c r="D17" s="389">
        <v>100</v>
      </c>
      <c r="E17" s="391"/>
      <c r="F17" s="392">
        <f>SUMIF(78:78,E18,79:79)-SUMIF(78:78,C18,79:79)+100</f>
        <v>102</v>
      </c>
      <c r="G17" s="393"/>
      <c r="H17" s="394">
        <f>SUMIF(78:78,G18,79:79)-SUMIF(78:78,C18,79:79)+100</f>
        <v>100</v>
      </c>
      <c r="I17" s="391"/>
      <c r="J17" s="394">
        <f>SUMIF(78:78,I18,79:79)-SUMIF(78:78,C18,79:79)+100</f>
        <v>102</v>
      </c>
      <c r="K17" s="540">
        <v>2</v>
      </c>
      <c r="L17" s="2492"/>
      <c r="M17" s="2487"/>
      <c r="N17" s="2487"/>
      <c r="O17" s="2487"/>
      <c r="P17" s="3376"/>
      <c r="Q17" s="1262" t="str">
        <f>B17</f>
        <v>交通便捷度</v>
      </c>
      <c r="R17" s="666" t="s">
        <v>14</v>
      </c>
      <c r="S17" s="667">
        <f>F17</f>
        <v>102</v>
      </c>
      <c r="T17" s="666" t="s">
        <v>14</v>
      </c>
      <c r="U17" s="667">
        <f>H17</f>
        <v>100</v>
      </c>
      <c r="V17" s="666" t="s">
        <v>14</v>
      </c>
      <c r="W17" s="667">
        <f>J17</f>
        <v>102</v>
      </c>
      <c r="X17" s="1264"/>
      <c r="Y17" s="3378"/>
      <c r="Z17" s="1263" t="str">
        <f>Q17</f>
        <v>交通便捷度</v>
      </c>
      <c r="AA17" s="1263">
        <f t="shared" si="3"/>
        <v>0.98039215686274506</v>
      </c>
      <c r="AB17" s="1263">
        <f t="shared" si="4"/>
        <v>1</v>
      </c>
      <c r="AC17" s="1263">
        <f t="shared" si="5"/>
        <v>0.98039215686274506</v>
      </c>
    </row>
    <row r="18" spans="1:29" ht="15">
      <c r="A18" s="367"/>
      <c r="B18" s="395"/>
      <c r="C18" s="1754" t="s">
        <v>3405</v>
      </c>
      <c r="D18" s="389"/>
      <c r="E18" s="1756" t="s">
        <v>3404</v>
      </c>
      <c r="F18" s="392"/>
      <c r="G18" s="1756" t="s">
        <v>3405</v>
      </c>
      <c r="H18" s="387"/>
      <c r="I18" s="1756" t="s">
        <v>3404</v>
      </c>
      <c r="J18" s="387"/>
      <c r="K18" s="541"/>
      <c r="L18" s="2492"/>
      <c r="M18" s="2487"/>
      <c r="N18" s="2487"/>
      <c r="O18" s="2487"/>
      <c r="P18" s="3376"/>
      <c r="Q18" s="1262"/>
      <c r="R18" s="666"/>
      <c r="S18" s="667"/>
      <c r="T18" s="666"/>
      <c r="U18" s="667"/>
      <c r="V18" s="666"/>
      <c r="W18" s="667"/>
      <c r="X18" s="1264"/>
      <c r="Y18" s="3378"/>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76"/>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263">
        <f t="shared" si="5"/>
        <v>1</v>
      </c>
    </row>
    <row r="20" spans="1:29" ht="15">
      <c r="A20" s="367"/>
      <c r="B20" s="395"/>
      <c r="C20" s="1756" t="s">
        <v>3404</v>
      </c>
      <c r="D20" s="387"/>
      <c r="E20" s="1756" t="s">
        <v>3404</v>
      </c>
      <c r="F20" s="388"/>
      <c r="G20" s="1756" t="s">
        <v>3404</v>
      </c>
      <c r="H20" s="387"/>
      <c r="I20" s="1756" t="s">
        <v>3404</v>
      </c>
      <c r="J20" s="387"/>
      <c r="K20" s="541"/>
      <c r="L20" s="2492"/>
      <c r="M20" s="2487"/>
      <c r="N20" s="2487"/>
      <c r="O20" s="2487"/>
      <c r="P20" s="3376"/>
      <c r="Q20" s="1262"/>
      <c r="R20" s="666"/>
      <c r="S20" s="667"/>
      <c r="T20" s="666"/>
      <c r="U20" s="667"/>
      <c r="V20" s="666"/>
      <c r="W20" s="667"/>
      <c r="X20" s="1264"/>
      <c r="Y20" s="3378"/>
      <c r="Z20" s="1263"/>
      <c r="AA20" s="1263">
        <v>1</v>
      </c>
      <c r="AB20" s="1263">
        <v>1</v>
      </c>
      <c r="AC20" s="1263">
        <v>1</v>
      </c>
    </row>
    <row r="21" spans="1:29" ht="15">
      <c r="A21" s="367"/>
      <c r="B21" s="585"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76"/>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7"/>
      <c r="B22" s="585"/>
      <c r="C22" s="1754" t="s">
        <v>3429</v>
      </c>
      <c r="D22" s="387"/>
      <c r="E22" s="1754" t="s">
        <v>3429</v>
      </c>
      <c r="F22" s="388"/>
      <c r="G22" s="1754" t="s">
        <v>3429</v>
      </c>
      <c r="H22" s="387"/>
      <c r="I22" s="1754" t="s">
        <v>3429</v>
      </c>
      <c r="J22" s="387"/>
      <c r="K22" s="1063"/>
      <c r="L22" s="2492"/>
      <c r="M22" s="2487"/>
      <c r="N22" s="2487"/>
      <c r="O22" s="2487"/>
      <c r="P22" s="3376"/>
      <c r="Q22" s="1262"/>
      <c r="R22" s="666"/>
      <c r="S22" s="667"/>
      <c r="T22" s="666"/>
      <c r="U22" s="667"/>
      <c r="V22" s="666"/>
      <c r="W22" s="667"/>
      <c r="X22" s="1264"/>
      <c r="Y22" s="3378"/>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98</v>
      </c>
      <c r="I23" s="391"/>
      <c r="J23" s="389">
        <f>SUMIF(84:84,I24,85:85)-SUMIF(84:84,C24,85:85)+100</f>
        <v>100</v>
      </c>
      <c r="K23" s="540">
        <v>2</v>
      </c>
      <c r="L23" s="2492"/>
      <c r="M23" s="2487"/>
      <c r="N23" s="2487"/>
      <c r="O23" s="2487"/>
      <c r="P23" s="3376"/>
      <c r="Q23" s="1262" t="str">
        <f>B23</f>
        <v>自然及人文环境</v>
      </c>
      <c r="R23" s="666" t="s">
        <v>14</v>
      </c>
      <c r="S23" s="667">
        <f>F23</f>
        <v>100</v>
      </c>
      <c r="T23" s="666" t="s">
        <v>14</v>
      </c>
      <c r="U23" s="667">
        <f>H23</f>
        <v>98</v>
      </c>
      <c r="V23" s="666" t="s">
        <v>14</v>
      </c>
      <c r="W23" s="667">
        <f>J23</f>
        <v>100</v>
      </c>
      <c r="X23" s="1264"/>
      <c r="Y23" s="3378"/>
      <c r="Z23" s="1263" t="str">
        <f>Q23</f>
        <v>自然及人文环境</v>
      </c>
      <c r="AA23" s="1263">
        <f t="shared" si="3"/>
        <v>1</v>
      </c>
      <c r="AB23" s="1263">
        <f t="shared" si="4"/>
        <v>1.0204081632653061</v>
      </c>
      <c r="AC23" s="1263">
        <f t="shared" si="5"/>
        <v>1</v>
      </c>
    </row>
    <row r="24" spans="1:29" ht="15">
      <c r="A24" s="367"/>
      <c r="B24" s="395"/>
      <c r="C24" s="386" t="s">
        <v>3404</v>
      </c>
      <c r="D24" s="387"/>
      <c r="E24" s="1751" t="s">
        <v>3404</v>
      </c>
      <c r="F24" s="388"/>
      <c r="G24" s="1751" t="s">
        <v>3405</v>
      </c>
      <c r="H24" s="387"/>
      <c r="I24" s="1751" t="s">
        <v>3404</v>
      </c>
      <c r="J24" s="387"/>
      <c r="K24" s="541"/>
      <c r="L24" s="2492"/>
      <c r="M24" s="2487"/>
      <c r="N24" s="2487"/>
      <c r="O24" s="2487"/>
      <c r="P24" s="3376"/>
      <c r="Q24" s="1262"/>
      <c r="R24" s="666"/>
      <c r="S24" s="667"/>
      <c r="T24" s="666"/>
      <c r="U24" s="667"/>
      <c r="V24" s="666"/>
      <c r="W24" s="667"/>
      <c r="X24" s="1264"/>
      <c r="Y24" s="3378"/>
      <c r="Z24" s="1263"/>
      <c r="AA24" s="1263">
        <v>1</v>
      </c>
      <c r="AB24" s="1263">
        <v>1</v>
      </c>
      <c r="AC24" s="1263">
        <v>1</v>
      </c>
    </row>
    <row r="25" spans="1:29" ht="15">
      <c r="A25" s="367"/>
      <c r="B25" s="364" t="s">
        <v>1780</v>
      </c>
      <c r="C25" s="542" t="s">
        <v>3412</v>
      </c>
      <c r="D25" s="374">
        <v>100</v>
      </c>
      <c r="E25" s="542" t="s">
        <v>3412</v>
      </c>
      <c r="F25" s="400">
        <f>SUMIF(86:86,E25,87:87)-SUMIF(86:86,C25,87:87)+100</f>
        <v>100</v>
      </c>
      <c r="G25" s="542" t="s">
        <v>3412</v>
      </c>
      <c r="H25" s="374">
        <f>SUMIF(86:86,G25,87:87)-SUMIF(86:86,C25,87:87)+100</f>
        <v>100</v>
      </c>
      <c r="I25" s="542" t="s">
        <v>3412</v>
      </c>
      <c r="J25" s="374">
        <f>SUMIF(86:86,I25,87:87)-SUMIF(86:86,C25,87:87)+100</f>
        <v>100</v>
      </c>
      <c r="K25" s="538">
        <v>2</v>
      </c>
      <c r="L25" s="2492"/>
      <c r="M25" s="2487"/>
      <c r="N25" s="2487"/>
      <c r="O25" s="2487"/>
      <c r="P25" s="3376"/>
      <c r="Q25" s="1262" t="str">
        <f t="shared" ref="Q25:Q46" si="11">B25</f>
        <v>临街状况</v>
      </c>
      <c r="R25" s="666" t="s">
        <v>14</v>
      </c>
      <c r="S25" s="667">
        <f>F25</f>
        <v>100</v>
      </c>
      <c r="T25" s="666" t="s">
        <v>14</v>
      </c>
      <c r="U25" s="667">
        <f>H25</f>
        <v>100</v>
      </c>
      <c r="V25" s="666" t="s">
        <v>14</v>
      </c>
      <c r="W25" s="667">
        <f>J25</f>
        <v>100</v>
      </c>
      <c r="X25" s="1264"/>
      <c r="Y25" s="3378"/>
      <c r="Z25" s="1263" t="str">
        <f>Q25</f>
        <v>临街状况</v>
      </c>
      <c r="AA25" s="1263">
        <f t="shared" si="3"/>
        <v>1</v>
      </c>
      <c r="AB25" s="1263">
        <f t="shared" si="4"/>
        <v>1</v>
      </c>
      <c r="AC25" s="1263">
        <f t="shared" si="5"/>
        <v>1</v>
      </c>
    </row>
    <row r="26" spans="1:29" ht="15">
      <c r="A26" s="367"/>
      <c r="B26" s="1065" t="s">
        <v>1781</v>
      </c>
      <c r="C26" s="3165" t="s">
        <v>3445</v>
      </c>
      <c r="D26" s="374">
        <v>100</v>
      </c>
      <c r="E26" s="3165" t="s">
        <v>3445</v>
      </c>
      <c r="F26" s="400">
        <f>SUMIF(88:88,E26,89:89)-SUMIF(88:88,C26,89:89)+100</f>
        <v>100</v>
      </c>
      <c r="G26" s="3165" t="s">
        <v>3445</v>
      </c>
      <c r="H26" s="374">
        <f>SUMIF(88:88,G26,89:89)-SUMIF(88:88,C26,89:89)+100</f>
        <v>100</v>
      </c>
      <c r="I26" s="3165" t="s">
        <v>3445</v>
      </c>
      <c r="J26" s="374">
        <f>SUMIF(88:88,I26,89:89)-SUMIF(88:88,C26,89:89)+100</f>
        <v>100</v>
      </c>
      <c r="K26" s="539"/>
      <c r="L26" s="2492"/>
      <c r="M26" s="2487"/>
      <c r="N26" s="2487"/>
      <c r="O26" s="2487"/>
      <c r="P26" s="3376"/>
      <c r="Q26" s="1262" t="str">
        <f t="shared" si="11"/>
        <v>平面位置/可视性</v>
      </c>
      <c r="R26" s="666" t="s">
        <v>14</v>
      </c>
      <c r="S26" s="667">
        <f>F26</f>
        <v>100</v>
      </c>
      <c r="T26" s="666" t="s">
        <v>14</v>
      </c>
      <c r="U26" s="667">
        <f>H26</f>
        <v>100</v>
      </c>
      <c r="V26" s="666" t="s">
        <v>14</v>
      </c>
      <c r="W26" s="667">
        <f>J26</f>
        <v>100</v>
      </c>
      <c r="X26" s="1264"/>
      <c r="Y26" s="3378"/>
      <c r="Z26" s="1263" t="str">
        <f>Q26</f>
        <v>平面位置/可视性</v>
      </c>
      <c r="AA26" s="1263">
        <f t="shared" si="3"/>
        <v>1</v>
      </c>
      <c r="AB26" s="1263">
        <f t="shared" si="4"/>
        <v>1</v>
      </c>
      <c r="AC26" s="1263">
        <f t="shared" si="5"/>
        <v>1</v>
      </c>
    </row>
    <row r="27" spans="1:29" s="102" customFormat="1" ht="15">
      <c r="A27" s="370"/>
      <c r="B27" s="390" t="s">
        <v>1782</v>
      </c>
      <c r="C27" s="1806" t="s">
        <v>3417</v>
      </c>
      <c r="D27" s="401">
        <v>100</v>
      </c>
      <c r="E27" s="1806" t="s">
        <v>3417</v>
      </c>
      <c r="F27" s="395">
        <f>SUMIF(90:90,E27,91:91)-SUMIF(90:90,C27,91:91)+100</f>
        <v>100</v>
      </c>
      <c r="G27" s="1806" t="s">
        <v>3405</v>
      </c>
      <c r="H27" s="401">
        <f>SUMIF(90:90,G27,91:91)-SUMIF(90:90,C27,91:91)+100</f>
        <v>98</v>
      </c>
      <c r="I27" s="1806" t="s">
        <v>3417</v>
      </c>
      <c r="J27" s="401">
        <f>SUMIF(90:90,I27,91:91)-SUMIF(90:90,C27,91:91)+100</f>
        <v>100</v>
      </c>
      <c r="K27" s="538">
        <v>2</v>
      </c>
      <c r="L27" s="2488"/>
      <c r="M27" s="2439"/>
      <c r="N27" s="2439"/>
      <c r="O27" s="2439"/>
      <c r="P27" s="3376"/>
      <c r="Q27" s="530" t="str">
        <f t="shared" si="11"/>
        <v>人流量</v>
      </c>
      <c r="R27" s="663" t="s">
        <v>14</v>
      </c>
      <c r="S27" s="664">
        <f>F27</f>
        <v>100</v>
      </c>
      <c r="T27" s="663" t="s">
        <v>14</v>
      </c>
      <c r="U27" s="664">
        <f>H27</f>
        <v>98</v>
      </c>
      <c r="V27" s="663" t="s">
        <v>14</v>
      </c>
      <c r="W27" s="664">
        <f>J27</f>
        <v>100</v>
      </c>
      <c r="X27" s="665"/>
      <c r="Y27" s="3378"/>
      <c r="Z27" s="50" t="str">
        <f>Q27</f>
        <v>人流量</v>
      </c>
      <c r="AA27" s="1263">
        <f>D27/F27</f>
        <v>1</v>
      </c>
      <c r="AB27" s="1263">
        <f>D27/H27</f>
        <v>1.0204081632653061</v>
      </c>
      <c r="AC27" s="1263">
        <f>D27/J27</f>
        <v>1</v>
      </c>
    </row>
    <row r="28" spans="1:29" ht="15.75" thickBot="1">
      <c r="A28" s="367"/>
      <c r="B28" s="364" t="s">
        <v>1783</v>
      </c>
      <c r="C28" s="542" t="s">
        <v>3450</v>
      </c>
      <c r="D28" s="374">
        <v>100</v>
      </c>
      <c r="E28" s="542" t="s">
        <v>3420</v>
      </c>
      <c r="F28" s="400">
        <f>SUMIF(92:92,E28,93:93)-SUMIF(92:92,C28,93:93)+100</f>
        <v>118</v>
      </c>
      <c r="G28" s="542" t="s">
        <v>3420</v>
      </c>
      <c r="H28" s="374">
        <f>SUMIF(92:92,G28,93:93)-SUMIF(92:92,C28,93:93)+100</f>
        <v>118</v>
      </c>
      <c r="I28" s="542" t="s">
        <v>3450</v>
      </c>
      <c r="J28" s="374">
        <f>SUMIF(92:92,I28,93:93)-SUMIF(92:92,C28,93:93)+100</f>
        <v>100</v>
      </c>
      <c r="K28" s="539"/>
      <c r="L28" s="2492"/>
      <c r="M28" s="2487"/>
      <c r="N28" s="2487"/>
      <c r="O28" s="2487"/>
      <c r="P28" s="3376"/>
      <c r="Q28" s="1262" t="str">
        <f t="shared" si="11"/>
        <v>楼层</v>
      </c>
      <c r="R28" s="666" t="s">
        <v>14</v>
      </c>
      <c r="S28" s="667">
        <f t="shared" ref="S28:S46" si="12">F28</f>
        <v>118</v>
      </c>
      <c r="T28" s="666" t="s">
        <v>14</v>
      </c>
      <c r="U28" s="667">
        <f t="shared" ref="U28:U46" si="13">H28</f>
        <v>118</v>
      </c>
      <c r="V28" s="666" t="s">
        <v>14</v>
      </c>
      <c r="W28" s="667">
        <f t="shared" ref="W28:W46" si="14">J28</f>
        <v>100</v>
      </c>
      <c r="X28" s="1264"/>
      <c r="Y28" s="3378"/>
      <c r="Z28" s="1263" t="str">
        <f t="shared" ref="Z28:Z46" si="15">Q28</f>
        <v>楼层</v>
      </c>
      <c r="AA28" s="1263">
        <f t="shared" si="3"/>
        <v>0.84745762711864403</v>
      </c>
      <c r="AB28" s="1263">
        <f t="shared" si="4"/>
        <v>0.84745762711864403</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6"/>
      <c r="Q29" s="1262">
        <f t="shared" si="11"/>
        <v>111</v>
      </c>
      <c r="R29" s="666" t="s">
        <v>14</v>
      </c>
      <c r="S29" s="667">
        <f t="shared" si="12"/>
        <v>100</v>
      </c>
      <c r="T29" s="666" t="s">
        <v>14</v>
      </c>
      <c r="U29" s="667">
        <f t="shared" si="13"/>
        <v>100</v>
      </c>
      <c r="V29" s="666" t="s">
        <v>14</v>
      </c>
      <c r="W29" s="667">
        <f t="shared" si="14"/>
        <v>100</v>
      </c>
      <c r="X29" s="1264"/>
      <c r="Y29" s="3378"/>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6"/>
      <c r="Q30" s="1262">
        <f t="shared" si="11"/>
        <v>111</v>
      </c>
      <c r="R30" s="666" t="s">
        <v>14</v>
      </c>
      <c r="S30" s="667">
        <f t="shared" si="12"/>
        <v>100</v>
      </c>
      <c r="T30" s="666" t="s">
        <v>14</v>
      </c>
      <c r="U30" s="667">
        <f t="shared" si="13"/>
        <v>100</v>
      </c>
      <c r="V30" s="666" t="s">
        <v>14</v>
      </c>
      <c r="W30" s="667">
        <f t="shared" si="14"/>
        <v>100</v>
      </c>
      <c r="X30" s="1264"/>
      <c r="Y30" s="3378"/>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6"/>
      <c r="Q31" s="1262">
        <f t="shared" si="11"/>
        <v>111</v>
      </c>
      <c r="R31" s="666" t="s">
        <v>14</v>
      </c>
      <c r="S31" s="667">
        <f t="shared" si="12"/>
        <v>100</v>
      </c>
      <c r="T31" s="666" t="s">
        <v>14</v>
      </c>
      <c r="U31" s="667">
        <f t="shared" si="13"/>
        <v>100</v>
      </c>
      <c r="V31" s="666" t="s">
        <v>14</v>
      </c>
      <c r="W31" s="667">
        <f t="shared" si="14"/>
        <v>100</v>
      </c>
      <c r="X31" s="1264"/>
      <c r="Y31" s="3378"/>
      <c r="Z31" s="1263">
        <f t="shared" si="15"/>
        <v>111</v>
      </c>
      <c r="AA31" s="1263">
        <f t="shared" si="3"/>
        <v>1</v>
      </c>
      <c r="AB31" s="1263">
        <f t="shared" si="4"/>
        <v>1</v>
      </c>
      <c r="AC31" s="1263">
        <f t="shared" si="5"/>
        <v>1</v>
      </c>
    </row>
    <row r="32" spans="1:29" ht="15">
      <c r="A32" s="379" t="s">
        <v>1694</v>
      </c>
      <c r="B32" s="60" t="s">
        <v>1784</v>
      </c>
      <c r="C32" s="1763" t="s">
        <v>3424</v>
      </c>
      <c r="D32" s="405">
        <v>100</v>
      </c>
      <c r="E32" s="1763" t="s">
        <v>3424</v>
      </c>
      <c r="F32" s="400">
        <f>SUMIF(100:100,E32,101:101)-SUMIF(100:100,C32,101:101)+100</f>
        <v>100</v>
      </c>
      <c r="G32" s="1763" t="s">
        <v>3424</v>
      </c>
      <c r="H32" s="374">
        <f>SUMIF(100:100,G32,101:101)-SUMIF(100:100,C32,101:101)+100</f>
        <v>100</v>
      </c>
      <c r="I32" s="1763" t="s">
        <v>3424</v>
      </c>
      <c r="J32" s="405">
        <f>SUMIF(100:100,I32,101:101)-SUMIF(100:100,C32,101:101)+100</f>
        <v>100</v>
      </c>
      <c r="K32" s="538">
        <v>2</v>
      </c>
      <c r="L32" s="2492"/>
      <c r="M32" s="2487"/>
      <c r="N32" s="2487"/>
      <c r="O32" s="2487"/>
      <c r="P32" s="3379" t="s">
        <v>1696</v>
      </c>
      <c r="Q32" s="1262" t="str">
        <f t="shared" si="11"/>
        <v>商业类型</v>
      </c>
      <c r="R32" s="666" t="s">
        <v>14</v>
      </c>
      <c r="S32" s="667">
        <f t="shared" si="12"/>
        <v>100</v>
      </c>
      <c r="T32" s="666" t="s">
        <v>14</v>
      </c>
      <c r="U32" s="667">
        <f t="shared" si="13"/>
        <v>100</v>
      </c>
      <c r="V32" s="666" t="s">
        <v>14</v>
      </c>
      <c r="W32" s="667">
        <f t="shared" si="14"/>
        <v>100</v>
      </c>
      <c r="X32" s="1264"/>
      <c r="Y32" s="3382" t="s">
        <v>1696</v>
      </c>
      <c r="Z32" s="1263" t="str">
        <f t="shared" si="15"/>
        <v>商业类型</v>
      </c>
      <c r="AA32" s="1263">
        <f t="shared" si="3"/>
        <v>1</v>
      </c>
      <c r="AB32" s="1263">
        <f t="shared" si="4"/>
        <v>1</v>
      </c>
      <c r="AC32" s="1263">
        <f t="shared" si="5"/>
        <v>1</v>
      </c>
    </row>
    <row r="33" spans="1:29" s="408" customFormat="1" ht="15">
      <c r="A33" s="406"/>
      <c r="B33" s="364" t="s">
        <v>1697</v>
      </c>
      <c r="C33" s="407">
        <f>'数据-汇总表'!E3</f>
        <v>255.78</v>
      </c>
      <c r="D33" s="119">
        <v>100</v>
      </c>
      <c r="E33" s="407">
        <v>98.21</v>
      </c>
      <c r="F33" s="364">
        <f>LOOKUP(E33,103:103,104:104)-LOOKUP(C33,103:103,104:104)+100</f>
        <v>102</v>
      </c>
      <c r="G33" s="407">
        <v>75.61</v>
      </c>
      <c r="H33" s="119">
        <f>LOOKUP(G33,103:103,104:104)-LOOKUP(C33,103:103,104:104)+100</f>
        <v>102</v>
      </c>
      <c r="I33" s="407">
        <v>183.06</v>
      </c>
      <c r="J33" s="119">
        <f>LOOKUP(I33,103:103,104:104)-LOOKUP(C33,103:103,104:104)+100</f>
        <v>101</v>
      </c>
      <c r="K33" s="539"/>
      <c r="L33" s="2491"/>
      <c r="M33" s="2493"/>
      <c r="N33" s="2493"/>
      <c r="O33" s="2493"/>
      <c r="P33" s="3380"/>
      <c r="Q33" s="531" t="str">
        <f t="shared" si="11"/>
        <v>项目建筑规模</v>
      </c>
      <c r="R33" s="668" t="s">
        <v>14</v>
      </c>
      <c r="S33" s="669">
        <f t="shared" si="12"/>
        <v>102</v>
      </c>
      <c r="T33" s="668" t="s">
        <v>14</v>
      </c>
      <c r="U33" s="669">
        <f t="shared" si="13"/>
        <v>102</v>
      </c>
      <c r="V33" s="668" t="s">
        <v>14</v>
      </c>
      <c r="W33" s="669">
        <f t="shared" si="14"/>
        <v>101</v>
      </c>
      <c r="X33" s="670"/>
      <c r="Y33" s="3382"/>
      <c r="Z33" s="671" t="str">
        <f t="shared" si="15"/>
        <v>项目建筑规模</v>
      </c>
      <c r="AA33" s="1263">
        <f t="shared" si="3"/>
        <v>0.98039215686274506</v>
      </c>
      <c r="AB33" s="1263">
        <f t="shared" si="4"/>
        <v>0.98039215686274506</v>
      </c>
      <c r="AC33" s="1263">
        <f t="shared" si="5"/>
        <v>0.99009900990099009</v>
      </c>
    </row>
    <row r="34" spans="1:29" ht="15">
      <c r="A34" s="409"/>
      <c r="B34" s="364" t="s">
        <v>1698</v>
      </c>
      <c r="C34" s="3174" t="s">
        <v>3426</v>
      </c>
      <c r="D34" s="374">
        <v>100</v>
      </c>
      <c r="E34" s="399" t="s">
        <v>3426</v>
      </c>
      <c r="F34" s="400">
        <f>SUMIF(105:105,E34,106:106)-SUMIF(105:105,C34,106:106)+100</f>
        <v>100</v>
      </c>
      <c r="G34" s="399" t="s">
        <v>3426</v>
      </c>
      <c r="H34" s="374">
        <f>SUMIF(105:105,G34,106:106)-SUMIF(105:105,C34,106:106)+100</f>
        <v>100</v>
      </c>
      <c r="I34" s="399" t="s">
        <v>3426</v>
      </c>
      <c r="J34" s="374">
        <f>SUMIF(105:105,I34,106:106)-SUMIF(105:105,C34,106:106)+100</f>
        <v>100</v>
      </c>
      <c r="K34" s="538">
        <v>2</v>
      </c>
      <c r="L34" s="2492"/>
      <c r="M34" s="2487"/>
      <c r="N34" s="2487"/>
      <c r="O34" s="2487"/>
      <c r="P34" s="3380"/>
      <c r="Q34" s="1262" t="str">
        <f t="shared" si="11"/>
        <v>建筑结构</v>
      </c>
      <c r="R34" s="666" t="s">
        <v>14</v>
      </c>
      <c r="S34" s="667">
        <f t="shared" si="12"/>
        <v>100</v>
      </c>
      <c r="T34" s="666" t="s">
        <v>14</v>
      </c>
      <c r="U34" s="667">
        <f t="shared" si="13"/>
        <v>100</v>
      </c>
      <c r="V34" s="666" t="s">
        <v>14</v>
      </c>
      <c r="W34" s="667">
        <f t="shared" si="14"/>
        <v>100</v>
      </c>
      <c r="X34" s="1264"/>
      <c r="Y34" s="3382"/>
      <c r="Z34" s="1263" t="str">
        <f t="shared" si="15"/>
        <v>建筑结构</v>
      </c>
      <c r="AA34" s="1263">
        <f t="shared" si="3"/>
        <v>1</v>
      </c>
      <c r="AB34" s="1263">
        <f t="shared" si="4"/>
        <v>1</v>
      </c>
      <c r="AC34" s="1263">
        <f t="shared" si="5"/>
        <v>1</v>
      </c>
    </row>
    <row r="35" spans="1:29" ht="15">
      <c r="A35" s="409"/>
      <c r="B35" s="364" t="s">
        <v>1785</v>
      </c>
      <c r="C35" s="1759" t="s">
        <v>3428</v>
      </c>
      <c r="D35" s="374">
        <v>100</v>
      </c>
      <c r="E35" s="1759" t="s">
        <v>3428</v>
      </c>
      <c r="F35" s="400">
        <f>SUMIF(107:107,E35,108:108)-SUMIF(107:107,C35,108:108)+100</f>
        <v>100</v>
      </c>
      <c r="G35" s="1759" t="s">
        <v>3428</v>
      </c>
      <c r="H35" s="374">
        <f>SUMIF(107:107,G35,108:108)-SUMIF(107:107,C35,108:108)+100</f>
        <v>100</v>
      </c>
      <c r="I35" s="1759" t="s">
        <v>3428</v>
      </c>
      <c r="J35" s="374">
        <f>SUMIF(107:107,I35,108:108)-SUMIF(107:107,C35,108:108)+100</f>
        <v>100</v>
      </c>
      <c r="K35" s="538">
        <v>1</v>
      </c>
      <c r="L35" s="2492"/>
      <c r="M35" s="2487"/>
      <c r="N35" s="2487"/>
      <c r="O35" s="2487"/>
      <c r="P35" s="3380"/>
      <c r="Q35" s="1262" t="str">
        <f t="shared" si="11"/>
        <v>公共部分装修</v>
      </c>
      <c r="R35" s="666" t="s">
        <v>14</v>
      </c>
      <c r="S35" s="667">
        <f t="shared" si="12"/>
        <v>100</v>
      </c>
      <c r="T35" s="666" t="s">
        <v>14</v>
      </c>
      <c r="U35" s="667">
        <f t="shared" si="13"/>
        <v>100</v>
      </c>
      <c r="V35" s="666" t="s">
        <v>14</v>
      </c>
      <c r="W35" s="667">
        <f t="shared" si="14"/>
        <v>100</v>
      </c>
      <c r="X35" s="1264"/>
      <c r="Y35" s="3382"/>
      <c r="Z35" s="1263" t="str">
        <f t="shared" si="15"/>
        <v>公共部分装修</v>
      </c>
      <c r="AA35" s="1263">
        <f t="shared" si="3"/>
        <v>1</v>
      </c>
      <c r="AB35" s="1263">
        <f t="shared" si="4"/>
        <v>1</v>
      </c>
      <c r="AC35" s="1263">
        <f t="shared" si="5"/>
        <v>1</v>
      </c>
    </row>
    <row r="36" spans="1:29" ht="15">
      <c r="A36" s="409"/>
      <c r="B36" s="364" t="s">
        <v>1786</v>
      </c>
      <c r="C36" s="411">
        <f>'数据-取费表'!N6</f>
        <v>0.66</v>
      </c>
      <c r="D36" s="374">
        <v>100</v>
      </c>
      <c r="E36" s="3167">
        <f>ROUND(1-(2025-E12)/60,2)</f>
        <v>0.52</v>
      </c>
      <c r="F36" s="400">
        <f>LOOKUP(E36,110:110,111:111)-LOOKUP(C36,110:110,111:111)+100</f>
        <v>99</v>
      </c>
      <c r="G36" s="411">
        <f>ROUND(1-(2025-G12)/60,2)</f>
        <v>0.75</v>
      </c>
      <c r="H36" s="400">
        <f>LOOKUP(G36,110:110,111:111)-LOOKUP(C36,110:110,111:111)+100</f>
        <v>101</v>
      </c>
      <c r="I36" s="411">
        <f>ROUND(1-(2025-I12)/60,2)</f>
        <v>0.75</v>
      </c>
      <c r="J36" s="374">
        <f>LOOKUP(I36,110:110,111:111)-LOOKUP(C36,110:110,111:111)+100</f>
        <v>101</v>
      </c>
      <c r="K36" s="538">
        <v>1</v>
      </c>
      <c r="L36" s="2492"/>
      <c r="M36" s="2487"/>
      <c r="N36" s="2487"/>
      <c r="O36" s="2487"/>
      <c r="P36" s="3380"/>
      <c r="Q36" s="1262" t="str">
        <f t="shared" si="11"/>
        <v>成新度</v>
      </c>
      <c r="R36" s="666" t="s">
        <v>14</v>
      </c>
      <c r="S36" s="667">
        <f t="shared" si="12"/>
        <v>99</v>
      </c>
      <c r="T36" s="666" t="s">
        <v>14</v>
      </c>
      <c r="U36" s="667">
        <f t="shared" si="13"/>
        <v>101</v>
      </c>
      <c r="V36" s="666" t="s">
        <v>14</v>
      </c>
      <c r="W36" s="667">
        <f t="shared" si="14"/>
        <v>101</v>
      </c>
      <c r="X36" s="1264"/>
      <c r="Y36" s="3382"/>
      <c r="Z36" s="1263" t="str">
        <f t="shared" si="15"/>
        <v>成新度</v>
      </c>
      <c r="AA36" s="1263">
        <f t="shared" si="3"/>
        <v>1.0101010101010102</v>
      </c>
      <c r="AB36" s="1263">
        <f t="shared" si="4"/>
        <v>0.99009900990099009</v>
      </c>
      <c r="AC36" s="1263">
        <f t="shared" si="5"/>
        <v>0.99009900990099009</v>
      </c>
    </row>
    <row r="37" spans="1:29" s="102" customFormat="1" ht="15">
      <c r="A37" s="410"/>
      <c r="B37" s="364" t="s">
        <v>1787</v>
      </c>
      <c r="C37" s="1759" t="s">
        <v>3430</v>
      </c>
      <c r="D37" s="119">
        <v>100</v>
      </c>
      <c r="E37" s="1759" t="s">
        <v>3430</v>
      </c>
      <c r="F37" s="400">
        <f>SUMIF(112:112,E37,113:113)-SUMIF(112:112,C37,113:113)+100</f>
        <v>100</v>
      </c>
      <c r="G37" s="1759" t="s">
        <v>3430</v>
      </c>
      <c r="H37" s="374">
        <f>SUMIF(112:112,G37,113:113)-SUMIF(112:112,C37,113:113)+100</f>
        <v>100</v>
      </c>
      <c r="I37" s="1759" t="s">
        <v>3430</v>
      </c>
      <c r="J37" s="374">
        <f>SUMIF(112:112,I37,113:113)-SUMIF(112:112,C37,113:113)+100</f>
        <v>100</v>
      </c>
      <c r="K37" s="538">
        <v>1</v>
      </c>
      <c r="L37" s="2488"/>
      <c r="M37" s="2439"/>
      <c r="N37" s="2439"/>
      <c r="O37" s="2439"/>
      <c r="P37" s="3380"/>
      <c r="Q37" s="530" t="str">
        <f t="shared" si="11"/>
        <v>市政基础设施</v>
      </c>
      <c r="R37" s="663" t="s">
        <v>14</v>
      </c>
      <c r="S37" s="664">
        <f t="shared" si="12"/>
        <v>100</v>
      </c>
      <c r="T37" s="663" t="s">
        <v>14</v>
      </c>
      <c r="U37" s="664">
        <f t="shared" si="13"/>
        <v>100</v>
      </c>
      <c r="V37" s="663" t="s">
        <v>14</v>
      </c>
      <c r="W37" s="664">
        <f t="shared" si="14"/>
        <v>100</v>
      </c>
      <c r="X37" s="665"/>
      <c r="Y37" s="3382"/>
      <c r="Z37" s="50" t="str">
        <f t="shared" si="15"/>
        <v>市政基础设施</v>
      </c>
      <c r="AA37" s="50">
        <f t="shared" si="3"/>
        <v>1</v>
      </c>
      <c r="AB37" s="50">
        <f t="shared" si="4"/>
        <v>1</v>
      </c>
      <c r="AC37" s="50">
        <f t="shared" si="5"/>
        <v>1</v>
      </c>
    </row>
    <row r="38" spans="1:29" ht="15">
      <c r="A38" s="409"/>
      <c r="B38" s="364" t="s">
        <v>1788</v>
      </c>
      <c r="C38" s="1759" t="s">
        <v>3432</v>
      </c>
      <c r="D38" s="374">
        <v>100</v>
      </c>
      <c r="E38" s="1759" t="s">
        <v>3432</v>
      </c>
      <c r="F38" s="400">
        <f>SUMIF(114:114,E38,115:115)-SUMIF(114:114,C38,115:115)+100</f>
        <v>100</v>
      </c>
      <c r="G38" s="1759" t="s">
        <v>3433</v>
      </c>
      <c r="H38" s="374">
        <f>SUMIF(114:114,G38,115:115)-SUMIF(114:114,C38,115:115)+100</f>
        <v>99</v>
      </c>
      <c r="I38" s="1759" t="s">
        <v>3432</v>
      </c>
      <c r="J38" s="374">
        <f>SUMIF(114:114,I38,115:115)-SUMIF(114:114,C38,115:115)+100</f>
        <v>100</v>
      </c>
      <c r="K38" s="538">
        <v>1</v>
      </c>
      <c r="L38" s="2492"/>
      <c r="M38" s="2487"/>
      <c r="N38" s="2487"/>
      <c r="O38" s="2487"/>
      <c r="P38" s="3380" t="s">
        <v>1696</v>
      </c>
      <c r="Q38" s="1262" t="str">
        <f t="shared" si="11"/>
        <v>业态</v>
      </c>
      <c r="R38" s="666" t="s">
        <v>14</v>
      </c>
      <c r="S38" s="667">
        <f t="shared" si="12"/>
        <v>100</v>
      </c>
      <c r="T38" s="666" t="s">
        <v>14</v>
      </c>
      <c r="U38" s="667">
        <f t="shared" si="13"/>
        <v>99</v>
      </c>
      <c r="V38" s="666" t="s">
        <v>14</v>
      </c>
      <c r="W38" s="667">
        <f t="shared" si="14"/>
        <v>100</v>
      </c>
      <c r="X38" s="1264"/>
      <c r="Y38" s="3382" t="s">
        <v>1696</v>
      </c>
      <c r="Z38" s="1263" t="str">
        <f t="shared" si="15"/>
        <v>业态</v>
      </c>
      <c r="AA38" s="1263">
        <f t="shared" si="3"/>
        <v>1</v>
      </c>
      <c r="AB38" s="1263">
        <f t="shared" si="4"/>
        <v>1.0101010101010102</v>
      </c>
      <c r="AC38" s="1263">
        <f t="shared" si="5"/>
        <v>1</v>
      </c>
    </row>
    <row r="39" spans="1:29" ht="15">
      <c r="A39" s="409"/>
      <c r="B39" s="364" t="s">
        <v>1789</v>
      </c>
      <c r="C39" s="1759" t="s">
        <v>3446</v>
      </c>
      <c r="D39" s="374">
        <v>100</v>
      </c>
      <c r="E39" s="1759" t="s">
        <v>3446</v>
      </c>
      <c r="F39" s="400">
        <f>SUMIF(116:116,E39,117:117)-SUMIF(116:116,C39,117:117)+100</f>
        <v>100</v>
      </c>
      <c r="G39" s="1759" t="s">
        <v>3446</v>
      </c>
      <c r="H39" s="374">
        <f>SUMIF(116:116,G39,117:117)-SUMIF(116:116,C39,117:117)+100</f>
        <v>100</v>
      </c>
      <c r="I39" s="1759" t="s">
        <v>3446</v>
      </c>
      <c r="J39" s="374">
        <f>SUMIF(116:116,I39,117:117)-SUMIF(116:116,C39,117:117)+100</f>
        <v>100</v>
      </c>
      <c r="K39" s="538">
        <v>10</v>
      </c>
      <c r="L39" s="2492"/>
      <c r="M39" s="2487"/>
      <c r="N39" s="2487"/>
      <c r="O39" s="2487"/>
      <c r="P39" s="3380"/>
      <c r="Q39" s="1262" t="str">
        <f t="shared" si="11"/>
        <v>层高</v>
      </c>
      <c r="R39" s="666" t="s">
        <v>14</v>
      </c>
      <c r="S39" s="667">
        <f t="shared" si="12"/>
        <v>100</v>
      </c>
      <c r="T39" s="666" t="s">
        <v>14</v>
      </c>
      <c r="U39" s="667">
        <f t="shared" si="13"/>
        <v>100</v>
      </c>
      <c r="V39" s="666" t="s">
        <v>14</v>
      </c>
      <c r="W39" s="667">
        <f t="shared" si="14"/>
        <v>100</v>
      </c>
      <c r="X39" s="1264"/>
      <c r="Y39" s="3382"/>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80"/>
      <c r="Q40" s="1262" t="str">
        <f t="shared" si="11"/>
        <v>单套建筑面积</v>
      </c>
      <c r="R40" s="666" t="s">
        <v>14</v>
      </c>
      <c r="S40" s="667">
        <f t="shared" si="12"/>
        <v>100</v>
      </c>
      <c r="T40" s="666" t="s">
        <v>14</v>
      </c>
      <c r="U40" s="667">
        <f t="shared" si="13"/>
        <v>100</v>
      </c>
      <c r="V40" s="666" t="s">
        <v>14</v>
      </c>
      <c r="W40" s="667">
        <f t="shared" si="14"/>
        <v>100</v>
      </c>
      <c r="X40" s="1264"/>
      <c r="Y40" s="3382"/>
      <c r="Z40" s="1263" t="str">
        <f t="shared" si="15"/>
        <v>单套建筑面积</v>
      </c>
      <c r="AA40" s="1263">
        <f t="shared" si="3"/>
        <v>1</v>
      </c>
      <c r="AB40" s="1263">
        <f t="shared" si="4"/>
        <v>1</v>
      </c>
      <c r="AC40" s="1263">
        <f t="shared" si="5"/>
        <v>1</v>
      </c>
    </row>
    <row r="41" spans="1:29" s="408" customFormat="1" ht="15">
      <c r="A41" s="406"/>
      <c r="B41" s="400" t="s">
        <v>1791</v>
      </c>
      <c r="C41" s="542" t="s">
        <v>3436</v>
      </c>
      <c r="D41" s="374">
        <v>100</v>
      </c>
      <c r="E41" s="542" t="s">
        <v>3436</v>
      </c>
      <c r="F41" s="400">
        <f>SUMIF(120:120,E41,121:121)-SUMIF(120:120,C41,121:121)+100</f>
        <v>100</v>
      </c>
      <c r="G41" s="542" t="s">
        <v>3436</v>
      </c>
      <c r="H41" s="374">
        <f>SUMIF(120:120,G41,121:121)-SUMIF(120:120,C41,121:121)+100</f>
        <v>100</v>
      </c>
      <c r="I41" s="542" t="s">
        <v>3436</v>
      </c>
      <c r="J41" s="374">
        <f>SUMIF(120:120,I41,121:121)-SUMIF(120:120,C41,121:121)+100</f>
        <v>100</v>
      </c>
      <c r="K41" s="538">
        <v>1</v>
      </c>
      <c r="L41" s="2491"/>
      <c r="M41" s="2493"/>
      <c r="N41" s="2493"/>
      <c r="O41" s="2493"/>
      <c r="P41" s="3380"/>
      <c r="Q41" s="531" t="str">
        <f t="shared" si="11"/>
        <v>进深比</v>
      </c>
      <c r="R41" s="668" t="s">
        <v>14</v>
      </c>
      <c r="S41" s="669">
        <f t="shared" si="12"/>
        <v>100</v>
      </c>
      <c r="T41" s="668" t="s">
        <v>14</v>
      </c>
      <c r="U41" s="669">
        <f t="shared" si="13"/>
        <v>100</v>
      </c>
      <c r="V41" s="668" t="s">
        <v>14</v>
      </c>
      <c r="W41" s="669">
        <f t="shared" si="14"/>
        <v>100</v>
      </c>
      <c r="X41" s="670"/>
      <c r="Y41" s="3382"/>
      <c r="Z41" s="671" t="str">
        <f t="shared" si="15"/>
        <v>进深比</v>
      </c>
      <c r="AA41" s="1263">
        <f t="shared" si="3"/>
        <v>1</v>
      </c>
      <c r="AB41" s="1263">
        <f t="shared" si="4"/>
        <v>1</v>
      </c>
      <c r="AC41" s="1263">
        <f t="shared" si="5"/>
        <v>1</v>
      </c>
    </row>
    <row r="42" spans="1:29" ht="15">
      <c r="A42" s="409"/>
      <c r="B42" s="364" t="s">
        <v>1792</v>
      </c>
      <c r="C42" s="1759" t="s">
        <v>3428</v>
      </c>
      <c r="D42" s="374">
        <v>100</v>
      </c>
      <c r="E42" s="1759" t="s">
        <v>3428</v>
      </c>
      <c r="F42" s="400">
        <f>SUMIF(122:122,E42,123:123)-SUMIF(122:122,C42,123:123)+100</f>
        <v>100</v>
      </c>
      <c r="G42" s="1759" t="s">
        <v>3428</v>
      </c>
      <c r="H42" s="374">
        <f>SUMIF(122:122,G42,123:123)-SUMIF(122:122,C42,123:123)+100</f>
        <v>100</v>
      </c>
      <c r="I42" s="1759" t="s">
        <v>3428</v>
      </c>
      <c r="J42" s="374">
        <f>SUMIF(122:122,I42,123:123)-SUMIF(122:122,C42,123:123)+100</f>
        <v>100</v>
      </c>
      <c r="K42" s="538">
        <v>1</v>
      </c>
      <c r="L42" s="2492"/>
      <c r="M42" s="2487"/>
      <c r="N42" s="2487"/>
      <c r="O42" s="2487"/>
      <c r="P42" s="3380"/>
      <c r="Q42" s="1262" t="str">
        <f t="shared" si="11"/>
        <v>内部装修</v>
      </c>
      <c r="R42" s="666" t="s">
        <v>14</v>
      </c>
      <c r="S42" s="667">
        <f t="shared" si="12"/>
        <v>100</v>
      </c>
      <c r="T42" s="666" t="s">
        <v>14</v>
      </c>
      <c r="U42" s="667">
        <f t="shared" si="13"/>
        <v>100</v>
      </c>
      <c r="V42" s="666" t="s">
        <v>14</v>
      </c>
      <c r="W42" s="667">
        <f t="shared" si="14"/>
        <v>100</v>
      </c>
      <c r="X42" s="1264"/>
      <c r="Y42" s="3382"/>
      <c r="Z42" s="1263" t="str">
        <f t="shared" si="15"/>
        <v>内部装修</v>
      </c>
      <c r="AA42" s="1263">
        <f t="shared" si="3"/>
        <v>1</v>
      </c>
      <c r="AB42" s="1263">
        <f t="shared" si="4"/>
        <v>1</v>
      </c>
      <c r="AC42" s="1263">
        <f t="shared" si="5"/>
        <v>1</v>
      </c>
    </row>
    <row r="43" spans="1:29" ht="15.75" thickBot="1">
      <c r="A43" s="409"/>
      <c r="B43" s="364" t="s">
        <v>1707</v>
      </c>
      <c r="C43" s="1759" t="s">
        <v>3404</v>
      </c>
      <c r="D43" s="374">
        <v>100</v>
      </c>
      <c r="E43" s="1759" t="s">
        <v>3404</v>
      </c>
      <c r="F43" s="400">
        <f>SUMIF(124:124,E43,125:125)-SUMIF(124:124,C43,125:125)+100</f>
        <v>100</v>
      </c>
      <c r="G43" s="1759" t="s">
        <v>3404</v>
      </c>
      <c r="H43" s="374">
        <f>SUMIF(124:124,G43,125:125)-SUMIF(124:124,C43,125:125)+100</f>
        <v>100</v>
      </c>
      <c r="I43" s="1759" t="s">
        <v>3404</v>
      </c>
      <c r="J43" s="374">
        <f>SUMIF(124:124,I43,125:125)-SUMIF(124:124,C43,125:125)+100</f>
        <v>100</v>
      </c>
      <c r="K43" s="538">
        <v>1</v>
      </c>
      <c r="L43" s="2492"/>
      <c r="M43" s="2487"/>
      <c r="N43" s="2487"/>
      <c r="O43" s="2487"/>
      <c r="P43" s="3380"/>
      <c r="Q43" s="1262" t="str">
        <f t="shared" si="11"/>
        <v>内部装修维护情况</v>
      </c>
      <c r="R43" s="666" t="s">
        <v>14</v>
      </c>
      <c r="S43" s="667">
        <f t="shared" si="12"/>
        <v>100</v>
      </c>
      <c r="T43" s="666" t="s">
        <v>14</v>
      </c>
      <c r="U43" s="667">
        <f t="shared" si="13"/>
        <v>100</v>
      </c>
      <c r="V43" s="666" t="s">
        <v>14</v>
      </c>
      <c r="W43" s="667">
        <f t="shared" si="14"/>
        <v>100</v>
      </c>
      <c r="X43" s="1264"/>
      <c r="Y43" s="3382"/>
      <c r="Z43" s="1263" t="str">
        <f t="shared" si="15"/>
        <v>内部装修维护情况</v>
      </c>
      <c r="AA43" s="1263">
        <f t="shared" si="3"/>
        <v>1</v>
      </c>
      <c r="AB43" s="1263">
        <f t="shared" si="4"/>
        <v>1</v>
      </c>
      <c r="AC43" s="1263">
        <f t="shared" si="5"/>
        <v>1</v>
      </c>
    </row>
    <row r="44" spans="1:29" s="102" customFormat="1" ht="15.75" hidden="1" thickBot="1">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0"/>
      <c r="Q44" s="530">
        <f t="shared" si="11"/>
        <v>111</v>
      </c>
      <c r="R44" s="663" t="s">
        <v>14</v>
      </c>
      <c r="S44" s="664">
        <f t="shared" si="12"/>
        <v>100</v>
      </c>
      <c r="T44" s="663" t="s">
        <v>14</v>
      </c>
      <c r="U44" s="664">
        <f t="shared" si="13"/>
        <v>100</v>
      </c>
      <c r="V44" s="663" t="s">
        <v>14</v>
      </c>
      <c r="W44" s="664">
        <f t="shared" si="14"/>
        <v>100</v>
      </c>
      <c r="X44" s="665"/>
      <c r="Y44" s="3382"/>
      <c r="Z44" s="50">
        <f t="shared" si="15"/>
        <v>111</v>
      </c>
      <c r="AA44" s="50">
        <f t="shared" si="3"/>
        <v>1</v>
      </c>
      <c r="AB44" s="50">
        <f t="shared" si="4"/>
        <v>1</v>
      </c>
      <c r="AC44" s="50">
        <f t="shared" si="5"/>
        <v>1</v>
      </c>
    </row>
    <row r="45" spans="1:29" ht="15.75" hidden="1" thickBot="1">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0"/>
      <c r="Q45" s="1262">
        <f t="shared" si="11"/>
        <v>111</v>
      </c>
      <c r="R45" s="666" t="s">
        <v>14</v>
      </c>
      <c r="S45" s="667">
        <f t="shared" si="12"/>
        <v>100</v>
      </c>
      <c r="T45" s="666" t="s">
        <v>14</v>
      </c>
      <c r="U45" s="667">
        <f t="shared" si="13"/>
        <v>100</v>
      </c>
      <c r="V45" s="666" t="s">
        <v>14</v>
      </c>
      <c r="W45" s="667">
        <f t="shared" si="14"/>
        <v>100</v>
      </c>
      <c r="X45" s="1264"/>
      <c r="Y45" s="3382"/>
      <c r="Z45" s="1263">
        <f t="shared" si="15"/>
        <v>111</v>
      </c>
      <c r="AA45" s="1263">
        <f t="shared" si="3"/>
        <v>1</v>
      </c>
      <c r="AB45" s="1263">
        <f t="shared" si="4"/>
        <v>1</v>
      </c>
      <c r="AC45" s="1263">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1"/>
      <c r="Q46" s="1262">
        <f t="shared" si="11"/>
        <v>111</v>
      </c>
      <c r="R46" s="666" t="s">
        <v>14</v>
      </c>
      <c r="S46" s="667">
        <f t="shared" si="12"/>
        <v>100</v>
      </c>
      <c r="T46" s="666" t="s">
        <v>14</v>
      </c>
      <c r="U46" s="667">
        <f t="shared" si="13"/>
        <v>100</v>
      </c>
      <c r="V46" s="666" t="s">
        <v>14</v>
      </c>
      <c r="W46" s="667">
        <f t="shared" si="14"/>
        <v>100</v>
      </c>
      <c r="X46" s="1264"/>
      <c r="Y46" s="3383"/>
      <c r="Z46" s="1263">
        <f t="shared" si="15"/>
        <v>111</v>
      </c>
      <c r="AA46" s="1263">
        <f t="shared" si="3"/>
        <v>1</v>
      </c>
      <c r="AB46" s="1263">
        <f t="shared" si="4"/>
        <v>1</v>
      </c>
      <c r="AC46" s="1263">
        <f t="shared" si="5"/>
        <v>1</v>
      </c>
    </row>
    <row r="47" spans="1:29" ht="15">
      <c r="A47" s="416" t="s">
        <v>1708</v>
      </c>
      <c r="B47" s="417"/>
      <c r="C47" s="1080" t="s">
        <v>0</v>
      </c>
      <c r="D47" s="418"/>
      <c r="E47" s="419">
        <v>6.6</v>
      </c>
      <c r="F47" s="420"/>
      <c r="G47" s="421">
        <v>6</v>
      </c>
      <c r="H47" s="422"/>
      <c r="I47" s="419">
        <v>6.29</v>
      </c>
      <c r="J47" s="422"/>
      <c r="K47" s="673"/>
      <c r="L47" s="2494"/>
      <c r="M47" s="2487"/>
      <c r="N47" s="2487"/>
      <c r="O47" s="2487"/>
      <c r="P47" s="3370" t="str">
        <f>A47</f>
        <v>成交单价（元/平方米）</v>
      </c>
      <c r="Q47" s="3370"/>
      <c r="R47" s="3371">
        <f>E47</f>
        <v>6.6</v>
      </c>
      <c r="S47" s="3371"/>
      <c r="T47" s="3371">
        <f>G47</f>
        <v>6</v>
      </c>
      <c r="U47" s="3371"/>
      <c r="V47" s="3371">
        <f>I47</f>
        <v>6.29</v>
      </c>
      <c r="W47" s="3371"/>
      <c r="X47" s="385"/>
      <c r="Y47" s="672"/>
      <c r="Z47" s="385"/>
      <c r="AA47" s="385"/>
      <c r="AB47" s="385"/>
      <c r="AC47" s="385"/>
    </row>
    <row r="48" spans="1:29" ht="15.75" thickBot="1">
      <c r="A48" s="423" t="s">
        <v>1709</v>
      </c>
      <c r="B48" s="424"/>
      <c r="C48" s="1081">
        <f>R49</f>
        <v>5.3</v>
      </c>
      <c r="D48" s="2140" t="s">
        <v>2138</v>
      </c>
      <c r="E48" s="1082">
        <f>R48</f>
        <v>5.2</v>
      </c>
      <c r="F48" s="2141"/>
      <c r="G48" s="1081">
        <f>T48</f>
        <v>5</v>
      </c>
      <c r="H48" s="2141"/>
      <c r="I48" s="1082">
        <f>V48</f>
        <v>5.7</v>
      </c>
      <c r="J48" s="2141"/>
      <c r="K48" s="2143">
        <f>F48+H48+J48</f>
        <v>0</v>
      </c>
      <c r="L48" s="2494"/>
      <c r="M48" s="2487"/>
      <c r="N48" s="2487"/>
      <c r="O48" s="2487"/>
      <c r="P48" s="3370" t="str">
        <f>A48</f>
        <v>比较价值（元/平方米）</v>
      </c>
      <c r="Q48" s="3370"/>
      <c r="R48" s="3371">
        <f>IF(F1="售价",ROUND(PRODUCT(R47,AA7:AA46),0),ROUND(PRODUCT(R47,AA7:AA46),1))</f>
        <v>5.2</v>
      </c>
      <c r="S48" s="3371"/>
      <c r="T48" s="3371">
        <f>IF(F1="售价",ROUND(PRODUCT(T47,AB7:AB46),0),ROUND(PRODUCT(T47,AB7:AB46),1))</f>
        <v>5</v>
      </c>
      <c r="U48" s="3371"/>
      <c r="V48" s="3371">
        <f>IF(F1="售价",ROUND(PRODUCT(V47,AC7:AC46),0),ROUND(PRODUCT(V47,AC7:AC46),1))</f>
        <v>5.7</v>
      </c>
      <c r="W48" s="3371"/>
      <c r="X48" s="385"/>
      <c r="Y48" s="385"/>
      <c r="Z48" s="385"/>
      <c r="AA48" s="385"/>
      <c r="AB48" s="385"/>
      <c r="AC48" s="385"/>
    </row>
    <row r="49" spans="1:29" ht="15.75" thickBot="1">
      <c r="A49" s="427" t="s">
        <v>1710</v>
      </c>
      <c r="B49" s="428"/>
      <c r="C49" s="351">
        <f>R49</f>
        <v>5.3</v>
      </c>
      <c r="D49" s="351"/>
      <c r="E49" s="351"/>
      <c r="F49" s="351"/>
      <c r="G49" s="351"/>
      <c r="H49" s="351"/>
      <c r="I49" s="351"/>
      <c r="J49" s="351"/>
      <c r="K49" s="674"/>
      <c r="L49" s="2494"/>
      <c r="M49" s="2487"/>
      <c r="N49" s="2487"/>
      <c r="O49" s="2487"/>
      <c r="P49" s="3372" t="str">
        <f>A49</f>
        <v>估价对象XX用房的比较价值（楼面单价，元/平方米）</v>
      </c>
      <c r="Q49" s="3373"/>
      <c r="R49" s="3374">
        <f>IF(F1="售价",ROUND(IF(D48="简单平均",AVERAGE(R48:V48),R48*F48+T48*H48+V48*J48),0),ROUND(IF(D48="简单平均",AVERAGE(R48:V48),R48*F48+T48*H48+V48*J48),1))</f>
        <v>5.3</v>
      </c>
      <c r="S49" s="3374"/>
      <c r="T49" s="3374"/>
      <c r="U49" s="3374"/>
      <c r="V49" s="3374"/>
      <c r="W49" s="337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f>IF(E47&lt;E48,E48/E47-1,E47/E48-1)</f>
        <v>0.26923076923076916</v>
      </c>
      <c r="F52" s="435" t="str">
        <f>IF(OR(E52&gt;=0.3,E52&lt;=-0.3),"超过30%","")</f>
        <v/>
      </c>
      <c r="G52" s="434">
        <f>IF(G47&lt;G48,G48/G47-1,G47/G48-1)</f>
        <v>0.19999999999999996</v>
      </c>
      <c r="H52" s="435" t="str">
        <f>IF(OR(G52&gt;=0.3,G52&lt;=-0.3),"超过30%","")</f>
        <v/>
      </c>
      <c r="I52" s="434">
        <f>IF(I47&lt;I48,I48/I47-1,I47/I48-1)</f>
        <v>0.10350877192982444</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f>IF(E48&lt;G48,G48/E48-1,E48/G48-1)</f>
        <v>4.0000000000000036E-2</v>
      </c>
      <c r="F53" s="435" t="str">
        <f>IF(OR(E53&gt;=0.2,E53&lt;=-0.2),"超过20%","")</f>
        <v/>
      </c>
      <c r="G53" s="434">
        <f>IF(G48&lt;I48,I48/G48-1,G48/I48-1)</f>
        <v>0.14000000000000012</v>
      </c>
      <c r="H53" s="435" t="str">
        <f>IF(OR(G53&gt;=0.2,G53&lt;=-0.2),"超过20%","")</f>
        <v/>
      </c>
      <c r="I53" s="434">
        <f>IF(I48&lt;E48,E48/I48-1,I48/E48-1)</f>
        <v>9.6153846153846256E-2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9.9999999999999867E-2</v>
      </c>
      <c r="F54" s="435" t="str">
        <f>IF(OR(E54&gt;=0.3,E54&lt;=-0.3),"超过30%","")</f>
        <v/>
      </c>
      <c r="G54" s="434">
        <f>IF(G47&lt;I47,I47/G47-1,G47/I47-1)</f>
        <v>4.8333333333333339E-2</v>
      </c>
      <c r="H54" s="435" t="str">
        <f>IF(OR(G54&gt;=0.3,G54&lt;=-0.3),"超过30%","")</f>
        <v/>
      </c>
      <c r="I54" s="434">
        <f>IF(I47&lt;E47,E47/I47-1,I47/E47-1)</f>
        <v>4.9284578696343395E-2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1714</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2025-2</v>
      </c>
      <c r="D58" s="1103">
        <f>EDATE(C58,-1)</f>
        <v>45658</v>
      </c>
      <c r="E58" s="1103">
        <f t="shared" ref="E58:N58" si="16">EDATE(D58,-1)</f>
        <v>45627</v>
      </c>
      <c r="F58" s="1103">
        <f t="shared" si="16"/>
        <v>45597</v>
      </c>
      <c r="G58" s="1103">
        <f t="shared" si="16"/>
        <v>45566</v>
      </c>
      <c r="H58" s="1103">
        <f t="shared" si="16"/>
        <v>45536</v>
      </c>
      <c r="I58" s="1103">
        <f t="shared" si="16"/>
        <v>45505</v>
      </c>
      <c r="J58" s="1103">
        <f t="shared" si="16"/>
        <v>45474</v>
      </c>
      <c r="K58" s="1103">
        <f t="shared" si="16"/>
        <v>45444</v>
      </c>
      <c r="L58" s="1103">
        <f t="shared" si="16"/>
        <v>45413</v>
      </c>
      <c r="M58" s="1103">
        <f t="shared" si="16"/>
        <v>45383</v>
      </c>
      <c r="N58" s="1103">
        <f t="shared" si="16"/>
        <v>45352</v>
      </c>
      <c r="O58" s="1103">
        <f>EDATE(N58,-1)</f>
        <v>45323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154" t="s">
        <v>3408</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t="s">
        <v>3465</v>
      </c>
      <c r="D65" s="513" t="s">
        <v>3466</v>
      </c>
      <c r="E65" s="513" t="s">
        <v>3467</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t="str">
        <f>B12</f>
        <v>建成年代</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t="str">
        <f>B13</f>
        <v>土地剩余年限</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55" t="s">
        <v>3409</v>
      </c>
      <c r="D86" s="3155" t="s">
        <v>3410</v>
      </c>
      <c r="E86" s="3155" t="s">
        <v>3411</v>
      </c>
      <c r="F86" s="3155" t="s">
        <v>3412</v>
      </c>
      <c r="G86" s="3155" t="s">
        <v>3413</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56" t="s">
        <v>3414</v>
      </c>
      <c r="D88" s="3156" t="s">
        <v>3415</v>
      </c>
      <c r="E88" s="3155"/>
      <c r="F88" s="3157"/>
      <c r="G88" s="315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58">
        <v>100</v>
      </c>
      <c r="D89" s="3159">
        <v>90</v>
      </c>
      <c r="E89" s="3158"/>
      <c r="F89" s="3159"/>
      <c r="G89" s="3158"/>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56" t="s">
        <v>3416</v>
      </c>
      <c r="D90" s="3156" t="s">
        <v>3417</v>
      </c>
      <c r="E90" s="3156" t="s">
        <v>3405</v>
      </c>
      <c r="F90" s="3156" t="s">
        <v>3418</v>
      </c>
      <c r="G90" s="3156" t="s">
        <v>3419</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3517" t="s">
        <v>3486</v>
      </c>
      <c r="O91" s="2523">
        <v>50</v>
      </c>
      <c r="P91" s="2514">
        <f>ROUND(P94/O94*O91,0)</f>
        <v>59</v>
      </c>
      <c r="Q91" s="2515"/>
      <c r="R91" s="2493"/>
      <c r="S91" s="2493"/>
      <c r="T91" s="2493"/>
      <c r="U91" s="2493"/>
      <c r="V91" s="2493"/>
      <c r="W91" s="2493"/>
      <c r="X91" s="2493"/>
      <c r="Y91" s="2493"/>
      <c r="Z91" s="2493"/>
      <c r="AA91" s="2493"/>
      <c r="AB91" s="2493"/>
      <c r="AC91" s="2493"/>
    </row>
    <row r="92" spans="1:29" ht="15.75" thickTop="1">
      <c r="A92" s="367"/>
      <c r="B92" s="469" t="str">
        <f>B28</f>
        <v>楼层</v>
      </c>
      <c r="C92" s="3156" t="s">
        <v>3420</v>
      </c>
      <c r="D92" s="3156" t="s">
        <v>3421</v>
      </c>
      <c r="E92" s="3156" t="str">
        <f>N91</f>
        <v>地下一层</v>
      </c>
      <c r="F92" s="3156"/>
      <c r="G92" s="485" t="s">
        <v>3449</v>
      </c>
      <c r="H92" s="485"/>
      <c r="I92" s="485"/>
      <c r="J92" s="485"/>
      <c r="K92" s="485"/>
      <c r="L92" s="510"/>
      <c r="M92" s="511"/>
      <c r="N92" s="2523" t="s">
        <v>3480</v>
      </c>
      <c r="O92" s="2523">
        <v>100</v>
      </c>
      <c r="P92" s="2514">
        <f>ROUND(P94/O94*O92,0)</f>
        <v>118</v>
      </c>
      <c r="Q92" s="2508"/>
      <c r="R92" s="2487"/>
      <c r="S92" s="2487"/>
      <c r="T92" s="2487"/>
      <c r="U92" s="2487"/>
      <c r="V92" s="2487"/>
      <c r="W92" s="2487"/>
      <c r="X92" s="2487"/>
      <c r="Y92" s="2487"/>
      <c r="Z92" s="2487"/>
      <c r="AA92" s="2487"/>
      <c r="AB92" s="2487"/>
      <c r="AC92" s="2487"/>
    </row>
    <row r="93" spans="1:29" ht="15.75" thickBot="1">
      <c r="A93" s="367"/>
      <c r="B93" s="474"/>
      <c r="C93" s="3159">
        <f>P92</f>
        <v>118</v>
      </c>
      <c r="D93" s="3159">
        <f>P93</f>
        <v>82</v>
      </c>
      <c r="E93" s="3159">
        <f>P91</f>
        <v>59</v>
      </c>
      <c r="F93" s="3159"/>
      <c r="G93" s="467">
        <f>P94</f>
        <v>100</v>
      </c>
      <c r="H93" s="467"/>
      <c r="I93" s="467"/>
      <c r="J93" s="467"/>
      <c r="K93" s="467"/>
      <c r="L93" s="467"/>
      <c r="M93" s="468"/>
      <c r="N93" s="2521" t="s">
        <v>3481</v>
      </c>
      <c r="O93" s="2521">
        <v>70</v>
      </c>
      <c r="P93" s="2514">
        <f>ROUND(P94/O94*O93,0)</f>
        <v>82</v>
      </c>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2" t="s">
        <v>3482</v>
      </c>
      <c r="O94" s="2522">
        <v>85</v>
      </c>
      <c r="P94" s="2513">
        <v>100</v>
      </c>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60" t="s">
        <v>3422</v>
      </c>
      <c r="D100" s="3160" t="s">
        <v>3423</v>
      </c>
      <c r="E100" s="3160" t="s">
        <v>3424</v>
      </c>
      <c r="F100" s="3160" t="s">
        <v>3425</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29.2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61">
        <v>0</v>
      </c>
      <c r="D103" s="3161">
        <v>100</v>
      </c>
      <c r="E103" s="3161">
        <v>200</v>
      </c>
      <c r="F103" s="3161">
        <v>300</v>
      </c>
      <c r="G103" s="3161">
        <v>400</v>
      </c>
      <c r="H103" s="3161">
        <v>500</v>
      </c>
      <c r="I103" s="3161"/>
      <c r="J103" s="3161"/>
      <c r="K103" s="3161"/>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58">
        <v>100</v>
      </c>
      <c r="D104" s="3159">
        <v>99</v>
      </c>
      <c r="E104" s="3158">
        <v>98</v>
      </c>
      <c r="F104" s="3159">
        <v>97</v>
      </c>
      <c r="G104" s="3158">
        <v>96</v>
      </c>
      <c r="H104" s="3159">
        <v>95</v>
      </c>
      <c r="I104" s="3158"/>
      <c r="J104" s="3159"/>
      <c r="K104" s="3158"/>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56" t="s">
        <v>3426</v>
      </c>
      <c r="D105" s="3166" t="s">
        <v>3448</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56" t="s">
        <v>3427</v>
      </c>
      <c r="D107" s="3156" t="s">
        <v>3428</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56" t="s">
        <v>3429</v>
      </c>
      <c r="D112" s="3156" t="s">
        <v>3430</v>
      </c>
      <c r="E112" s="3156" t="s">
        <v>3431</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56" t="s">
        <v>3432</v>
      </c>
      <c r="D114" s="3156" t="s">
        <v>3433</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56" t="s">
        <v>3434</v>
      </c>
      <c r="D116" s="3155" t="s">
        <v>3435</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90</v>
      </c>
      <c r="E117" s="475">
        <f>D117-$K39</f>
        <v>80</v>
      </c>
      <c r="F117" s="475">
        <f>E117-$K39</f>
        <v>70</v>
      </c>
      <c r="G117" s="475">
        <f>F117-$K39</f>
        <v>60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62" t="s">
        <v>3436</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56" t="s">
        <v>3428</v>
      </c>
      <c r="D122" s="3156" t="s">
        <v>3437</v>
      </c>
      <c r="E122" s="3156" t="s">
        <v>3438</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disablePrompts="1" count="25">
    <dataValidation type="list" allowBlank="1" showInputMessage="1" showErrorMessage="1" sqref="E1" xr:uid="{00000000-0002-0000-2200-000000000000}">
      <formula1>"项目模式,单套模式"</formula1>
    </dataValidation>
    <dataValidation type="list" allowBlank="1" showInputMessage="1" showErrorMessage="1" sqref="D48" xr:uid="{00000000-0002-0000-2200-000001000000}">
      <formula1>"简单平均,加权平均"</formula1>
    </dataValidation>
    <dataValidation type="list" allowBlank="1" showInputMessage="1" showErrorMessage="1" sqref="F2" xr:uid="{00000000-0002-0000-2200-000002000000}">
      <formula1>估价方法</formula1>
    </dataValidation>
    <dataValidation type="list" allowBlank="1" showInputMessage="1" showErrorMessage="1" sqref="C2" xr:uid="{00000000-0002-0000-2200-000003000000}">
      <formula1>"需扣减承租人权益,——"</formula1>
    </dataValidation>
    <dataValidation type="list" allowBlank="1" showInputMessage="1" showErrorMessage="1" sqref="F1" xr:uid="{00000000-0002-0000-2200-000004000000}">
      <formula1>"售价,租金"</formula1>
    </dataValidation>
    <dataValidation type="list" allowBlank="1" showInputMessage="1" showErrorMessage="1" sqref="C22 E22 G22 I22" xr:uid="{00000000-0002-0000-2200-000005000000}">
      <formula1>基础设施水平</formula1>
    </dataValidation>
    <dataValidation type="list" allowBlank="1" showInputMessage="1" showErrorMessage="1" sqref="C16 E16 G16 I16" xr:uid="{00000000-0002-0000-2200-000006000000}">
      <formula1>商业繁华度</formula1>
    </dataValidation>
    <dataValidation type="list" allowBlank="1" showInputMessage="1" showErrorMessage="1" sqref="C8 E8 G8 I8" xr:uid="{00000000-0002-0000-2200-000007000000}">
      <formula1>商业交易情况</formula1>
    </dataValidation>
    <dataValidation type="list" allowBlank="1" showInputMessage="1" showErrorMessage="1" sqref="C39 E39 G39 I39" xr:uid="{00000000-0002-0000-2200-000008000000}">
      <formula1>商业层高</formula1>
    </dataValidation>
    <dataValidation type="list" allowBlank="1" showInputMessage="1" showErrorMessage="1" sqref="C38 E38 G38 I38" xr:uid="{00000000-0002-0000-2200-000009000000}">
      <formula1>商业业态</formula1>
    </dataValidation>
    <dataValidation type="list" allowBlank="1" showInputMessage="1" showErrorMessage="1" sqref="E9 G9 I9" xr:uid="{00000000-0002-0000-2200-00000A000000}">
      <formula1>商业用途</formula1>
    </dataValidation>
    <dataValidation type="list" allowBlank="1" showInputMessage="1" showErrorMessage="1" sqref="C42 E42 G42 I42" xr:uid="{00000000-0002-0000-2200-00000B000000}">
      <formula1>商业内部装修</formula1>
    </dataValidation>
    <dataValidation type="list" allowBlank="1" showInputMessage="1" showErrorMessage="1" sqref="C41 E41 G41 I41" xr:uid="{00000000-0002-0000-2200-00000C000000}">
      <formula1>商业进深比</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35 E35 G35 I35" xr:uid="{00000000-0002-0000-2200-00000E000000}">
      <formula1>商业公共部分装修</formula1>
    </dataValidation>
    <dataValidation type="list" allowBlank="1" showInputMessage="1" showErrorMessage="1" sqref="C34 E34 G34 I34" xr:uid="{00000000-0002-0000-2200-00000F000000}">
      <formula1>商业建筑结构</formula1>
    </dataValidation>
    <dataValidation type="list" allowBlank="1" showInputMessage="1" showErrorMessage="1" sqref="C32 E32 G32 I32" xr:uid="{00000000-0002-0000-2200-000010000000}">
      <formula1>商业类型</formula1>
    </dataValidation>
    <dataValidation type="list" allowBlank="1" showInputMessage="1" showErrorMessage="1" sqref="C28 E28 G28 I28" xr:uid="{00000000-0002-0000-2200-000011000000}">
      <formula1>商业楼层</formula1>
    </dataValidation>
    <dataValidation type="list" allowBlank="1" showInputMessage="1" showErrorMessage="1" sqref="C27 E27 G27 I27" xr:uid="{00000000-0002-0000-2200-000012000000}">
      <formula1>商业人流量</formula1>
    </dataValidation>
    <dataValidation type="list" allowBlank="1" showInputMessage="1" showErrorMessage="1" sqref="C25 E25 G25 I25" xr:uid="{00000000-0002-0000-2200-000013000000}">
      <formula1>商业临街状况</formula1>
    </dataValidation>
    <dataValidation type="list" allowBlank="1" showInputMessage="1" showErrorMessage="1" sqref="E24 G24 I24 C24" xr:uid="{00000000-0002-0000-2200-000014000000}">
      <formula1>环境</formula1>
    </dataValidation>
    <dataValidation type="list" allowBlank="1" showInputMessage="1" showErrorMessage="1" sqref="E18 G18 I18 C18" xr:uid="{00000000-0002-0000-2200-000015000000}">
      <formula1>交通便捷度</formula1>
    </dataValidation>
    <dataValidation type="list" allowBlank="1" showInputMessage="1" showErrorMessage="1" sqref="E20 I20 G20 C20" xr:uid="{00000000-0002-0000-2200-000016000000}">
      <formula1>公共配套设施</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1" xr:uid="{00000000-0002-0000-22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zoomScale="70" zoomScaleNormal="70" zoomScaleSheetLayoutView="70" workbookViewId="0">
      <selection activeCell="L36" sqref="L3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448.66919999999999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17541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2742980.25</v>
      </c>
      <c r="D5" s="203" t="s">
        <v>1469</v>
      </c>
      <c r="E5" s="204" t="s">
        <v>1470</v>
      </c>
      <c r="F5" s="204" t="s">
        <v>1471</v>
      </c>
      <c r="G5" s="205"/>
    </row>
    <row r="6" spans="1:8" s="206" customFormat="1" ht="13.5" customHeight="1">
      <c r="A6" s="731" t="s">
        <v>1472</v>
      </c>
      <c r="B6" s="207" t="s">
        <v>1473</v>
      </c>
      <c r="C6" s="208">
        <f>基准地价修正!T2*基准地价修正!U2+基准地价修正!T3*基准地价修正!U3</f>
        <v>2612153.25</v>
      </c>
      <c r="D6" s="209"/>
      <c r="E6" s="210"/>
      <c r="F6" s="210"/>
      <c r="G6" s="211"/>
    </row>
    <row r="7" spans="1:8" s="206" customFormat="1" ht="13.5" customHeight="1">
      <c r="A7" s="731" t="s">
        <v>1474</v>
      </c>
      <c r="B7" s="207" t="s">
        <v>1475</v>
      </c>
      <c r="C7" s="212">
        <f>ROUND(C6*F7,0)</f>
        <v>79671</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51156</v>
      </c>
      <c r="D8" s="214"/>
      <c r="E8" s="212"/>
      <c r="F8" s="213"/>
      <c r="G8" s="1713" t="s">
        <v>3483</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51156</v>
      </c>
      <c r="D10" s="794">
        <f ca="1">IF(B1="",'数据-汇总表'!E6,IF(INDIRECT("'数据-取费表'!c"&amp;$G$1)="住宅",INDIRECT("'数据-取费表'!s"&amp;$G$1),INDIRECT("'数据-取费表'!k"&amp;$G$1)+INDIRECT("'数据-取费表'!s"&amp;$G$1)))</f>
        <v>255.78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255.78</v>
      </c>
      <c r="E19" s="203">
        <f>'数据-取费表'!B31</f>
        <v>200</v>
      </c>
      <c r="F19" s="223"/>
      <c r="G19" s="1713" t="s">
        <v>3484</v>
      </c>
    </row>
    <row r="20" spans="1:7" s="206" customFormat="1" ht="13.5" customHeight="1">
      <c r="A20" s="247" t="s">
        <v>1574</v>
      </c>
      <c r="B20" s="202" t="s">
        <v>1575</v>
      </c>
      <c r="C20" s="224">
        <f ca="1">ROUND((C5+C19)*F20,0)</f>
        <v>54860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174402</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172701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1701</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559568</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559568</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3826447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735368</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639450</v>
      </c>
      <c r="D34" s="209"/>
      <c r="E34" s="212"/>
      <c r="F34" s="249"/>
      <c r="G34" s="211"/>
    </row>
    <row r="35" spans="1:7" ht="13.5" customHeight="1">
      <c r="A35" s="733" t="s">
        <v>351</v>
      </c>
      <c r="B35" s="207" t="s">
        <v>1527</v>
      </c>
      <c r="C35" s="212">
        <f ca="1">ROUND(C34*F35,0)</f>
        <v>31973</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51156</v>
      </c>
      <c r="D37" s="209">
        <f ca="1">D19</f>
        <v>255.78</v>
      </c>
      <c r="E37" s="241">
        <f>'数据-取费表'!B35</f>
        <v>200</v>
      </c>
      <c r="F37" s="251"/>
      <c r="G37" s="253"/>
    </row>
    <row r="38" spans="1:7" ht="13.5" customHeight="1">
      <c r="A38" s="733" t="s">
        <v>354</v>
      </c>
      <c r="B38" s="207" t="s">
        <v>1533</v>
      </c>
      <c r="C38" s="212">
        <f ca="1">ROUND(C34*F38,0)</f>
        <v>12789</v>
      </c>
      <c r="D38" s="212"/>
      <c r="E38" s="212"/>
      <c r="F38" s="251">
        <f>'数据-取费表'!B36</f>
        <v>0.02</v>
      </c>
      <c r="G38" s="211" t="s">
        <v>1528</v>
      </c>
    </row>
    <row r="39" spans="1:7" s="206" customFormat="1" ht="13.5" customHeight="1">
      <c r="A39" s="247" t="s">
        <v>1534</v>
      </c>
      <c r="B39" s="202" t="s">
        <v>1535</v>
      </c>
      <c r="C39" s="224">
        <f ca="1">ROUND(C33*F20,0)</f>
        <v>14707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23252</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22796</v>
      </c>
      <c r="D42" s="230"/>
      <c r="E42" s="230"/>
      <c r="F42" s="231"/>
      <c r="G42" s="3362" t="s">
        <v>1591</v>
      </c>
    </row>
    <row r="43" spans="1:7" ht="13.5" customHeight="1">
      <c r="A43" s="733" t="s">
        <v>347</v>
      </c>
      <c r="B43" s="207" t="s">
        <v>1545</v>
      </c>
      <c r="C43" s="230">
        <f ca="1">ROUND(IF('数据-取费表'!B22&lt;=1,C39*F22*'数据-取费表'!B20/2,C39*(POWER((1+F22),'数据-取费表'!B20/2)-1)),0)</f>
        <v>456</v>
      </c>
      <c r="D43" s="230"/>
      <c r="E43" s="230"/>
      <c r="F43" s="231"/>
      <c r="G43" s="3363"/>
    </row>
    <row r="44" spans="1:7" ht="13.5" customHeight="1">
      <c r="A44" s="733" t="s">
        <v>348</v>
      </c>
      <c r="B44" s="207" t="s">
        <v>1546</v>
      </c>
      <c r="C44" s="230">
        <f ca="1">ROUND(IF('数据-取费表'!B22&lt;=1,C40*F22*'数据-取费表'!B20/2,C40*(POWER((1+F22),'数据-取费表'!B20/2)-1)),4)</f>
        <v>5.9999999999999995E-4</v>
      </c>
      <c r="D44" s="230"/>
      <c r="E44" s="230"/>
      <c r="F44" s="231"/>
      <c r="G44" s="3364"/>
    </row>
    <row r="45" spans="1:7" s="206" customFormat="1" ht="13.5" customHeight="1">
      <c r="A45" s="247" t="s">
        <v>1547</v>
      </c>
      <c r="B45" s="236" t="s">
        <v>1513</v>
      </c>
      <c r="C45" s="237">
        <f ca="1">C46</f>
        <v>150015</v>
      </c>
      <c r="D45" s="227">
        <f ca="1">C47</f>
        <v>4.0000000000000001E-3</v>
      </c>
      <c r="E45" s="228" t="s">
        <v>1539</v>
      </c>
      <c r="F45" s="238">
        <f ca="1">F27</f>
        <v>0.2</v>
      </c>
      <c r="G45" s="239" t="s">
        <v>1548</v>
      </c>
    </row>
    <row r="46" spans="1:7" s="206" customFormat="1" ht="13.5" customHeight="1">
      <c r="A46" s="733" t="s">
        <v>346</v>
      </c>
      <c r="B46" s="240" t="s">
        <v>1549</v>
      </c>
      <c r="C46" s="241">
        <f ca="1">ROUND((C33+C39)*F27,0)</f>
        <v>150015</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1000371</v>
      </c>
      <c r="D49" s="224"/>
      <c r="E49" s="224"/>
      <c r="F49" s="256"/>
      <c r="G49" s="226" t="s">
        <v>1554</v>
      </c>
    </row>
    <row r="50" spans="1:7" s="250" customFormat="1">
      <c r="A50" s="247" t="s">
        <v>1555</v>
      </c>
      <c r="B50" s="202" t="s">
        <v>1556</v>
      </c>
      <c r="C50" s="224"/>
      <c r="D50" s="224"/>
      <c r="E50" s="224"/>
      <c r="F50" s="256">
        <f>IF('数据-取费表'!B24=0,'数据-取费表'!N16,1)</f>
        <v>0.66</v>
      </c>
      <c r="G50" s="239"/>
    </row>
    <row r="51" spans="1:7" ht="16.5" customHeight="1">
      <c r="A51" s="247" t="s">
        <v>1558</v>
      </c>
      <c r="B51" s="202" t="s">
        <v>1593</v>
      </c>
      <c r="C51" s="224">
        <f ca="1">ROUND(C49*F50,0)</f>
        <v>660245</v>
      </c>
      <c r="D51" s="224"/>
      <c r="E51" s="224"/>
      <c r="F51" s="256"/>
      <c r="G51" s="226" t="s">
        <v>1560</v>
      </c>
    </row>
    <row r="52" spans="1:7" s="200" customFormat="1" ht="16.5" thickBot="1">
      <c r="A52" s="257" t="s">
        <v>1561</v>
      </c>
      <c r="B52" s="258"/>
      <c r="C52" s="259">
        <f ca="1">C31+C51</f>
        <v>4486692</v>
      </c>
      <c r="D52" s="258"/>
      <c r="E52" s="258"/>
      <c r="F52" s="258"/>
      <c r="G52" s="260"/>
    </row>
    <row r="55" spans="1:7" ht="15">
      <c r="B55" s="262" t="s">
        <v>1562</v>
      </c>
      <c r="C55" s="263"/>
    </row>
    <row r="56" spans="1:7">
      <c r="B56" s="265" t="s">
        <v>802</v>
      </c>
      <c r="C56" s="267">
        <f ca="1">1-C57</f>
        <v>0.85299999999999998</v>
      </c>
    </row>
    <row r="57" spans="1:7">
      <c r="B57" s="265" t="s">
        <v>803</v>
      </c>
      <c r="C57" s="266">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M1" zoomScale="85" zoomScaleNormal="80" zoomScaleSheetLayoutView="85" workbookViewId="0">
      <selection activeCell="P15" sqref="A12:P15"/>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255.78</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261</v>
      </c>
      <c r="C2" s="1845" t="s">
        <v>1935</v>
      </c>
      <c r="D2" s="162" t="s">
        <v>1936</v>
      </c>
      <c r="E2" s="3120"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Ⅵ-兴1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11422</v>
      </c>
      <c r="U2" s="1129">
        <f>'数据-汇总表'!E3/2</f>
        <v>127.89</v>
      </c>
      <c r="V2" s="3063">
        <f>ROUND(T2*U2/10000,0)</f>
        <v>146</v>
      </c>
      <c r="W2" s="1132"/>
      <c r="X2" s="1132"/>
      <c r="Y2" s="1132"/>
      <c r="Z2" s="1132"/>
      <c r="AA2" s="1132"/>
      <c r="AB2" s="1132"/>
      <c r="AC2" s="1133"/>
      <c r="AD2" s="1134"/>
      <c r="AE2" s="1134"/>
      <c r="AF2" s="1134"/>
      <c r="AG2" s="1134"/>
      <c r="AH2" s="1134"/>
      <c r="AI2" s="1134"/>
      <c r="AJ2" s="1135"/>
    </row>
    <row r="3" spans="1:36" ht="15.75">
      <c r="A3" s="195" t="s">
        <v>1940</v>
      </c>
      <c r="B3" s="196">
        <f>ROUND(B2*10000/D1,0)</f>
        <v>10204</v>
      </c>
      <c r="C3" s="1845" t="s">
        <v>1941</v>
      </c>
      <c r="D3" s="162" t="s">
        <v>1942</v>
      </c>
      <c r="E3" s="3118" t="s">
        <v>2430</v>
      </c>
      <c r="F3" s="1847" t="s">
        <v>3400</v>
      </c>
      <c r="G3" s="707">
        <f>IF(F3="宗地容积率",'数据-汇总表'!I4,IF(F3="估价对象容积率",'数据-汇总表'!I6,'数据-汇总表'!I7))</f>
        <v>2.5</v>
      </c>
      <c r="H3" s="162" t="s">
        <v>1943</v>
      </c>
      <c r="I3" s="728">
        <v>2</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1.1838</v>
      </c>
      <c r="T3" s="3063">
        <f t="shared" si="0"/>
        <v>9003</v>
      </c>
      <c r="U3" s="1129">
        <f>U2</f>
        <v>127.89</v>
      </c>
      <c r="V3" s="3063">
        <f t="shared" ref="V3:V16" si="1">ROUND(T3*U3/10000,0)</f>
        <v>115</v>
      </c>
      <c r="W3" s="1132"/>
      <c r="X3" s="1132"/>
      <c r="Y3" s="1132"/>
      <c r="Z3" s="1132"/>
      <c r="AA3" s="1132"/>
      <c r="AB3" s="1132"/>
      <c r="AC3" s="1133"/>
      <c r="AD3" s="1134"/>
      <c r="AE3" s="1134"/>
      <c r="AF3" s="1134"/>
      <c r="AG3" s="1134"/>
      <c r="AH3" s="1134"/>
      <c r="AI3" s="1134"/>
      <c r="AJ3" s="1135"/>
    </row>
    <row r="4" spans="1:36" ht="15.75">
      <c r="A4" s="3475"/>
      <c r="B4" s="3476"/>
      <c r="C4" s="3476"/>
      <c r="D4" s="3477"/>
      <c r="E4" s="3477"/>
      <c r="F4" s="3477"/>
      <c r="G4" s="3477"/>
      <c r="H4" s="3477"/>
      <c r="I4" s="3477"/>
      <c r="J4" s="347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7609</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11180</v>
      </c>
      <c r="D5" s="1251">
        <f>ROUND(C6*C17+C20,0)</f>
        <v>11180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0.88239999999999996</v>
      </c>
      <c r="T5" s="3063">
        <f t="shared" si="0"/>
        <v>6710</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11180</v>
      </c>
      <c r="D6" s="1860"/>
      <c r="E6" s="1861"/>
      <c r="F6" s="1861"/>
      <c r="G6" s="1862"/>
      <c r="H6" s="1862"/>
      <c r="I6" s="1862"/>
      <c r="J6" s="1863"/>
      <c r="K6" s="1291"/>
      <c r="L6" s="1846" t="s">
        <v>1951</v>
      </c>
      <c r="M6" s="810">
        <f>SUMPRODUCT((区片价!B127:B189=I2)*(区片价!C3:G3=E2)*(区片价!C127:G189))</f>
        <v>11180</v>
      </c>
      <c r="N6" s="812">
        <f>SUMPRODUCT((因素修正幅度!B127:B189=I2)*(因素修正幅度!C3:G3=E2)*(因素修正幅度!C127:G189))</f>
        <v>0.13</v>
      </c>
      <c r="O6" s="1055"/>
      <c r="P6" s="1055"/>
      <c r="Q6" s="1055"/>
      <c r="R6" s="1128">
        <v>5</v>
      </c>
      <c r="S6" s="3063">
        <f>ROUND(SUMPRODUCT((B106:B110=R6)*(C105:N105=G2)*(C106:N110)),4)</f>
        <v>0.84799999999999998</v>
      </c>
      <c r="T6" s="3063">
        <f t="shared" si="0"/>
        <v>6449</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六级</v>
      </c>
      <c r="Y7" s="1130" t="s">
        <v>1956</v>
      </c>
      <c r="Z7" s="1131">
        <f>G3</f>
        <v>2.5</v>
      </c>
      <c r="AA7" s="1132"/>
      <c r="AB7" s="1132"/>
      <c r="AC7" s="1133"/>
      <c r="AD7" s="1134"/>
      <c r="AE7" s="1134"/>
      <c r="AF7" s="1134"/>
      <c r="AG7" s="1134"/>
      <c r="AH7" s="1134"/>
      <c r="AI7" s="1134"/>
      <c r="AJ7" s="1135"/>
    </row>
    <row r="8" spans="1:36" ht="25.5">
      <c r="A8" s="3009"/>
      <c r="B8" s="162" t="s">
        <v>1957</v>
      </c>
      <c r="C8" s="1869" t="s">
        <v>3401</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72" t="s">
        <v>1960</v>
      </c>
      <c r="X8" s="347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74"/>
      <c r="X9" s="3064" t="s">
        <v>3258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7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79" t="s">
        <v>3245</v>
      </c>
      <c r="B20" s="159" t="s">
        <v>1994</v>
      </c>
      <c r="C20" s="3031">
        <f>ROUND(IF(F21="与级别开发程度一致",0,(G21-E21)/C21),0)</f>
        <v>0</v>
      </c>
      <c r="D20" s="3046" t="s">
        <v>1998</v>
      </c>
      <c r="E20" s="3047"/>
      <c r="F20" s="3485" t="s">
        <v>1995</v>
      </c>
      <c r="G20" s="3486"/>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80"/>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3402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5" t="s">
        <v>2002</v>
      </c>
      <c r="E23" s="716">
        <v>44197</v>
      </c>
      <c r="F23" s="1895" t="s">
        <v>2003</v>
      </c>
      <c r="G23" s="717">
        <f>'数据-取费表'!B2</f>
        <v>45696</v>
      </c>
      <c r="H23" s="3048" t="s">
        <v>3246</v>
      </c>
      <c r="I23" s="3049" t="str">
        <f>IF(H23="季度增幅（自定义）",SUMIF(N25:N28,E2,O25:O28),"")</f>
        <v/>
      </c>
      <c r="J23" s="3141" t="s">
        <v>3403</v>
      </c>
      <c r="K23" s="1060"/>
      <c r="L23" s="1896" t="s">
        <v>2004</v>
      </c>
      <c r="M23" s="1240">
        <f>ROUND(SUMIF(地价!B2:G2,E2,地价!B16:G16),0)</f>
        <v>350</v>
      </c>
      <c r="N23" s="1897" t="s">
        <v>2005</v>
      </c>
      <c r="O23" s="718">
        <f>ROUNDDOWN(DATEDIF(E23,G23,"M")/3,0)</f>
        <v>16</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0.62549999999999994</v>
      </c>
      <c r="D24" s="1901" t="s">
        <v>2007</v>
      </c>
      <c r="E24" s="1247">
        <f>存贷款利率!E27/100</f>
        <v>4.3499999999999997E-2</v>
      </c>
      <c r="F24" s="1901" t="s">
        <v>1999</v>
      </c>
      <c r="G24" s="723">
        <f>SUMIF(M30:Q30,E2,M33:Q33)</f>
        <v>5.5E-2</v>
      </c>
      <c r="H24" s="1901" t="s">
        <v>2008</v>
      </c>
      <c r="I24" s="724">
        <f>SUMIF('数据-取费表'!C6:C15,E2,'数据-取费表'!F6:F15)/COUNTIF('数据-取费表'!C6:C15,E2)</f>
        <v>15</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3485</v>
      </c>
      <c r="C25" s="461">
        <f>IF(B25="容积率修正",IF(G3&lt;10,D26,J26),C27)</f>
        <v>1.1838</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3247</v>
      </c>
      <c r="D26" s="1262">
        <f>IF(E26=G26,F26,IF(G3&lt;10,ROUND(F26+(H26-F26)*(G3-E26)/(G26-E26),4),"——"))</f>
        <v>1</v>
      </c>
      <c r="E26" s="707">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3248</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1.1838</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1.0557000000000001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261</v>
      </c>
      <c r="D30" s="1924"/>
      <c r="E30" s="1841"/>
      <c r="F30" s="1925"/>
      <c r="G30" s="1841"/>
      <c r="H30" s="1841"/>
      <c r="I30" s="1841"/>
      <c r="J30" s="1926"/>
      <c r="K30" s="1055"/>
      <c r="L30" s="3055" t="s">
        <v>1936</v>
      </c>
      <c r="M30" s="3056" t="s">
        <v>1990</v>
      </c>
      <c r="N30" s="3056" t="s">
        <v>1991</v>
      </c>
      <c r="O30" s="3056" t="s">
        <v>1992</v>
      </c>
      <c r="P30" s="3056" t="s">
        <v>1993</v>
      </c>
      <c r="Q30" s="3059"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9003</v>
      </c>
      <c r="D33" s="1939">
        <f>'数据-汇总表'!E3</f>
        <v>255.78</v>
      </c>
      <c r="E33" s="726">
        <f>ROUND(C33*D33/10000,0)</f>
        <v>230</v>
      </c>
      <c r="F33" s="3050" t="s">
        <v>3250</v>
      </c>
      <c r="G33" s="1940"/>
      <c r="H33" s="1940"/>
      <c r="I33" s="1940"/>
      <c r="J33" s="1941"/>
      <c r="K33" s="1055"/>
      <c r="L33" s="3053" t="s">
        <v>3253</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f>ROUND(IF(B25="楼层修正",SUM(V2:V16)*M40,C34*D34/10000),0)</f>
        <v>0</v>
      </c>
      <c r="F34" s="1945" t="s">
        <v>2032</v>
      </c>
      <c r="G34" s="1946"/>
      <c r="H34" s="1946"/>
      <c r="I34" s="1946"/>
      <c r="J34" s="1947"/>
      <c r="K34" s="1055"/>
      <c r="L34" s="3053" t="s">
        <v>3254</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3"/>
      <c r="B37" s="1954" t="s">
        <v>2036</v>
      </c>
      <c r="C37" s="167">
        <f>ROUND(D5*C22*C23*C24*C28*F37,0)</f>
        <v>4563</v>
      </c>
      <c r="D37" s="1939"/>
      <c r="E37" s="163">
        <f>ROUND(C37*D37/10000,0)</f>
        <v>0</v>
      </c>
      <c r="F37" s="163">
        <f>SUMIF(修正!A57:A68,G2,修正!B57:B68)</f>
        <v>0.6</v>
      </c>
      <c r="G37" s="163">
        <f>ROUND(IF(E2="工业",C37*$M$42,C37*$M$41),0)</f>
        <v>1141</v>
      </c>
      <c r="H37" s="163">
        <f>D37</f>
        <v>0</v>
      </c>
      <c r="I37" s="163">
        <f>ROUND(G37*H37/10000,0)</f>
        <v>0</v>
      </c>
      <c r="J37" s="2754"/>
      <c r="K37" s="3061"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4"/>
      <c r="B38" s="1883" t="s">
        <v>2037</v>
      </c>
      <c r="C38" s="167">
        <f>ROUND(D5*C22*C23*C24*C28*F38,0)</f>
        <v>2281</v>
      </c>
      <c r="D38" s="1939"/>
      <c r="E38" s="163">
        <f t="shared" ref="E38:E42" si="4">ROUND(C38*D38/10000,0)</f>
        <v>0</v>
      </c>
      <c r="F38" s="163">
        <f>SUMIF(修正!A57:A68,G2,修正!C57:C68)</f>
        <v>0.3</v>
      </c>
      <c r="G38" s="163">
        <f>ROUND(IF(E2="工业",C38*$M$42,C38*$M$41),0)</f>
        <v>570</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4"/>
      <c r="B39" s="1883" t="s">
        <v>3249</v>
      </c>
      <c r="C39" s="167">
        <f>ROUND(D5*C22*C23*C24*C28*F39,0)</f>
        <v>1901</v>
      </c>
      <c r="D39" s="1939"/>
      <c r="E39" s="163">
        <f t="shared" si="4"/>
        <v>0</v>
      </c>
      <c r="F39" s="163">
        <f>SUMIF(修正!A57:A68,G2,修正!D57:D68)</f>
        <v>0.25</v>
      </c>
      <c r="G39" s="163">
        <f>ROUND(IF(E2="工业",C39*$M$42,C39*$M$41),0)</f>
        <v>475</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1901</v>
      </c>
      <c r="D40" s="1939"/>
      <c r="E40" s="163">
        <f t="shared" si="4"/>
        <v>0</v>
      </c>
      <c r="F40" s="167">
        <f>SUMIF(修正!A57:A68,G2,修正!E57:E68)</f>
        <v>0.25</v>
      </c>
      <c r="G40" s="163">
        <f>ROUND(IF(E2="工业",C40*$M$42,C40*$M$41),0)</f>
        <v>475</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1802</v>
      </c>
      <c r="D41" s="1939"/>
      <c r="E41" s="163">
        <f t="shared" si="4"/>
        <v>0</v>
      </c>
      <c r="F41" s="167">
        <f>SUMIF(修正!A57:A68,G2,修正!F57:F68)</f>
        <v>0.25</v>
      </c>
      <c r="G41" s="163">
        <f>ROUND(IF(E2="工业",C41*$M$42,C41*$M$41),0)</f>
        <v>451</v>
      </c>
      <c r="H41" s="163">
        <f t="shared" si="5"/>
        <v>0</v>
      </c>
      <c r="I41" s="163">
        <f t="shared" si="6"/>
        <v>0</v>
      </c>
      <c r="J41" s="938"/>
      <c r="L41" s="3062" t="s">
        <v>3257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1081</v>
      </c>
      <c r="D42" s="1944"/>
      <c r="E42" s="179">
        <f t="shared" si="4"/>
        <v>0</v>
      </c>
      <c r="F42" s="722">
        <f>SUMIF(修正!A57:A68,G2,修正!G57:G68)</f>
        <v>0.15</v>
      </c>
      <c r="G42" s="179">
        <f>ROUND(IF(E2="工业",C42*$M$42,C42*$M$41),0)</f>
        <v>270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0.59279999999999999</v>
      </c>
      <c r="D44" s="163" t="s">
        <v>1999</v>
      </c>
      <c r="E44" s="1990">
        <f>G24</f>
        <v>5.5E-2</v>
      </c>
      <c r="F44" s="163" t="s">
        <v>2008</v>
      </c>
      <c r="G44" s="175">
        <f>项目基本情况!D15</f>
        <v>15</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1.0557000000000001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t="s">
        <v>3404</v>
      </c>
      <c r="D50" s="1001">
        <f t="shared" ref="D50:D58" si="7">SUMIF($J$49:$N$49,C50,J50:N50)</f>
        <v>1.95E-2</v>
      </c>
      <c r="E50" s="701">
        <f>ROUND(SUM(D50:D58),4)</f>
        <v>5.57E-2</v>
      </c>
      <c r="F50" s="1674">
        <f>IF(E2="商业",SUMIF(L1:L12,G2,N1:N12),"——")</f>
        <v>0.13</v>
      </c>
      <c r="G50" s="999">
        <f>H50</f>
        <v>1.95E-2</v>
      </c>
      <c r="H50" s="1002">
        <f t="shared" ref="H50:H58" si="8">IFERROR(ROUNDDOWN($F$50*I50/2,4),"——")</f>
        <v>1.95E-2</v>
      </c>
      <c r="I50" s="3068">
        <v>0.3</v>
      </c>
      <c r="J50" s="1000">
        <f t="shared" ref="J50:J58" si="9">K50+$G50</f>
        <v>3.9E-2</v>
      </c>
      <c r="K50" s="1000">
        <f t="shared" ref="K50:K58" si="10">$L50+$G50</f>
        <v>1.95E-2</v>
      </c>
      <c r="L50" s="1000">
        <v>0</v>
      </c>
      <c r="M50" s="1000">
        <f t="shared" ref="M50:N58" si="11">L50-$G50</f>
        <v>-1.95E-2</v>
      </c>
      <c r="N50" s="1000">
        <f t="shared" si="11"/>
        <v>-3.9E-2</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t="s">
        <v>3405</v>
      </c>
      <c r="D51" s="1001">
        <f t="shared" si="7"/>
        <v>0</v>
      </c>
      <c r="E51" s="702"/>
      <c r="F51" s="1674"/>
      <c r="G51" s="999">
        <f t="shared" ref="G51:G58" si="12">H51</f>
        <v>1.43E-2</v>
      </c>
      <c r="H51" s="1002">
        <f t="shared" si="8"/>
        <v>1.43E-2</v>
      </c>
      <c r="I51" s="3068">
        <v>0.22</v>
      </c>
      <c r="J51" s="1000">
        <f t="shared" si="9"/>
        <v>2.86E-2</v>
      </c>
      <c r="K51" s="1000">
        <f t="shared" si="10"/>
        <v>1.43E-2</v>
      </c>
      <c r="L51" s="1000">
        <v>0</v>
      </c>
      <c r="M51" s="1000">
        <f t="shared" si="11"/>
        <v>-1.43E-2</v>
      </c>
      <c r="N51" s="1000">
        <f t="shared" si="11"/>
        <v>-2.86E-2</v>
      </c>
      <c r="AA51" s="1056"/>
      <c r="AB51" s="1056"/>
      <c r="AC51" s="1056"/>
      <c r="AD51" s="1056"/>
      <c r="AE51" s="1056"/>
      <c r="AF51" s="1056"/>
      <c r="AG51" s="1056"/>
      <c r="AH51" s="1056"/>
      <c r="AI51" s="1056"/>
      <c r="AJ51" s="1056"/>
      <c r="AK51" s="1056"/>
    </row>
    <row r="52" spans="1:37" s="1055" customFormat="1" ht="36">
      <c r="A52" s="3070" t="s">
        <v>3259</v>
      </c>
      <c r="B52" s="1261">
        <f>估价对象房地状况!C19</f>
        <v>0</v>
      </c>
      <c r="C52" s="1886" t="s">
        <v>3404</v>
      </c>
      <c r="D52" s="1001">
        <f t="shared" si="7"/>
        <v>7.7999999999999996E-3</v>
      </c>
      <c r="E52" s="702"/>
      <c r="F52" s="1674"/>
      <c r="G52" s="999">
        <f t="shared" si="12"/>
        <v>7.7999999999999996E-3</v>
      </c>
      <c r="H52" s="1002">
        <f t="shared" si="8"/>
        <v>7.7999999999999996E-3</v>
      </c>
      <c r="I52" s="3068">
        <v>0.12</v>
      </c>
      <c r="J52" s="1000">
        <f t="shared" si="9"/>
        <v>1.5599999999999999E-2</v>
      </c>
      <c r="K52" s="1000">
        <f t="shared" si="10"/>
        <v>7.7999999999999996E-3</v>
      </c>
      <c r="L52" s="1000">
        <v>0</v>
      </c>
      <c r="M52" s="1000">
        <f t="shared" si="11"/>
        <v>-7.7999999999999996E-3</v>
      </c>
      <c r="N52" s="1000">
        <f t="shared" si="11"/>
        <v>-1.5599999999999999E-2</v>
      </c>
      <c r="AA52" s="1056"/>
      <c r="AB52" s="1056"/>
      <c r="AC52" s="1056"/>
      <c r="AD52" s="1056"/>
      <c r="AE52" s="1056"/>
      <c r="AF52" s="1056"/>
      <c r="AG52" s="1056"/>
      <c r="AH52" s="1056"/>
      <c r="AI52" s="1056"/>
      <c r="AJ52" s="1056"/>
      <c r="AK52" s="1056"/>
    </row>
    <row r="53" spans="1:37" s="1055" customFormat="1" ht="36.75">
      <c r="A53" s="1969" t="s">
        <v>2054</v>
      </c>
      <c r="B53" s="1973" t="s">
        <v>2055</v>
      </c>
      <c r="C53" s="1886" t="s">
        <v>3404</v>
      </c>
      <c r="D53" s="1001">
        <f t="shared" si="7"/>
        <v>3.2000000000000002E-3</v>
      </c>
      <c r="E53" s="702"/>
      <c r="F53" s="1674"/>
      <c r="G53" s="999">
        <f t="shared" si="12"/>
        <v>3.2000000000000002E-3</v>
      </c>
      <c r="H53" s="1002">
        <f t="shared" si="8"/>
        <v>3.2000000000000002E-3</v>
      </c>
      <c r="I53" s="3068">
        <v>0.05</v>
      </c>
      <c r="J53" s="1000">
        <f t="shared" si="9"/>
        <v>6.4000000000000003E-3</v>
      </c>
      <c r="K53" s="1000">
        <f t="shared" si="10"/>
        <v>3.2000000000000002E-3</v>
      </c>
      <c r="L53" s="1000">
        <v>0</v>
      </c>
      <c r="M53" s="1000">
        <f t="shared" si="11"/>
        <v>-3.2000000000000002E-3</v>
      </c>
      <c r="N53" s="1000">
        <f t="shared" si="11"/>
        <v>-6.4000000000000003E-3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3404</v>
      </c>
      <c r="D54" s="1001">
        <f t="shared" si="7"/>
        <v>5.1999999999999998E-3</v>
      </c>
      <c r="E54" s="702"/>
      <c r="F54" s="1674"/>
      <c r="G54" s="999">
        <f t="shared" si="12"/>
        <v>5.1999999999999998E-3</v>
      </c>
      <c r="H54" s="1002">
        <f t="shared" si="8"/>
        <v>5.1999999999999998E-3</v>
      </c>
      <c r="I54" s="3068">
        <v>0.08</v>
      </c>
      <c r="J54" s="1000">
        <f t="shared" si="9"/>
        <v>1.04E-2</v>
      </c>
      <c r="K54" s="1000">
        <f t="shared" si="10"/>
        <v>5.1999999999999998E-3</v>
      </c>
      <c r="L54" s="1000">
        <v>0</v>
      </c>
      <c r="M54" s="1000">
        <f t="shared" si="11"/>
        <v>-5.1999999999999998E-3</v>
      </c>
      <c r="N54" s="1000">
        <f t="shared" si="11"/>
        <v>-1.04E-2</v>
      </c>
      <c r="AA54" s="1056"/>
      <c r="AB54" s="1056"/>
      <c r="AC54" s="1056"/>
      <c r="AD54" s="1056"/>
      <c r="AE54" s="1056"/>
      <c r="AF54" s="1056"/>
      <c r="AG54" s="1056"/>
      <c r="AH54" s="1056"/>
      <c r="AI54" s="1056"/>
      <c r="AJ54" s="1056"/>
      <c r="AK54" s="1056"/>
    </row>
    <row r="55" spans="1:37" s="1055" customFormat="1" ht="24">
      <c r="A55" s="1969" t="s">
        <v>2057</v>
      </c>
      <c r="B55" s="1974" t="s">
        <v>2058</v>
      </c>
      <c r="C55" s="1886" t="s">
        <v>3404</v>
      </c>
      <c r="D55" s="1001">
        <f t="shared" si="7"/>
        <v>3.2000000000000002E-3</v>
      </c>
      <c r="E55" s="702"/>
      <c r="F55" s="1674"/>
      <c r="G55" s="999">
        <f t="shared" si="12"/>
        <v>3.2000000000000002E-3</v>
      </c>
      <c r="H55" s="1002">
        <f t="shared" si="8"/>
        <v>3.2000000000000002E-3</v>
      </c>
      <c r="I55" s="3068">
        <v>0.05</v>
      </c>
      <c r="J55" s="1000">
        <f t="shared" si="9"/>
        <v>6.4000000000000003E-3</v>
      </c>
      <c r="K55" s="1000">
        <f t="shared" si="10"/>
        <v>3.2000000000000002E-3</v>
      </c>
      <c r="L55" s="1000">
        <v>0</v>
      </c>
      <c r="M55" s="1000">
        <f t="shared" si="11"/>
        <v>-3.2000000000000002E-3</v>
      </c>
      <c r="N55" s="1000">
        <f t="shared" si="11"/>
        <v>-6.4000000000000003E-3</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t="s">
        <v>3404</v>
      </c>
      <c r="D56" s="1001">
        <f t="shared" si="7"/>
        <v>3.2000000000000002E-3</v>
      </c>
      <c r="E56" s="702"/>
      <c r="F56" s="1674"/>
      <c r="G56" s="999">
        <f t="shared" si="12"/>
        <v>3.2000000000000002E-3</v>
      </c>
      <c r="H56" s="1002">
        <f t="shared" si="8"/>
        <v>3.2000000000000002E-3</v>
      </c>
      <c r="I56" s="3068">
        <v>0.05</v>
      </c>
      <c r="J56" s="1000">
        <f t="shared" si="9"/>
        <v>6.4000000000000003E-3</v>
      </c>
      <c r="K56" s="1000">
        <f t="shared" si="10"/>
        <v>3.2000000000000002E-3</v>
      </c>
      <c r="L56" s="1000">
        <v>0</v>
      </c>
      <c r="M56" s="1000">
        <f t="shared" si="11"/>
        <v>-3.2000000000000002E-3</v>
      </c>
      <c r="N56" s="1000">
        <f t="shared" si="11"/>
        <v>-6.4000000000000003E-3</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t="s">
        <v>3406</v>
      </c>
      <c r="D57" s="1001">
        <f t="shared" si="7"/>
        <v>1.04E-2</v>
      </c>
      <c r="E57" s="702"/>
      <c r="F57" s="1674"/>
      <c r="G57" s="999">
        <f t="shared" si="12"/>
        <v>5.1999999999999998E-3</v>
      </c>
      <c r="H57" s="1002">
        <f t="shared" si="8"/>
        <v>5.1999999999999998E-3</v>
      </c>
      <c r="I57" s="3068">
        <v>0.08</v>
      </c>
      <c r="J57" s="1000">
        <f t="shared" si="9"/>
        <v>1.04E-2</v>
      </c>
      <c r="K57" s="1000">
        <f t="shared" si="10"/>
        <v>5.1999999999999998E-3</v>
      </c>
      <c r="L57" s="1000">
        <v>0</v>
      </c>
      <c r="M57" s="1000">
        <f t="shared" si="11"/>
        <v>-5.1999999999999998E-3</v>
      </c>
      <c r="N57" s="1000">
        <f t="shared" si="11"/>
        <v>-1.04E-2</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t="s">
        <v>3404</v>
      </c>
      <c r="D58" s="1001">
        <f t="shared" si="7"/>
        <v>3.2000000000000002E-3</v>
      </c>
      <c r="E58" s="703"/>
      <c r="F58" s="1674"/>
      <c r="G58" s="999">
        <f t="shared" si="12"/>
        <v>3.2000000000000002E-3</v>
      </c>
      <c r="H58" s="1002">
        <f t="shared" si="8"/>
        <v>3.2000000000000002E-3</v>
      </c>
      <c r="I58" s="3069">
        <v>0.05</v>
      </c>
      <c r="J58" s="1000">
        <f t="shared" si="9"/>
        <v>6.4000000000000003E-3</v>
      </c>
      <c r="K58" s="1000">
        <f t="shared" si="10"/>
        <v>3.2000000000000002E-3</v>
      </c>
      <c r="L58" s="1000">
        <v>0</v>
      </c>
      <c r="M58" s="1000">
        <f t="shared" si="11"/>
        <v>-3.2000000000000002E-3</v>
      </c>
      <c r="N58" s="1000">
        <f t="shared" si="11"/>
        <v>-6.4000000000000003E-3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8">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3"/>
        <v>0</v>
      </c>
      <c r="E62" s="702"/>
      <c r="F62" s="1674"/>
      <c r="G62" s="999"/>
      <c r="H62" s="1002" t="str">
        <f t="shared" si="14"/>
        <v>——</v>
      </c>
      <c r="I62" s="3068">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70" t="s">
        <v>3259</v>
      </c>
      <c r="B63" s="1261">
        <f>估价对象房地状况!C19</f>
        <v>0</v>
      </c>
      <c r="C63" s="1886"/>
      <c r="D63" s="1001">
        <f t="shared" si="13"/>
        <v>0</v>
      </c>
      <c r="E63" s="702"/>
      <c r="F63" s="1674"/>
      <c r="G63" s="999"/>
      <c r="H63" s="1002" t="str">
        <f t="shared" si="14"/>
        <v>——</v>
      </c>
      <c r="I63" s="3068">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3"/>
        <v>0</v>
      </c>
      <c r="E64" s="702"/>
      <c r="F64" s="1674"/>
      <c r="G64" s="999"/>
      <c r="H64" s="1002" t="str">
        <f t="shared" si="14"/>
        <v>——</v>
      </c>
      <c r="I64" s="3068">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2"/>
      <c r="F65" s="1674"/>
      <c r="G65" s="999"/>
      <c r="H65" s="1002" t="str">
        <f t="shared" si="14"/>
        <v>——</v>
      </c>
      <c r="I65" s="3068">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3"/>
        <v>0</v>
      </c>
      <c r="E66" s="702"/>
      <c r="F66" s="1674"/>
      <c r="G66" s="999"/>
      <c r="H66" s="1002" t="str">
        <f t="shared" si="14"/>
        <v>——</v>
      </c>
      <c r="I66" s="3068">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3"/>
        <v>0</v>
      </c>
      <c r="E67" s="702"/>
      <c r="F67" s="1674"/>
      <c r="G67" s="999"/>
      <c r="H67" s="1002" t="str">
        <f t="shared" si="14"/>
        <v>——</v>
      </c>
      <c r="I67" s="3068">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3"/>
        <v>0</v>
      </c>
      <c r="E68" s="702"/>
      <c r="F68" s="1674"/>
      <c r="G68" s="999"/>
      <c r="H68" s="1002" t="str">
        <f t="shared" si="14"/>
        <v>——</v>
      </c>
      <c r="I68" s="3068">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3"/>
        <v>0</v>
      </c>
      <c r="E69" s="703"/>
      <c r="F69" s="1674"/>
      <c r="G69" s="999"/>
      <c r="H69" s="1002" t="str">
        <f t="shared" si="14"/>
        <v>——</v>
      </c>
      <c r="I69" s="3069">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4"/>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3259</v>
      </c>
      <c r="B74" s="1261">
        <f>估价对象房地状况!C19</f>
        <v>0</v>
      </c>
      <c r="C74" s="1886"/>
      <c r="D74" s="1001">
        <f t="shared" si="18"/>
        <v>0</v>
      </c>
      <c r="E74" s="704"/>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4"/>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4"/>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4"/>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4"/>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4"/>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5"/>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4"/>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3260</v>
      </c>
      <c r="B85" s="1261">
        <f>估价对象房地状况!G17</f>
        <v>0</v>
      </c>
      <c r="C85" s="1886"/>
      <c r="D85" s="1001">
        <f t="shared" si="23"/>
        <v>0</v>
      </c>
      <c r="E85" s="704"/>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4"/>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4"/>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4"/>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4"/>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5"/>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3261</v>
      </c>
      <c r="B92" s="2309"/>
      <c r="C92" s="2309" t="s">
        <v>3270</v>
      </c>
      <c r="D92" s="2309" t="s">
        <v>3271</v>
      </c>
      <c r="E92" s="3052" t="s">
        <v>3272</v>
      </c>
      <c r="F92" s="3082" t="s">
        <v>3273</v>
      </c>
      <c r="G92" s="2309" t="s">
        <v>3274</v>
      </c>
      <c r="H92" s="3089" t="s">
        <v>3277</v>
      </c>
      <c r="I92" s="2309" t="s">
        <v>3278</v>
      </c>
      <c r="J92" s="2149" t="s">
        <v>3279</v>
      </c>
      <c r="K92" s="2149" t="s">
        <v>3280</v>
      </c>
      <c r="L92" s="2149" t="s">
        <v>3281</v>
      </c>
      <c r="M92" s="2149" t="s">
        <v>3282</v>
      </c>
      <c r="N92" s="2149" t="s">
        <v>3283</v>
      </c>
    </row>
    <row r="93" spans="1:37" ht="24">
      <c r="A93" s="3070" t="s">
        <v>3262</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3263</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3259</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3264</v>
      </c>
      <c r="B96" s="3086" t="s">
        <v>3275</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3265</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3266</v>
      </c>
      <c r="B98" s="3087" t="s">
        <v>3276</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3267</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3268</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3269</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81" t="s">
        <v>3284</v>
      </c>
      <c r="B103" s="3481"/>
      <c r="C103" s="3481"/>
      <c r="D103" s="3481"/>
      <c r="E103" s="3481"/>
      <c r="F103" s="3481"/>
      <c r="G103" s="3481"/>
      <c r="H103" s="3481"/>
      <c r="I103" s="3481"/>
      <c r="J103" s="3481"/>
      <c r="K103" s="1666"/>
      <c r="L103" s="1666"/>
      <c r="M103" s="1666"/>
      <c r="N103" s="1666"/>
    </row>
    <row r="104" spans="1:14">
      <c r="A104" s="3482" t="s">
        <v>3285</v>
      </c>
      <c r="B104" s="3482" t="s">
        <v>3286</v>
      </c>
      <c r="C104" s="3090" t="s">
        <v>3287</v>
      </c>
      <c r="D104" s="3091"/>
      <c r="E104" s="3091"/>
      <c r="F104" s="3091"/>
      <c r="G104" s="3091"/>
      <c r="H104" s="3091"/>
      <c r="I104" s="3091"/>
      <c r="J104" s="3092"/>
      <c r="K104" s="3093"/>
      <c r="L104" s="3093"/>
      <c r="M104" s="3093"/>
      <c r="N104" s="3093"/>
    </row>
    <row r="105" spans="1:14">
      <c r="A105" s="3482"/>
      <c r="B105" s="3482"/>
      <c r="C105" s="3094" t="s">
        <v>3288</v>
      </c>
      <c r="D105" s="3094" t="s">
        <v>3289</v>
      </c>
      <c r="E105" s="3094" t="s">
        <v>3290</v>
      </c>
      <c r="F105" s="3094" t="s">
        <v>3291</v>
      </c>
      <c r="G105" s="3094" t="s">
        <v>3292</v>
      </c>
      <c r="H105" s="3094" t="s">
        <v>3293</v>
      </c>
      <c r="I105" s="3094" t="s">
        <v>3294</v>
      </c>
      <c r="J105" s="3094" t="s">
        <v>3295</v>
      </c>
      <c r="K105" s="3094" t="s">
        <v>3296</v>
      </c>
      <c r="L105" s="3094" t="s">
        <v>3297</v>
      </c>
      <c r="M105" s="3094" t="s">
        <v>3298</v>
      </c>
      <c r="N105" s="3094" t="s">
        <v>3299</v>
      </c>
    </row>
    <row r="106" spans="1:14">
      <c r="A106" s="3468" t="s">
        <v>3300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9"/>
      <c r="B111" s="3094" t="s">
        <v>3258</v>
      </c>
      <c r="C111" s="3095">
        <f>$I$3</f>
        <v>2</v>
      </c>
      <c r="D111" s="3095">
        <f t="shared" ref="D111:M111" si="33">$I$3</f>
        <v>2</v>
      </c>
      <c r="E111" s="3095">
        <f t="shared" si="33"/>
        <v>2</v>
      </c>
      <c r="F111" s="3095">
        <f t="shared" si="33"/>
        <v>2</v>
      </c>
      <c r="G111" s="3095">
        <f t="shared" si="33"/>
        <v>2</v>
      </c>
      <c r="H111" s="3095">
        <f t="shared" si="33"/>
        <v>2</v>
      </c>
      <c r="I111" s="3095">
        <f t="shared" si="33"/>
        <v>2</v>
      </c>
      <c r="J111" s="3095">
        <f t="shared" si="33"/>
        <v>2</v>
      </c>
      <c r="K111" s="3095">
        <f t="shared" si="33"/>
        <v>2</v>
      </c>
      <c r="L111" s="3095">
        <f t="shared" si="33"/>
        <v>2</v>
      </c>
      <c r="M111" s="3095">
        <f t="shared" si="33"/>
        <v>2</v>
      </c>
      <c r="N111" s="3095">
        <f>$I$3</f>
        <v>2</v>
      </c>
    </row>
    <row r="112" spans="1:14">
      <c r="A112" s="3470"/>
      <c r="B112" s="3094">
        <v>6</v>
      </c>
      <c r="C112" s="3089">
        <f>(-0.5556*(C111^2)-0.2719*C111+8944)*(10^(-4))</f>
        <v>0.89412338000000002</v>
      </c>
      <c r="D112" s="3089">
        <f>(-0.5556*(D111^2)-0.2719*D111+8944)*(10^(-4))</f>
        <v>0.89412338000000002</v>
      </c>
      <c r="E112" s="3089">
        <f>(-0.7912*(E111^2)-11.3794*E111+8482)*(10^(-4))</f>
        <v>0.84560763999999999</v>
      </c>
      <c r="F112" s="3089">
        <f t="shared" ref="F112:I112" si="34">(-0.7912*(F111^2)-11.3794*F111+8482)*(10^(-4))</f>
        <v>0.84560763999999999</v>
      </c>
      <c r="G112" s="3089">
        <f t="shared" si="34"/>
        <v>0.84560763999999999</v>
      </c>
      <c r="H112" s="3089">
        <f t="shared" si="34"/>
        <v>0.84560763999999999</v>
      </c>
      <c r="I112" s="3089">
        <f t="shared" si="34"/>
        <v>0.84560763999999999</v>
      </c>
      <c r="J112" s="3089">
        <f>(-0.989*(J111^2)-63.78*J111+7771)*(10^(-4))</f>
        <v>0.76394840000000008</v>
      </c>
      <c r="K112" s="3089">
        <f t="shared" ref="K112:N112" si="35">(-0.989*(K111^2)-63.78*K111+7771)*(10^(-4))</f>
        <v>0.76394840000000008</v>
      </c>
      <c r="L112" s="3089">
        <f t="shared" si="35"/>
        <v>0.76394840000000008</v>
      </c>
      <c r="M112" s="3089">
        <f t="shared" si="35"/>
        <v>0.76394840000000008</v>
      </c>
      <c r="N112" s="3089">
        <f t="shared" si="35"/>
        <v>0.76394840000000008</v>
      </c>
    </row>
    <row r="113" spans="1:14">
      <c r="A113" s="3471" t="s">
        <v>3301</v>
      </c>
      <c r="B113" s="3471"/>
      <c r="C113" s="3471"/>
      <c r="D113" s="3471"/>
      <c r="E113" s="3471"/>
      <c r="F113" s="3471"/>
      <c r="G113" s="3471"/>
      <c r="H113" s="3471"/>
      <c r="I113" s="3471"/>
      <c r="J113" s="3471"/>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3302</v>
      </c>
      <c r="B116" s="3114">
        <f>G3</f>
        <v>2.5</v>
      </c>
      <c r="C116" s="3099" t="s">
        <v>3303</v>
      </c>
      <c r="D116" s="3100">
        <f>SUMPRODUCT((A118:A122=F116)*(B117:M117=H116)*B118:M122)</f>
        <v>0.91400000000000003</v>
      </c>
      <c r="E116" s="162" t="s">
        <v>3304</v>
      </c>
      <c r="F116" s="3101" t="str">
        <f>E2</f>
        <v>商业</v>
      </c>
      <c r="G116" s="162" t="s">
        <v>3305</v>
      </c>
      <c r="H116" s="3101" t="str">
        <f>G2</f>
        <v>六级</v>
      </c>
      <c r="I116" s="162"/>
      <c r="J116" s="3102"/>
      <c r="K116" s="3102"/>
      <c r="L116" s="3102"/>
      <c r="M116" s="3102"/>
      <c r="N116" s="3097"/>
    </row>
    <row r="117" spans="1:14">
      <c r="A117" s="3103"/>
      <c r="B117" s="3104" t="s">
        <v>3306</v>
      </c>
      <c r="C117" s="3104" t="s">
        <v>3307</v>
      </c>
      <c r="D117" s="3104" t="s">
        <v>3308</v>
      </c>
      <c r="E117" s="3105" t="s">
        <v>3309</v>
      </c>
      <c r="F117" s="3105" t="s">
        <v>3310</v>
      </c>
      <c r="G117" s="3105" t="s">
        <v>3311</v>
      </c>
      <c r="H117" s="3106" t="s">
        <v>3312</v>
      </c>
      <c r="I117" s="3106" t="s">
        <v>3313</v>
      </c>
      <c r="J117" s="3107" t="s">
        <v>3314</v>
      </c>
      <c r="K117" s="3107" t="s">
        <v>3315</v>
      </c>
      <c r="L117" s="3107" t="s">
        <v>3316</v>
      </c>
      <c r="M117" s="3108" t="s">
        <v>3317</v>
      </c>
      <c r="N117" s="3097"/>
    </row>
    <row r="118" spans="1:14">
      <c r="A118" s="3057" t="s">
        <v>3318</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6">I118</f>
        <v>0.80359999999999998</v>
      </c>
      <c r="K118" s="3089">
        <f t="shared" si="36"/>
        <v>0.80359999999999998</v>
      </c>
      <c r="L118" s="3089">
        <f t="shared" si="36"/>
        <v>0.80359999999999998</v>
      </c>
      <c r="M118" s="3109">
        <f t="shared" si="36"/>
        <v>0.80359999999999998</v>
      </c>
      <c r="N118" s="3097"/>
    </row>
    <row r="119" spans="1:14">
      <c r="A119" s="3057" t="s">
        <v>3319</v>
      </c>
      <c r="B119" s="3089">
        <f>ROUND(0.993-0.0112*B116,4)</f>
        <v>0.96499999999999997</v>
      </c>
      <c r="C119" s="3089">
        <f>B119</f>
        <v>0.96499999999999997</v>
      </c>
      <c r="D119" s="3089">
        <f>ROUND(0.9415-0.0142*B116,4)</f>
        <v>0.90600000000000003</v>
      </c>
      <c r="E119" s="3089">
        <f t="shared" ref="E119:H120" si="37">D119</f>
        <v>0.90600000000000003</v>
      </c>
      <c r="F119" s="3089">
        <f t="shared" si="37"/>
        <v>0.90600000000000003</v>
      </c>
      <c r="G119" s="3089">
        <f t="shared" si="37"/>
        <v>0.90600000000000003</v>
      </c>
      <c r="H119" s="3089">
        <f t="shared" si="37"/>
        <v>0.90600000000000003</v>
      </c>
      <c r="I119" s="3089">
        <f>ROUND(0.838-0.0182*B116,4)</f>
        <v>0.79249999999999998</v>
      </c>
      <c r="J119" s="3089">
        <f t="shared" si="36"/>
        <v>0.79249999999999998</v>
      </c>
      <c r="K119" s="3089">
        <f t="shared" si="36"/>
        <v>0.79249999999999998</v>
      </c>
      <c r="L119" s="3089">
        <f t="shared" si="36"/>
        <v>0.79249999999999998</v>
      </c>
      <c r="M119" s="3109">
        <f t="shared" si="36"/>
        <v>0.79249999999999998</v>
      </c>
      <c r="N119" s="3097"/>
    </row>
    <row r="120" spans="1:14">
      <c r="A120" s="3057" t="s">
        <v>3320</v>
      </c>
      <c r="B120" s="3089">
        <f>ROUND(0.9448-0.0115*B116,4)</f>
        <v>0.91610000000000003</v>
      </c>
      <c r="C120" s="3089">
        <f>B120</f>
        <v>0.91610000000000003</v>
      </c>
      <c r="D120" s="3089">
        <f>ROUND(0.937-0.0145*B116,4)</f>
        <v>0.90080000000000005</v>
      </c>
      <c r="E120" s="3089">
        <f t="shared" si="37"/>
        <v>0.90080000000000005</v>
      </c>
      <c r="F120" s="3089">
        <f t="shared" si="37"/>
        <v>0.90080000000000005</v>
      </c>
      <c r="G120" s="3089">
        <f t="shared" si="37"/>
        <v>0.90080000000000005</v>
      </c>
      <c r="H120" s="3089">
        <f t="shared" si="37"/>
        <v>0.90080000000000005</v>
      </c>
      <c r="I120" s="3089">
        <f>ROUND(0.7965-0.0185*B116,4)</f>
        <v>0.75029999999999997</v>
      </c>
      <c r="J120" s="3089">
        <f t="shared" si="36"/>
        <v>0.75029999999999997</v>
      </c>
      <c r="K120" s="3089">
        <f t="shared" si="36"/>
        <v>0.75029999999999997</v>
      </c>
      <c r="L120" s="3089">
        <f t="shared" si="36"/>
        <v>0.75029999999999997</v>
      </c>
      <c r="M120" s="3109">
        <f t="shared" si="36"/>
        <v>0.75029999999999997</v>
      </c>
      <c r="N120" s="3097"/>
    </row>
    <row r="121" spans="1:14" ht="13.5" thickBot="1">
      <c r="A121" s="3110" t="s">
        <v>3321</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6"/>
        <v>0.54300000000000004</v>
      </c>
      <c r="K121" s="3111">
        <f t="shared" si="36"/>
        <v>0.54300000000000004</v>
      </c>
      <c r="L121" s="3111">
        <f t="shared" si="36"/>
        <v>0.54300000000000004</v>
      </c>
      <c r="M121" s="3112">
        <f t="shared" si="36"/>
        <v>0.54300000000000004</v>
      </c>
      <c r="N121" s="3097"/>
    </row>
    <row r="122" spans="1:14">
      <c r="A122" s="3113" t="s">
        <v>2603</v>
      </c>
      <c r="B122" s="3089">
        <f>ROUND(0.9404-0.0106*B116,4)</f>
        <v>0.91390000000000005</v>
      </c>
      <c r="C122" s="3089">
        <f>B122</f>
        <v>0.91390000000000005</v>
      </c>
      <c r="D122" s="3089">
        <f>ROUND(0.8955-0.0135*B116,4)</f>
        <v>0.86180000000000001</v>
      </c>
      <c r="E122" s="3089">
        <f t="shared" ref="E122:H122" si="38">D122</f>
        <v>0.86180000000000001</v>
      </c>
      <c r="F122" s="3089">
        <f t="shared" si="38"/>
        <v>0.86180000000000001</v>
      </c>
      <c r="G122" s="3089">
        <f t="shared" si="38"/>
        <v>0.86180000000000001</v>
      </c>
      <c r="H122" s="3089">
        <f t="shared" si="38"/>
        <v>0.86180000000000001</v>
      </c>
      <c r="I122" s="3089">
        <f>ROUND(0.7632-0.0166*B116,4)</f>
        <v>0.72170000000000001</v>
      </c>
      <c r="J122" s="3089">
        <f t="shared" si="36"/>
        <v>0.72170000000000001</v>
      </c>
      <c r="K122" s="3089">
        <f t="shared" si="36"/>
        <v>0.72170000000000001</v>
      </c>
      <c r="L122" s="3089">
        <f t="shared" si="36"/>
        <v>0.72170000000000001</v>
      </c>
      <c r="M122" s="3109">
        <f t="shared" si="36"/>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H14"/>
  <sheetViews>
    <sheetView workbookViewId="0">
      <selection activeCell="H15" sqref="H15"/>
    </sheetView>
  </sheetViews>
  <sheetFormatPr defaultRowHeight="13.5"/>
  <cols>
    <col min="1" max="1" width="9" style="2813"/>
    <col min="2" max="2" width="13" style="2813" bestFit="1" customWidth="1"/>
    <col min="3" max="3" width="11" style="2813" bestFit="1" customWidth="1"/>
    <col min="4" max="4" width="11" style="2813" customWidth="1"/>
    <col min="5" max="6" width="9" style="2813"/>
    <col min="7" max="7" width="11" style="2813" bestFit="1" customWidth="1"/>
    <col min="8" max="16384" width="9" style="2813"/>
  </cols>
  <sheetData>
    <row r="1" spans="2:8">
      <c r="B1" s="1428" t="s">
        <v>3473</v>
      </c>
      <c r="C1" s="1428" t="s">
        <v>3381</v>
      </c>
      <c r="D1" s="1420"/>
      <c r="F1" s="1428" t="s">
        <v>3475</v>
      </c>
      <c r="G1" s="1428" t="s">
        <v>3381</v>
      </c>
    </row>
    <row r="2" spans="2:8">
      <c r="B2" s="1428"/>
      <c r="C2" s="1428">
        <v>190</v>
      </c>
      <c r="D2" s="1420"/>
      <c r="F2" s="1428"/>
      <c r="G2" s="3175">
        <f>'数据-汇总表'!E3-租约!C2</f>
        <v>65.78</v>
      </c>
    </row>
    <row r="3" spans="2:8">
      <c r="B3" s="1428"/>
      <c r="C3" s="1428"/>
      <c r="D3" s="1420"/>
      <c r="F3" s="1428"/>
      <c r="G3" s="3175"/>
    </row>
    <row r="4" spans="2:8">
      <c r="B4" s="1428" t="s">
        <v>3474</v>
      </c>
      <c r="C4" s="1428" t="s">
        <v>3476</v>
      </c>
      <c r="D4" s="1420"/>
      <c r="F4" s="1428" t="s">
        <v>3474</v>
      </c>
      <c r="G4" s="1428" t="s">
        <v>3476</v>
      </c>
    </row>
    <row r="5" spans="2:8">
      <c r="B5" s="3175">
        <v>2021</v>
      </c>
      <c r="C5" s="3175">
        <v>38</v>
      </c>
      <c r="D5" s="2813">
        <f>ROUND(C5/365/$C$2*10000,2)</f>
        <v>5.48</v>
      </c>
      <c r="F5" s="3175"/>
      <c r="G5" s="3175">
        <v>29</v>
      </c>
      <c r="H5" s="2813">
        <f>ROUND(G5/365/$G$2*10000,2)</f>
        <v>12.08</v>
      </c>
    </row>
    <row r="6" spans="2:8">
      <c r="B6" s="3175">
        <v>2022</v>
      </c>
      <c r="C6" s="3175">
        <v>38</v>
      </c>
      <c r="D6" s="2813">
        <f t="shared" ref="D6:D14" si="0">ROUND(C6/365/$C$2*10000,2)</f>
        <v>5.48</v>
      </c>
    </row>
    <row r="7" spans="2:8">
      <c r="B7" s="3175">
        <v>2023</v>
      </c>
      <c r="C7" s="3175">
        <f>C6+1</f>
        <v>39</v>
      </c>
      <c r="D7" s="2813">
        <f t="shared" si="0"/>
        <v>5.62</v>
      </c>
    </row>
    <row r="8" spans="2:8">
      <c r="B8" s="3175">
        <v>2024</v>
      </c>
      <c r="C8" s="3175">
        <f t="shared" ref="C8:C11" si="1">C7+1</f>
        <v>40</v>
      </c>
      <c r="D8" s="2813">
        <f t="shared" si="0"/>
        <v>5.77</v>
      </c>
    </row>
    <row r="9" spans="2:8">
      <c r="B9" s="3176">
        <v>2025</v>
      </c>
      <c r="C9" s="3176">
        <f t="shared" si="1"/>
        <v>41</v>
      </c>
      <c r="D9" s="3177">
        <f t="shared" si="0"/>
        <v>5.91</v>
      </c>
    </row>
    <row r="10" spans="2:8">
      <c r="B10" s="3175">
        <v>2026</v>
      </c>
      <c r="C10" s="3175">
        <f t="shared" si="1"/>
        <v>42</v>
      </c>
      <c r="D10" s="2813">
        <f t="shared" si="0"/>
        <v>6.06</v>
      </c>
    </row>
    <row r="11" spans="2:8">
      <c r="B11" s="3175">
        <v>2027</v>
      </c>
      <c r="C11" s="3175">
        <f t="shared" si="1"/>
        <v>43</v>
      </c>
      <c r="D11" s="2813">
        <f t="shared" si="0"/>
        <v>6.2</v>
      </c>
    </row>
    <row r="12" spans="2:8">
      <c r="B12" s="3175">
        <v>2028</v>
      </c>
      <c r="C12" s="3175">
        <v>43</v>
      </c>
      <c r="D12" s="2813">
        <f t="shared" si="0"/>
        <v>6.2</v>
      </c>
    </row>
    <row r="13" spans="2:8">
      <c r="B13" s="3175">
        <v>2029</v>
      </c>
      <c r="C13" s="3175">
        <v>43</v>
      </c>
      <c r="D13" s="2813">
        <f t="shared" si="0"/>
        <v>6.2</v>
      </c>
    </row>
    <row r="14" spans="2:8">
      <c r="B14" s="3175">
        <v>2030</v>
      </c>
      <c r="C14" s="3175">
        <v>43</v>
      </c>
      <c r="D14" s="2813">
        <f t="shared" si="0"/>
        <v>6.2</v>
      </c>
    </row>
  </sheetData>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election activeCell="P18" sqref="P18"/>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0"/>
      <c r="B4" s="3184" t="s">
        <v>917</v>
      </c>
      <c r="C4" s="3184"/>
      <c r="D4" s="3184"/>
      <c r="E4" s="1390"/>
    </row>
    <row r="5" spans="1:5" ht="16.5" thickTop="1">
      <c r="B5" s="3182" t="s">
        <v>909</v>
      </c>
      <c r="C5" s="1391" t="s">
        <v>910</v>
      </c>
      <c r="D5" s="796" t="e">
        <f ca="1">结果表!H101</f>
        <v>#REF!</v>
      </c>
    </row>
    <row r="6" spans="1:5" ht="15.75">
      <c r="B6" s="3182"/>
      <c r="C6" s="1391" t="s">
        <v>911</v>
      </c>
      <c r="D6" s="796" t="e">
        <f ca="1">NUMBERSTRING(INT(D5*10000),2)&amp;"元整"</f>
        <v>#REF!</v>
      </c>
    </row>
    <row r="7" spans="1:5" ht="15.75">
      <c r="B7" s="3187"/>
      <c r="C7" s="1392" t="s">
        <v>912</v>
      </c>
      <c r="D7" s="797" t="e">
        <f ca="1">结果表!H102</f>
        <v>#REF!</v>
      </c>
    </row>
    <row r="8" spans="1:5" ht="15.75">
      <c r="B8" s="3188" t="str">
        <f>结果表!E103</f>
        <v>2.估价师知悉的法定优先受偿款</v>
      </c>
      <c r="C8" s="1393" t="s">
        <v>913</v>
      </c>
      <c r="D8" s="797">
        <f>结果表!H103</f>
        <v>0</v>
      </c>
    </row>
    <row r="9" spans="1:5" ht="15.75">
      <c r="B9" s="3190"/>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1" t="str">
        <f>结果表!E107</f>
        <v>3.房地产抵押价值</v>
      </c>
      <c r="C13" s="1396" t="s">
        <v>910</v>
      </c>
      <c r="D13" s="799" t="e">
        <f ca="1">结果表!H107</f>
        <v>#REF!</v>
      </c>
    </row>
    <row r="14" spans="1:5" ht="15.75">
      <c r="B14" s="3182"/>
      <c r="C14" s="1391" t="s">
        <v>911</v>
      </c>
      <c r="D14" s="796" t="e">
        <f ca="1">NUMBERSTRING(INT(D13*10000),2)&amp;"元整"</f>
        <v>#REF!</v>
      </c>
    </row>
    <row r="15" spans="1:5" ht="15">
      <c r="B15" s="3187"/>
      <c r="C15" s="1392" t="s">
        <v>921</v>
      </c>
      <c r="D15" s="805" t="e">
        <f ca="1">结果表!H108</f>
        <v>#REF!</v>
      </c>
    </row>
    <row r="16" spans="1:5" ht="15">
      <c r="B16" s="3188" t="str">
        <f>结果表!E109</f>
        <v>——</v>
      </c>
      <c r="C16" s="1396" t="s">
        <v>922</v>
      </c>
      <c r="D16" s="1397" t="str">
        <f>结果表!H109</f>
        <v>——</v>
      </c>
    </row>
    <row r="17" spans="1:5" ht="15.75">
      <c r="B17" s="3189"/>
      <c r="C17" s="1391" t="s">
        <v>923</v>
      </c>
      <c r="D17" s="796" t="e">
        <f>NUMBERSTRING(INT(D16*10000),2)&amp;"元整"</f>
        <v>#VALUE!</v>
      </c>
    </row>
    <row r="18" spans="1:5" ht="15">
      <c r="B18" s="3190"/>
      <c r="C18" s="1392" t="s">
        <v>912</v>
      </c>
      <c r="D18" s="805" t="str">
        <f>结果表!H110</f>
        <v>——</v>
      </c>
    </row>
    <row r="19" spans="1:5" ht="15.75">
      <c r="B19" s="3181" t="str">
        <f>结果表!E111</f>
        <v>——</v>
      </c>
      <c r="C19" s="1396" t="s">
        <v>910</v>
      </c>
      <c r="D19" s="797" t="str">
        <f>结果表!H111</f>
        <v>——</v>
      </c>
    </row>
    <row r="20" spans="1:5" ht="15.75">
      <c r="B20" s="3182"/>
      <c r="C20" s="1391" t="s">
        <v>923</v>
      </c>
      <c r="D20" s="796" t="e">
        <f>NUMBERSTRING(INT(D19*10000),2)&amp;"元整"</f>
        <v>#VALUE!</v>
      </c>
    </row>
    <row r="21" spans="1:5" ht="15.75" thickBot="1">
      <c r="B21" s="3183"/>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election activeCell="M19" sqref="M19"/>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496" t="s">
        <v>2598</v>
      </c>
      <c r="B20" s="3491" t="s">
        <v>2619</v>
      </c>
      <c r="C20" s="2842" t="s">
        <v>2430</v>
      </c>
      <c r="D20" s="2843"/>
      <c r="E20" s="2844">
        <v>1</v>
      </c>
      <c r="F20" s="2845" t="s">
        <v>2431</v>
      </c>
      <c r="G20" s="2845"/>
    </row>
    <row r="21" spans="1:13" ht="19.5" customHeight="1">
      <c r="A21" s="3497"/>
      <c r="B21" s="3490"/>
      <c r="C21" s="2846" t="s">
        <v>2432</v>
      </c>
      <c r="D21" s="2847"/>
      <c r="E21" s="2848">
        <v>1</v>
      </c>
      <c r="F21" s="2845" t="s">
        <v>2433</v>
      </c>
      <c r="G21" s="2845"/>
    </row>
    <row r="22" spans="1:13" ht="19.5" customHeight="1">
      <c r="A22" s="3497"/>
      <c r="B22" s="3490"/>
      <c r="C22" s="2846" t="s">
        <v>2434</v>
      </c>
      <c r="D22" s="2847"/>
      <c r="E22" s="2848">
        <v>0.9</v>
      </c>
      <c r="F22" s="2845" t="s">
        <v>2435</v>
      </c>
      <c r="G22" s="2845"/>
    </row>
    <row r="23" spans="1:13" ht="19.5" customHeight="1">
      <c r="A23" s="3497"/>
      <c r="B23" s="3490"/>
      <c r="C23" s="2846" t="s">
        <v>2436</v>
      </c>
      <c r="D23" s="2847"/>
      <c r="E23" s="2848">
        <v>0.9</v>
      </c>
      <c r="F23" s="2845" t="s">
        <v>2437</v>
      </c>
      <c r="G23" s="2845"/>
    </row>
    <row r="24" spans="1:13" ht="19.5" customHeight="1">
      <c r="A24" s="3497"/>
      <c r="B24" s="3490"/>
      <c r="C24" s="2846" t="s">
        <v>2438</v>
      </c>
      <c r="D24" s="2847"/>
      <c r="E24" s="2848">
        <v>0.8</v>
      </c>
      <c r="F24" s="2845" t="s">
        <v>2439</v>
      </c>
      <c r="G24" s="2845"/>
    </row>
    <row r="25" spans="1:13" ht="19.5" customHeight="1" thickBot="1">
      <c r="A25" s="3498"/>
      <c r="B25" s="3492"/>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493" t="s">
        <v>2622</v>
      </c>
      <c r="B27" s="3491" t="s">
        <v>2603</v>
      </c>
      <c r="C27" s="2842" t="s">
        <v>2443</v>
      </c>
      <c r="D27" s="2843"/>
      <c r="E27" s="2844">
        <v>1</v>
      </c>
      <c r="F27" s="2845" t="s">
        <v>2444</v>
      </c>
      <c r="G27" s="2845"/>
    </row>
    <row r="28" spans="1:13" ht="19.5" customHeight="1">
      <c r="A28" s="3494"/>
      <c r="B28" s="3490"/>
      <c r="C28" s="2846" t="s">
        <v>2445</v>
      </c>
      <c r="D28" s="2847"/>
      <c r="E28" s="2848">
        <v>1</v>
      </c>
      <c r="F28" s="2845" t="s">
        <v>2446</v>
      </c>
      <c r="G28" s="2845"/>
    </row>
    <row r="29" spans="1:13" ht="19.5" customHeight="1">
      <c r="A29" s="3494"/>
      <c r="B29" s="3490"/>
      <c r="C29" s="2846" t="s">
        <v>2447</v>
      </c>
      <c r="D29" s="2847"/>
      <c r="E29" s="2848">
        <v>0.8</v>
      </c>
      <c r="F29" s="2845" t="s">
        <v>2448</v>
      </c>
      <c r="G29" s="2845"/>
    </row>
    <row r="30" spans="1:13" ht="19.5" customHeight="1">
      <c r="A30" s="3494"/>
      <c r="B30" s="3490"/>
      <c r="C30" s="2846" t="s">
        <v>2449</v>
      </c>
      <c r="D30" s="2847"/>
      <c r="E30" s="2848">
        <v>0.8</v>
      </c>
      <c r="F30" s="2845" t="s">
        <v>2450</v>
      </c>
      <c r="G30" s="2845"/>
    </row>
    <row r="31" spans="1:13" ht="19.5" customHeight="1">
      <c r="A31" s="3494"/>
      <c r="B31" s="3490"/>
      <c r="C31" s="2846" t="s">
        <v>2451</v>
      </c>
      <c r="D31" s="2847"/>
      <c r="E31" s="2848">
        <v>0.8</v>
      </c>
      <c r="F31" s="2845" t="s">
        <v>2452</v>
      </c>
      <c r="G31" s="2845"/>
    </row>
    <row r="32" spans="1:13" ht="19.5" customHeight="1">
      <c r="A32" s="3494"/>
      <c r="B32" s="3490"/>
      <c r="C32" s="2846" t="s">
        <v>2453</v>
      </c>
      <c r="D32" s="2847"/>
      <c r="E32" s="2848">
        <v>0.7</v>
      </c>
      <c r="F32" s="2845" t="s">
        <v>2454</v>
      </c>
      <c r="G32" s="2845"/>
    </row>
    <row r="33" spans="1:7" ht="19.5" customHeight="1">
      <c r="A33" s="3494"/>
      <c r="B33" s="3490"/>
      <c r="C33" s="2846" t="s">
        <v>2455</v>
      </c>
      <c r="D33" s="2847"/>
      <c r="E33" s="2848">
        <v>0.8</v>
      </c>
      <c r="F33" s="2845" t="s">
        <v>2456</v>
      </c>
      <c r="G33" s="2845"/>
    </row>
    <row r="34" spans="1:7" ht="19.5" customHeight="1">
      <c r="A34" s="3494"/>
      <c r="B34" s="3490"/>
      <c r="C34" s="2846" t="s">
        <v>2457</v>
      </c>
      <c r="D34" s="2847"/>
      <c r="E34" s="2848">
        <v>0.6</v>
      </c>
      <c r="F34" s="2845" t="s">
        <v>2458</v>
      </c>
      <c r="G34" s="2845"/>
    </row>
    <row r="35" spans="1:7" ht="19.5" customHeight="1">
      <c r="A35" s="3494"/>
      <c r="B35" s="3490"/>
      <c r="C35" s="2846" t="s">
        <v>2459</v>
      </c>
      <c r="D35" s="2847"/>
      <c r="E35" s="2848">
        <v>0.2</v>
      </c>
      <c r="F35" s="2845" t="s">
        <v>2460</v>
      </c>
      <c r="G35" s="2845"/>
    </row>
    <row r="36" spans="1:7" ht="19.5" customHeight="1">
      <c r="A36" s="3494"/>
      <c r="B36" s="3490"/>
      <c r="C36" s="2846" t="s">
        <v>2461</v>
      </c>
      <c r="D36" s="2847"/>
      <c r="E36" s="2848">
        <v>0.2</v>
      </c>
      <c r="F36" s="2845" t="s">
        <v>2462</v>
      </c>
      <c r="G36" s="2845"/>
    </row>
    <row r="37" spans="1:7" ht="19.5" customHeight="1">
      <c r="A37" s="3494"/>
      <c r="B37" s="3488" t="s">
        <v>2623</v>
      </c>
      <c r="C37" s="2846" t="s">
        <v>2463</v>
      </c>
      <c r="D37" s="2847"/>
      <c r="E37" s="2848">
        <v>0.6</v>
      </c>
      <c r="F37" s="2845" t="s">
        <v>2464</v>
      </c>
      <c r="G37" s="2845"/>
    </row>
    <row r="38" spans="1:7" ht="19.5" customHeight="1">
      <c r="A38" s="3494"/>
      <c r="B38" s="3490"/>
      <c r="C38" s="2846" t="s">
        <v>2465</v>
      </c>
      <c r="D38" s="2847"/>
      <c r="E38" s="2848">
        <v>0.6</v>
      </c>
      <c r="F38" s="2845" t="s">
        <v>2466</v>
      </c>
      <c r="G38" s="2845"/>
    </row>
    <row r="39" spans="1:7" ht="19.5" customHeight="1" thickBot="1">
      <c r="A39" s="3495"/>
      <c r="B39" s="3492"/>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496" t="s">
        <v>2601</v>
      </c>
      <c r="B41" s="3491" t="s">
        <v>2625</v>
      </c>
      <c r="C41" s="2842" t="s">
        <v>2470</v>
      </c>
      <c r="D41" s="2843"/>
      <c r="E41" s="2844">
        <v>1</v>
      </c>
      <c r="F41" s="2845" t="s">
        <v>2471</v>
      </c>
      <c r="G41" s="2845"/>
    </row>
    <row r="42" spans="1:7" ht="19.5" customHeight="1">
      <c r="A42" s="3497"/>
      <c r="B42" s="3490"/>
      <c r="C42" s="2846" t="s">
        <v>2472</v>
      </c>
      <c r="D42" s="2847"/>
      <c r="E42" s="2848">
        <v>1</v>
      </c>
      <c r="F42" s="2845" t="s">
        <v>2473</v>
      </c>
      <c r="G42" s="2845"/>
    </row>
    <row r="43" spans="1:7" ht="19.5" customHeight="1">
      <c r="A43" s="3497"/>
      <c r="B43" s="3489"/>
      <c r="C43" s="2846" t="s">
        <v>2474</v>
      </c>
      <c r="D43" s="2847"/>
      <c r="E43" s="2848">
        <v>1.5</v>
      </c>
      <c r="F43" s="2845" t="s">
        <v>2475</v>
      </c>
      <c r="G43" s="2845"/>
    </row>
    <row r="44" spans="1:7" ht="19.5" customHeight="1">
      <c r="A44" s="3497"/>
      <c r="B44" s="2857" t="s">
        <v>2626</v>
      </c>
      <c r="C44" s="2846" t="s">
        <v>2627</v>
      </c>
      <c r="D44" s="2847"/>
      <c r="E44" s="2848">
        <v>2</v>
      </c>
      <c r="F44" s="2845" t="s">
        <v>2476</v>
      </c>
      <c r="G44" s="2845"/>
    </row>
    <row r="45" spans="1:7" ht="19.5" customHeight="1">
      <c r="A45" s="3497"/>
      <c r="B45" s="3488" t="s">
        <v>2628</v>
      </c>
      <c r="C45" s="2846" t="s">
        <v>2477</v>
      </c>
      <c r="D45" s="2847"/>
      <c r="E45" s="2848">
        <v>1</v>
      </c>
      <c r="F45" s="2845" t="s">
        <v>2478</v>
      </c>
      <c r="G45" s="2845"/>
    </row>
    <row r="46" spans="1:7" ht="19.5" customHeight="1">
      <c r="A46" s="3497"/>
      <c r="B46" s="3490"/>
      <c r="C46" s="2846" t="s">
        <v>2479</v>
      </c>
      <c r="D46" s="2847"/>
      <c r="E46" s="2848">
        <v>1</v>
      </c>
      <c r="F46" s="2845" t="s">
        <v>2480</v>
      </c>
      <c r="G46" s="2845"/>
    </row>
    <row r="47" spans="1:7" ht="19.5" customHeight="1">
      <c r="A47" s="3497"/>
      <c r="B47" s="3490"/>
      <c r="C47" s="2846" t="s">
        <v>2481</v>
      </c>
      <c r="D47" s="2847"/>
      <c r="E47" s="2848">
        <v>1</v>
      </c>
      <c r="F47" s="2845" t="s">
        <v>2482</v>
      </c>
      <c r="G47" s="2845"/>
    </row>
    <row r="48" spans="1:7" ht="19.5" customHeight="1">
      <c r="A48" s="3497"/>
      <c r="B48" s="3490"/>
      <c r="C48" s="2846" t="s">
        <v>2483</v>
      </c>
      <c r="D48" s="2847"/>
      <c r="E48" s="2848">
        <v>1</v>
      </c>
      <c r="F48" s="2845" t="s">
        <v>2484</v>
      </c>
      <c r="G48" s="2845"/>
    </row>
    <row r="49" spans="1:7" ht="19.5" customHeight="1">
      <c r="A49" s="3497"/>
      <c r="B49" s="3490"/>
      <c r="C49" s="2846" t="s">
        <v>2485</v>
      </c>
      <c r="D49" s="2847"/>
      <c r="E49" s="2848">
        <v>1</v>
      </c>
      <c r="F49" s="2845" t="s">
        <v>2486</v>
      </c>
      <c r="G49" s="2845"/>
    </row>
    <row r="50" spans="1:7" ht="19.5" customHeight="1">
      <c r="A50" s="3497"/>
      <c r="B50" s="3490"/>
      <c r="C50" s="2846" t="s">
        <v>2487</v>
      </c>
      <c r="D50" s="2847"/>
      <c r="E50" s="2848">
        <v>1</v>
      </c>
      <c r="F50" s="2845" t="s">
        <v>2488</v>
      </c>
      <c r="G50" s="2845"/>
    </row>
    <row r="51" spans="1:7" ht="19.5" customHeight="1" thickBot="1">
      <c r="A51" s="3498"/>
      <c r="B51" s="3492"/>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488" t="s">
        <v>2642</v>
      </c>
      <c r="C73" s="2831" t="s">
        <v>2643</v>
      </c>
      <c r="D73" s="2831" t="s">
        <v>2644</v>
      </c>
      <c r="E73" s="2857">
        <v>0.2</v>
      </c>
      <c r="F73" s="2857">
        <v>25</v>
      </c>
    </row>
    <row r="74" spans="1:7" ht="24">
      <c r="A74" s="2857">
        <v>2</v>
      </c>
      <c r="B74" s="3490"/>
      <c r="C74" s="2831" t="s">
        <v>2645</v>
      </c>
      <c r="D74" s="2831" t="s">
        <v>2646</v>
      </c>
      <c r="E74" s="2857">
        <v>0.2</v>
      </c>
      <c r="F74" s="2857">
        <v>25</v>
      </c>
    </row>
    <row r="75" spans="1:7" ht="24">
      <c r="A75" s="2857">
        <v>3</v>
      </c>
      <c r="B75" s="3490"/>
      <c r="C75" s="2831" t="s">
        <v>2647</v>
      </c>
      <c r="D75" s="2831" t="s">
        <v>2648</v>
      </c>
      <c r="E75" s="2857">
        <v>0.2</v>
      </c>
      <c r="F75" s="2857">
        <v>25</v>
      </c>
    </row>
    <row r="76" spans="1:7" ht="13.5">
      <c r="A76" s="2857">
        <v>4</v>
      </c>
      <c r="B76" s="3490"/>
      <c r="C76" s="2831" t="s">
        <v>2649</v>
      </c>
      <c r="D76" s="2831" t="s">
        <v>2650</v>
      </c>
      <c r="E76" s="2857">
        <v>0.15</v>
      </c>
      <c r="F76" s="2857">
        <v>20</v>
      </c>
    </row>
    <row r="77" spans="1:7" ht="24">
      <c r="A77" s="2857">
        <v>5</v>
      </c>
      <c r="B77" s="3490"/>
      <c r="C77" s="2831" t="s">
        <v>2651</v>
      </c>
      <c r="D77" s="2831" t="s">
        <v>2652</v>
      </c>
      <c r="E77" s="2857">
        <v>0.15</v>
      </c>
      <c r="F77" s="2857">
        <v>20</v>
      </c>
    </row>
    <row r="78" spans="1:7" ht="24">
      <c r="A78" s="2857">
        <v>6</v>
      </c>
      <c r="B78" s="3490"/>
      <c r="C78" s="2831" t="s">
        <v>2653</v>
      </c>
      <c r="D78" s="2831" t="s">
        <v>2654</v>
      </c>
      <c r="E78" s="2857">
        <v>0.15</v>
      </c>
      <c r="F78" s="2857">
        <v>20</v>
      </c>
    </row>
    <row r="79" spans="1:7" ht="24">
      <c r="A79" s="2857">
        <v>7</v>
      </c>
      <c r="B79" s="3490"/>
      <c r="C79" s="2831" t="s">
        <v>2655</v>
      </c>
      <c r="D79" s="2831" t="s">
        <v>2656</v>
      </c>
      <c r="E79" s="2857">
        <v>0.15</v>
      </c>
      <c r="F79" s="2857">
        <v>20</v>
      </c>
    </row>
    <row r="80" spans="1:7" ht="24">
      <c r="A80" s="2857">
        <v>8</v>
      </c>
      <c r="B80" s="3490"/>
      <c r="C80" s="2831" t="s">
        <v>2657</v>
      </c>
      <c r="D80" s="2831" t="s">
        <v>2658</v>
      </c>
      <c r="E80" s="2857">
        <v>0.1</v>
      </c>
      <c r="F80" s="2857">
        <v>15</v>
      </c>
    </row>
    <row r="81" spans="1:6" ht="24">
      <c r="A81" s="2857">
        <v>9</v>
      </c>
      <c r="B81" s="3490"/>
      <c r="C81" s="2831" t="s">
        <v>2659</v>
      </c>
      <c r="D81" s="2831" t="s">
        <v>2660</v>
      </c>
      <c r="E81" s="2857">
        <v>0.1</v>
      </c>
      <c r="F81" s="2857">
        <v>15</v>
      </c>
    </row>
    <row r="82" spans="1:6" ht="24">
      <c r="A82" s="2857">
        <v>10</v>
      </c>
      <c r="B82" s="3490"/>
      <c r="C82" s="2831" t="s">
        <v>2661</v>
      </c>
      <c r="D82" s="2831" t="s">
        <v>2662</v>
      </c>
      <c r="E82" s="2857">
        <v>0.1</v>
      </c>
      <c r="F82" s="2857">
        <v>15</v>
      </c>
    </row>
    <row r="83" spans="1:6" ht="24">
      <c r="A83" s="2857">
        <v>11</v>
      </c>
      <c r="B83" s="3490"/>
      <c r="C83" s="2831" t="s">
        <v>2663</v>
      </c>
      <c r="D83" s="2831" t="s">
        <v>2664</v>
      </c>
      <c r="E83" s="2857">
        <v>0.1</v>
      </c>
      <c r="F83" s="2857">
        <v>15</v>
      </c>
    </row>
    <row r="84" spans="1:6" ht="24">
      <c r="A84" s="2857">
        <v>12</v>
      </c>
      <c r="B84" s="3490"/>
      <c r="C84" s="2831" t="s">
        <v>2665</v>
      </c>
      <c r="D84" s="2831" t="s">
        <v>2666</v>
      </c>
      <c r="E84" s="2857">
        <v>0.1</v>
      </c>
      <c r="F84" s="2857">
        <v>15</v>
      </c>
    </row>
    <row r="85" spans="1:6" ht="13.5">
      <c r="A85" s="2857">
        <v>13</v>
      </c>
      <c r="B85" s="3490"/>
      <c r="C85" s="2831" t="s">
        <v>2667</v>
      </c>
      <c r="D85" s="2831" t="s">
        <v>2668</v>
      </c>
      <c r="E85" s="2857">
        <v>0.1</v>
      </c>
      <c r="F85" s="2857">
        <v>15</v>
      </c>
    </row>
    <row r="86" spans="1:6" ht="13.5">
      <c r="A86" s="2857">
        <v>14</v>
      </c>
      <c r="B86" s="3490"/>
      <c r="C86" s="2831" t="s">
        <v>2669</v>
      </c>
      <c r="D86" s="2831" t="s">
        <v>2670</v>
      </c>
      <c r="E86" s="2857">
        <v>0.1</v>
      </c>
      <c r="F86" s="2857">
        <v>15</v>
      </c>
    </row>
    <row r="87" spans="1:6" ht="13.5">
      <c r="A87" s="2857">
        <v>15</v>
      </c>
      <c r="B87" s="3490"/>
      <c r="C87" s="2831" t="s">
        <v>2671</v>
      </c>
      <c r="D87" s="2831" t="s">
        <v>2672</v>
      </c>
      <c r="E87" s="2857">
        <v>0.1</v>
      </c>
      <c r="F87" s="2857">
        <v>15</v>
      </c>
    </row>
    <row r="88" spans="1:6" ht="24">
      <c r="A88" s="2857">
        <v>16</v>
      </c>
      <c r="B88" s="3490"/>
      <c r="C88" s="2831" t="s">
        <v>2673</v>
      </c>
      <c r="D88" s="2831" t="s">
        <v>2674</v>
      </c>
      <c r="E88" s="2857">
        <v>0.1</v>
      </c>
      <c r="F88" s="2857">
        <v>15</v>
      </c>
    </row>
    <row r="89" spans="1:6" ht="24">
      <c r="A89" s="2857">
        <v>17</v>
      </c>
      <c r="B89" s="3489"/>
      <c r="C89" s="2831" t="s">
        <v>2675</v>
      </c>
      <c r="D89" s="2831" t="s">
        <v>2676</v>
      </c>
      <c r="E89" s="2857">
        <v>0.1</v>
      </c>
      <c r="F89" s="2857">
        <v>15</v>
      </c>
    </row>
    <row r="90" spans="1:6" ht="13.5">
      <c r="A90" s="2857">
        <v>18</v>
      </c>
      <c r="B90" s="3488" t="s">
        <v>2677</v>
      </c>
      <c r="C90" s="2831" t="s">
        <v>2678</v>
      </c>
      <c r="D90" s="2831" t="s">
        <v>2679</v>
      </c>
      <c r="E90" s="2857">
        <v>0.2</v>
      </c>
      <c r="F90" s="2857">
        <v>25</v>
      </c>
    </row>
    <row r="91" spans="1:6" ht="24">
      <c r="A91" s="2857">
        <v>19</v>
      </c>
      <c r="B91" s="3490"/>
      <c r="C91" s="2831" t="s">
        <v>2680</v>
      </c>
      <c r="D91" s="2831" t="s">
        <v>2681</v>
      </c>
      <c r="E91" s="2857">
        <v>0.2</v>
      </c>
      <c r="F91" s="2857">
        <v>25</v>
      </c>
    </row>
    <row r="92" spans="1:6" ht="13.5">
      <c r="A92" s="2857">
        <v>20</v>
      </c>
      <c r="B92" s="3490"/>
      <c r="C92" s="2831" t="s">
        <v>2682</v>
      </c>
      <c r="D92" s="2831" t="s">
        <v>2683</v>
      </c>
      <c r="E92" s="2857">
        <v>0.15</v>
      </c>
      <c r="F92" s="2857">
        <v>20</v>
      </c>
    </row>
    <row r="93" spans="1:6" ht="13.5">
      <c r="A93" s="2857">
        <v>21</v>
      </c>
      <c r="B93" s="3490"/>
      <c r="C93" s="2831" t="s">
        <v>2684</v>
      </c>
      <c r="D93" s="2831" t="s">
        <v>2685</v>
      </c>
      <c r="E93" s="2857">
        <v>0.15</v>
      </c>
      <c r="F93" s="2857">
        <v>20</v>
      </c>
    </row>
    <row r="94" spans="1:6" ht="13.5">
      <c r="A94" s="2857">
        <v>22</v>
      </c>
      <c r="B94" s="3490"/>
      <c r="C94" s="2831" t="s">
        <v>2686</v>
      </c>
      <c r="D94" s="2831" t="s">
        <v>2687</v>
      </c>
      <c r="E94" s="2857">
        <v>0.15</v>
      </c>
      <c r="F94" s="2857">
        <v>20</v>
      </c>
    </row>
    <row r="95" spans="1:6" ht="36">
      <c r="A95" s="2857">
        <v>23</v>
      </c>
      <c r="B95" s="3490"/>
      <c r="C95" s="2831" t="s">
        <v>2688</v>
      </c>
      <c r="D95" s="2831" t="s">
        <v>2689</v>
      </c>
      <c r="E95" s="2857">
        <v>0.15</v>
      </c>
      <c r="F95" s="2857">
        <v>20</v>
      </c>
    </row>
    <row r="96" spans="1:6" ht="13.5">
      <c r="A96" s="2857">
        <v>24</v>
      </c>
      <c r="B96" s="3490"/>
      <c r="C96" s="2831" t="s">
        <v>2690</v>
      </c>
      <c r="D96" s="2831" t="s">
        <v>2691</v>
      </c>
      <c r="E96" s="2857">
        <v>0.1</v>
      </c>
      <c r="F96" s="2857">
        <v>15</v>
      </c>
    </row>
    <row r="97" spans="1:6" ht="13.5">
      <c r="A97" s="2857">
        <v>25</v>
      </c>
      <c r="B97" s="3490"/>
      <c r="C97" s="2831" t="s">
        <v>2692</v>
      </c>
      <c r="D97" s="2831" t="s">
        <v>2693</v>
      </c>
      <c r="E97" s="2857">
        <v>0.1</v>
      </c>
      <c r="F97" s="2857">
        <v>15</v>
      </c>
    </row>
    <row r="98" spans="1:6" ht="24">
      <c r="A98" s="2857">
        <v>26</v>
      </c>
      <c r="B98" s="3490"/>
      <c r="C98" s="2831" t="s">
        <v>2694</v>
      </c>
      <c r="D98" s="2831" t="s">
        <v>2695</v>
      </c>
      <c r="E98" s="2857">
        <v>0.1</v>
      </c>
      <c r="F98" s="2857">
        <v>15</v>
      </c>
    </row>
    <row r="99" spans="1:6" ht="24">
      <c r="A99" s="2857">
        <v>27</v>
      </c>
      <c r="B99" s="3490"/>
      <c r="C99" s="2831" t="s">
        <v>2696</v>
      </c>
      <c r="D99" s="2831" t="s">
        <v>2697</v>
      </c>
      <c r="E99" s="2857">
        <v>0.1</v>
      </c>
      <c r="F99" s="2857">
        <v>15</v>
      </c>
    </row>
    <row r="100" spans="1:6" ht="13.5">
      <c r="A100" s="2857">
        <v>28</v>
      </c>
      <c r="B100" s="3490"/>
      <c r="C100" s="2831" t="s">
        <v>2698</v>
      </c>
      <c r="D100" s="2831" t="s">
        <v>2699</v>
      </c>
      <c r="E100" s="2857">
        <v>0.1</v>
      </c>
      <c r="F100" s="2857">
        <v>15</v>
      </c>
    </row>
    <row r="101" spans="1:6" ht="13.5">
      <c r="A101" s="2857">
        <v>29</v>
      </c>
      <c r="B101" s="3490"/>
      <c r="C101" s="2831" t="s">
        <v>2700</v>
      </c>
      <c r="D101" s="2831" t="s">
        <v>2701</v>
      </c>
      <c r="E101" s="2857">
        <v>0.1</v>
      </c>
      <c r="F101" s="2857">
        <v>15</v>
      </c>
    </row>
    <row r="102" spans="1:6" ht="13.5">
      <c r="A102" s="2857">
        <v>30</v>
      </c>
      <c r="B102" s="3490"/>
      <c r="C102" s="2831" t="s">
        <v>2702</v>
      </c>
      <c r="D102" s="2831" t="s">
        <v>2703</v>
      </c>
      <c r="E102" s="2857">
        <v>0.1</v>
      </c>
      <c r="F102" s="2857">
        <v>15</v>
      </c>
    </row>
    <row r="103" spans="1:6" ht="24">
      <c r="A103" s="2857">
        <v>31</v>
      </c>
      <c r="B103" s="3490"/>
      <c r="C103" s="2831" t="s">
        <v>2704</v>
      </c>
      <c r="D103" s="2831" t="s">
        <v>2705</v>
      </c>
      <c r="E103" s="2857">
        <v>0.1</v>
      </c>
      <c r="F103" s="2857">
        <v>15</v>
      </c>
    </row>
    <row r="104" spans="1:6" ht="24">
      <c r="A104" s="2857">
        <v>32</v>
      </c>
      <c r="B104" s="3490"/>
      <c r="C104" s="2831" t="s">
        <v>2706</v>
      </c>
      <c r="D104" s="2831" t="s">
        <v>2707</v>
      </c>
      <c r="E104" s="2857">
        <v>0.1</v>
      </c>
      <c r="F104" s="2857">
        <v>15</v>
      </c>
    </row>
    <row r="105" spans="1:6" ht="24">
      <c r="A105" s="2857">
        <v>33</v>
      </c>
      <c r="B105" s="3490"/>
      <c r="C105" s="2831" t="s">
        <v>2708</v>
      </c>
      <c r="D105" s="2831" t="s">
        <v>2709</v>
      </c>
      <c r="E105" s="2857">
        <v>0.1</v>
      </c>
      <c r="F105" s="2857">
        <v>15</v>
      </c>
    </row>
    <row r="106" spans="1:6" ht="24">
      <c r="A106" s="2857">
        <v>34</v>
      </c>
      <c r="B106" s="3489"/>
      <c r="C106" s="2831" t="s">
        <v>2710</v>
      </c>
      <c r="D106" s="2831" t="s">
        <v>2711</v>
      </c>
      <c r="E106" s="2857">
        <v>0.1</v>
      </c>
      <c r="F106" s="2857">
        <v>15</v>
      </c>
    </row>
    <row r="107" spans="1:6" ht="24">
      <c r="A107" s="2857">
        <v>35</v>
      </c>
      <c r="B107" s="3488" t="s">
        <v>2712</v>
      </c>
      <c r="C107" s="2857" t="s">
        <v>2713</v>
      </c>
      <c r="D107" s="2831" t="s">
        <v>2714</v>
      </c>
      <c r="E107" s="2857">
        <v>0.15</v>
      </c>
      <c r="F107" s="2857">
        <v>20</v>
      </c>
    </row>
    <row r="108" spans="1:6" ht="13.5">
      <c r="A108" s="2857">
        <v>36</v>
      </c>
      <c r="B108" s="3490"/>
      <c r="C108" s="2857" t="s">
        <v>2715</v>
      </c>
      <c r="D108" s="2831" t="s">
        <v>2716</v>
      </c>
      <c r="E108" s="2857">
        <v>0.15</v>
      </c>
      <c r="F108" s="2857">
        <v>20</v>
      </c>
    </row>
    <row r="109" spans="1:6" ht="13.5">
      <c r="A109" s="2857">
        <v>37</v>
      </c>
      <c r="B109" s="3490"/>
      <c r="C109" s="2857" t="s">
        <v>2717</v>
      </c>
      <c r="D109" s="2831" t="s">
        <v>2718</v>
      </c>
      <c r="E109" s="2857">
        <v>0.15</v>
      </c>
      <c r="F109" s="2857">
        <v>20</v>
      </c>
    </row>
    <row r="110" spans="1:6" ht="13.5">
      <c r="A110" s="2857">
        <v>38</v>
      </c>
      <c r="B110" s="3490"/>
      <c r="C110" s="2857" t="s">
        <v>2719</v>
      </c>
      <c r="D110" s="2831" t="s">
        <v>2720</v>
      </c>
      <c r="E110" s="2857">
        <v>0.1</v>
      </c>
      <c r="F110" s="2857">
        <v>15</v>
      </c>
    </row>
    <row r="111" spans="1:6" ht="24">
      <c r="A111" s="2857">
        <v>39</v>
      </c>
      <c r="B111" s="3490"/>
      <c r="C111" s="2857" t="s">
        <v>2721</v>
      </c>
      <c r="D111" s="2831" t="s">
        <v>2722</v>
      </c>
      <c r="E111" s="2857">
        <v>0.1</v>
      </c>
      <c r="F111" s="2857">
        <v>15</v>
      </c>
    </row>
    <row r="112" spans="1:6" ht="24">
      <c r="A112" s="2857">
        <v>40</v>
      </c>
      <c r="B112" s="3489"/>
      <c r="C112" s="2857" t="s">
        <v>2723</v>
      </c>
      <c r="D112" s="2831" t="s">
        <v>2724</v>
      </c>
      <c r="E112" s="2857">
        <v>0.1</v>
      </c>
      <c r="F112" s="2857">
        <v>15</v>
      </c>
    </row>
    <row r="113" spans="1:6" ht="13.5">
      <c r="A113" s="2857">
        <v>41</v>
      </c>
      <c r="B113" s="3487" t="s">
        <v>2725</v>
      </c>
      <c r="C113" s="2857" t="s">
        <v>2726</v>
      </c>
      <c r="D113" s="2831" t="s">
        <v>2727</v>
      </c>
      <c r="E113" s="2857">
        <v>0.1</v>
      </c>
      <c r="F113" s="2857">
        <v>15</v>
      </c>
    </row>
    <row r="114" spans="1:6" ht="13.5">
      <c r="A114" s="2857">
        <v>42</v>
      </c>
      <c r="B114" s="3487"/>
      <c r="C114" s="2857" t="s">
        <v>2728</v>
      </c>
      <c r="D114" s="2831" t="s">
        <v>2729</v>
      </c>
      <c r="E114" s="2857">
        <v>0.1</v>
      </c>
      <c r="F114" s="2857">
        <v>15</v>
      </c>
    </row>
    <row r="115" spans="1:6" ht="24">
      <c r="A115" s="2857">
        <v>43</v>
      </c>
      <c r="B115" s="3487"/>
      <c r="C115" s="2857" t="s">
        <v>2730</v>
      </c>
      <c r="D115" s="2831" t="s">
        <v>2731</v>
      </c>
      <c r="E115" s="2857">
        <v>0.1</v>
      </c>
      <c r="F115" s="2857">
        <v>15</v>
      </c>
    </row>
    <row r="116" spans="1:6" ht="13.5">
      <c r="A116" s="2857">
        <v>44</v>
      </c>
      <c r="B116" s="3488" t="s">
        <v>2732</v>
      </c>
      <c r="C116" s="2857" t="s">
        <v>2733</v>
      </c>
      <c r="D116" s="2831" t="s">
        <v>2734</v>
      </c>
      <c r="E116" s="2857">
        <v>0.1</v>
      </c>
      <c r="F116" s="2857">
        <v>15</v>
      </c>
    </row>
    <row r="117" spans="1:6" ht="24">
      <c r="A117" s="2857">
        <v>45</v>
      </c>
      <c r="B117" s="3489"/>
      <c r="C117" s="2831" t="s">
        <v>2735</v>
      </c>
      <c r="D117" s="2831" t="s">
        <v>2736</v>
      </c>
      <c r="E117" s="2857">
        <v>0.1</v>
      </c>
      <c r="F117" s="2857">
        <v>15</v>
      </c>
    </row>
    <row r="118" spans="1:6" ht="24">
      <c r="A118" s="2857">
        <v>46</v>
      </c>
      <c r="B118" s="3488" t="s">
        <v>2737</v>
      </c>
      <c r="C118" s="2857" t="s">
        <v>2738</v>
      </c>
      <c r="D118" s="2831" t="s">
        <v>2739</v>
      </c>
      <c r="E118" s="2857">
        <v>0.1</v>
      </c>
      <c r="F118" s="2857">
        <v>15</v>
      </c>
    </row>
    <row r="119" spans="1:6" ht="24">
      <c r="A119" s="2857">
        <v>47</v>
      </c>
      <c r="B119" s="3489"/>
      <c r="C119" s="2857" t="s">
        <v>2740</v>
      </c>
      <c r="D119" s="2831" t="s">
        <v>2741</v>
      </c>
      <c r="E119" s="2857">
        <v>0.1</v>
      </c>
      <c r="F119" s="2857">
        <v>15</v>
      </c>
    </row>
    <row r="120" spans="1:6" ht="13.5">
      <c r="A120" s="2857">
        <v>48</v>
      </c>
      <c r="B120" s="3488" t="s">
        <v>2742</v>
      </c>
      <c r="C120" s="2857" t="s">
        <v>2743</v>
      </c>
      <c r="D120" s="2831" t="s">
        <v>2744</v>
      </c>
      <c r="E120" s="2857">
        <v>0.1</v>
      </c>
      <c r="F120" s="2857">
        <v>15</v>
      </c>
    </row>
    <row r="121" spans="1:6" ht="13.5">
      <c r="A121" s="2857">
        <v>49</v>
      </c>
      <c r="B121" s="3489"/>
      <c r="C121" s="2857" t="s">
        <v>2745</v>
      </c>
      <c r="D121" s="2831" t="s">
        <v>2746</v>
      </c>
      <c r="E121" s="2857">
        <v>0.1</v>
      </c>
      <c r="F121" s="2857">
        <v>15</v>
      </c>
    </row>
    <row r="122" spans="1:6" ht="24">
      <c r="A122" s="2857">
        <v>50</v>
      </c>
      <c r="B122" s="3487" t="s">
        <v>2747</v>
      </c>
      <c r="C122" s="2857" t="s">
        <v>2748</v>
      </c>
      <c r="D122" s="2831" t="s">
        <v>2749</v>
      </c>
      <c r="E122" s="2857">
        <v>0.1</v>
      </c>
      <c r="F122" s="2857">
        <v>15</v>
      </c>
    </row>
    <row r="123" spans="1:6" ht="24">
      <c r="A123" s="2857">
        <v>51</v>
      </c>
      <c r="B123" s="3487"/>
      <c r="C123" s="2857" t="s">
        <v>2750</v>
      </c>
      <c r="D123" s="2831" t="s">
        <v>2751</v>
      </c>
      <c r="E123" s="2857">
        <v>0.1</v>
      </c>
      <c r="F123" s="2857">
        <v>15</v>
      </c>
    </row>
    <row r="124" spans="1:6" ht="24">
      <c r="A124" s="2857">
        <v>52</v>
      </c>
      <c r="B124" s="3487" t="s">
        <v>2752</v>
      </c>
      <c r="C124" s="2857" t="s">
        <v>2753</v>
      </c>
      <c r="D124" s="2831" t="s">
        <v>2754</v>
      </c>
      <c r="E124" s="2857">
        <v>0.1</v>
      </c>
      <c r="F124" s="2857">
        <v>15</v>
      </c>
    </row>
    <row r="125" spans="1:6" ht="24">
      <c r="A125" s="2857">
        <v>53</v>
      </c>
      <c r="B125" s="3487"/>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487" t="s">
        <v>2760</v>
      </c>
      <c r="C127" s="2857" t="s">
        <v>2761</v>
      </c>
      <c r="D127" s="2831" t="s">
        <v>2762</v>
      </c>
      <c r="E127" s="2857">
        <v>0.1</v>
      </c>
      <c r="F127" s="2857">
        <v>15</v>
      </c>
    </row>
    <row r="128" spans="1:6" ht="13.5">
      <c r="A128" s="2857">
        <v>56</v>
      </c>
      <c r="B128" s="3487"/>
      <c r="C128" s="2857" t="s">
        <v>2763</v>
      </c>
      <c r="D128" s="2831" t="s">
        <v>2764</v>
      </c>
      <c r="E128" s="2857">
        <v>0.1</v>
      </c>
      <c r="F128" s="2857">
        <v>15</v>
      </c>
    </row>
    <row r="129" spans="1:6" ht="24">
      <c r="A129" s="2857">
        <v>57</v>
      </c>
      <c r="B129" s="3487"/>
      <c r="C129" s="2857" t="s">
        <v>2765</v>
      </c>
      <c r="D129" s="2831" t="s">
        <v>2766</v>
      </c>
      <c r="E129" s="2857">
        <v>0.1</v>
      </c>
      <c r="F129" s="2857">
        <v>15</v>
      </c>
    </row>
    <row r="130" spans="1:6" ht="24">
      <c r="A130" s="2857">
        <v>58</v>
      </c>
      <c r="B130" s="3487" t="s">
        <v>2767</v>
      </c>
      <c r="C130" s="2857" t="s">
        <v>2768</v>
      </c>
      <c r="D130" s="2831" t="s">
        <v>2769</v>
      </c>
      <c r="E130" s="2857">
        <v>0.1</v>
      </c>
      <c r="F130" s="2857">
        <v>15</v>
      </c>
    </row>
    <row r="131" spans="1:6" ht="13.5">
      <c r="A131" s="2857">
        <v>59</v>
      </c>
      <c r="B131" s="3487"/>
      <c r="C131" s="2857" t="s">
        <v>2770</v>
      </c>
      <c r="D131" s="2831" t="s">
        <v>2771</v>
      </c>
      <c r="E131" s="2857">
        <v>0.1</v>
      </c>
      <c r="F131" s="2857">
        <v>15</v>
      </c>
    </row>
    <row r="132" spans="1:6" ht="13.5">
      <c r="A132" s="2857">
        <v>60</v>
      </c>
      <c r="B132" s="3488" t="s">
        <v>2772</v>
      </c>
      <c r="C132" s="2857" t="s">
        <v>2773</v>
      </c>
      <c r="D132" s="2831" t="s">
        <v>2774</v>
      </c>
      <c r="E132" s="2857">
        <v>0.1</v>
      </c>
      <c r="F132" s="2857">
        <v>15</v>
      </c>
    </row>
    <row r="133" spans="1:6" ht="13.5">
      <c r="A133" s="2857">
        <v>61</v>
      </c>
      <c r="B133" s="3489"/>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487" t="s">
        <v>2780</v>
      </c>
      <c r="C135" s="2857" t="s">
        <v>2781</v>
      </c>
      <c r="D135" s="2831" t="s">
        <v>2782</v>
      </c>
      <c r="E135" s="2857">
        <v>0.1</v>
      </c>
      <c r="F135" s="2857">
        <v>15</v>
      </c>
    </row>
    <row r="136" spans="1:6" ht="13.5">
      <c r="A136" s="2857">
        <v>64</v>
      </c>
      <c r="B136" s="3487"/>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1</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0.95120000000000005</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28822</v>
      </c>
      <c r="C2" s="2" t="s">
        <v>106</v>
      </c>
      <c r="D2" s="191"/>
      <c r="E2" s="191"/>
      <c r="F2" s="191"/>
      <c r="G2" s="191"/>
    </row>
    <row r="3" spans="1:7" s="192" customFormat="1" ht="18" customHeight="1" thickBot="1">
      <c r="A3" s="195" t="s">
        <v>58</v>
      </c>
      <c r="B3" s="196">
        <f ca="1">ROUND(B2*10000/'数据-汇总表'!E3,0)</f>
        <v>1126828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255.78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255.78</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28757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64</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255.78</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62" t="s">
        <v>94</v>
      </c>
    </row>
    <row r="43" spans="1:7" ht="13.5" customHeight="1">
      <c r="A43" s="733" t="s">
        <v>347</v>
      </c>
      <c r="B43" s="207" t="s">
        <v>426</v>
      </c>
      <c r="C43" s="230">
        <f ca="1">ROUND(IF('数据-取费表'!B22&lt;=1,C39*F22*'数据-取费表'!B21/2,C39*(POWER((1+F22),'数据-取费表'!B21/2)-1)),0)</f>
        <v>0</v>
      </c>
      <c r="D43" s="230"/>
      <c r="E43" s="230"/>
      <c r="F43" s="231"/>
      <c r="G43" s="3363"/>
    </row>
    <row r="44" spans="1:7" ht="13.5" customHeight="1">
      <c r="A44" s="733"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0" t="s">
        <v>341</v>
      </c>
      <c r="B45" s="236" t="s">
        <v>85</v>
      </c>
      <c r="C45" s="237">
        <f>C46</f>
        <v>15</v>
      </c>
      <c r="D45" s="227">
        <f>C47</f>
        <v>4.0000000000000001E-3</v>
      </c>
      <c r="E45" s="228" t="s">
        <v>102</v>
      </c>
      <c r="F45" s="238"/>
      <c r="G45" s="239" t="s">
        <v>434</v>
      </c>
    </row>
    <row r="46" spans="1:7" s="206" customFormat="1" ht="13.5" customHeight="1">
      <c r="A46" s="733" t="s">
        <v>349</v>
      </c>
      <c r="B46" s="240" t="s">
        <v>427</v>
      </c>
      <c r="C46" s="241">
        <f>ROUND((C33+C39)*F27,0)</f>
        <v>15</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99</v>
      </c>
      <c r="D49" s="224"/>
      <c r="E49" s="224"/>
      <c r="F49" s="256"/>
      <c r="G49" s="226" t="s">
        <v>435</v>
      </c>
    </row>
    <row r="50" spans="1:7" s="250" customFormat="1" ht="24">
      <c r="A50" s="730" t="s">
        <v>344</v>
      </c>
      <c r="B50" s="202" t="s">
        <v>97</v>
      </c>
      <c r="C50" s="224"/>
      <c r="D50" s="224"/>
      <c r="E50" s="224"/>
      <c r="F50" s="256">
        <f>IF('数据-取费表'!B24=0,'数据-取费表'!N16,1)</f>
        <v>0.66</v>
      </c>
      <c r="G50" s="239" t="s">
        <v>98</v>
      </c>
    </row>
    <row r="51" spans="1:7" ht="16.5" customHeight="1">
      <c r="A51" s="730" t="s">
        <v>345</v>
      </c>
      <c r="B51" s="202" t="s">
        <v>105</v>
      </c>
      <c r="C51" s="224">
        <f ca="1">ROUND(C49*F50,0)</f>
        <v>65</v>
      </c>
      <c r="D51" s="224"/>
      <c r="E51" s="224"/>
      <c r="F51" s="256"/>
      <c r="G51" s="226" t="s">
        <v>37</v>
      </c>
    </row>
    <row r="52" spans="1:7" s="200" customFormat="1" ht="16.5" thickBot="1">
      <c r="A52" s="257" t="s">
        <v>38</v>
      </c>
      <c r="B52" s="258"/>
      <c r="C52" s="259">
        <f ca="1">C31+C51</f>
        <v>28822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1" t="s">
        <v>2830</v>
      </c>
      <c r="B1" s="3501"/>
      <c r="C1" s="3501"/>
      <c r="D1" s="3501"/>
      <c r="E1" s="3501"/>
      <c r="F1" s="3501"/>
      <c r="G1" s="3502"/>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499"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00"/>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3" t="s">
        <v>3172</v>
      </c>
      <c r="B1" s="3503"/>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3"/>
  </cols>
  <sheetData>
    <row r="1" spans="1:6">
      <c r="A1" s="3504" t="s">
        <v>3223</v>
      </c>
      <c r="B1" s="3504"/>
      <c r="C1" s="3504"/>
      <c r="D1" s="3504"/>
      <c r="E1" s="3504"/>
      <c r="F1" s="3505"/>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7">
        <f>基准地价修正!G23</f>
        <v>45696</v>
      </c>
      <c r="B1" s="2929" t="s">
        <v>3369</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30"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row>
    <row r="3" spans="1:30" s="2886" customFormat="1" ht="12.75">
      <c r="A3" s="2884" t="s">
        <v>2810</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3365</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3374</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4" customFormat="1" ht="12.75">
      <c r="A7" s="2039" t="s">
        <v>3373</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3366</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3364</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3360</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3359</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3357</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3356</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3355</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3353</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3344</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2811</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2812</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2813</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2814</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2815</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3372</v>
      </c>
    </row>
    <row r="24" spans="1:30">
      <c r="I24" s="1404" t="s">
        <v>2816</v>
      </c>
    </row>
    <row r="26" spans="1:30" s="2008" customFormat="1" ht="12.75">
      <c r="B26" s="2929" t="s">
        <v>3370</v>
      </c>
      <c r="C26" s="2930"/>
      <c r="D26" s="2930"/>
      <c r="E26" s="2930"/>
      <c r="F26" s="2930"/>
      <c r="G26" s="2930"/>
      <c r="H26" s="2930"/>
      <c r="I26" s="2930"/>
      <c r="J26" s="2896"/>
      <c r="K26" s="2930" t="s">
        <v>2817</v>
      </c>
      <c r="L26" s="2930"/>
      <c r="M26" s="2930"/>
      <c r="N26" s="2930"/>
      <c r="O26" s="2930"/>
      <c r="P26" s="2930"/>
      <c r="Q26" s="2896"/>
      <c r="R26" s="3506" t="s">
        <v>2818</v>
      </c>
      <c r="S26" s="3507"/>
      <c r="T26" s="3507"/>
      <c r="U26" s="3507"/>
      <c r="V26" s="3507"/>
      <c r="W26" s="3507"/>
      <c r="X26" s="2896"/>
      <c r="Y26" s="3506" t="s">
        <v>2819</v>
      </c>
      <c r="Z26" s="3507"/>
      <c r="AA26" s="3507"/>
      <c r="AB26" s="3507"/>
      <c r="AC26" s="3507"/>
      <c r="AD26" s="3507"/>
    </row>
    <row r="27" spans="1:30" s="2009" customFormat="1" ht="14.25" thickBot="1">
      <c r="B27" s="2881"/>
      <c r="C27" s="2882"/>
      <c r="D27" s="2010" t="s">
        <v>2820</v>
      </c>
      <c r="E27" s="2011" t="s">
        <v>2821</v>
      </c>
      <c r="F27" s="2011" t="s">
        <v>2822</v>
      </c>
      <c r="G27" s="2011" t="s">
        <v>2823</v>
      </c>
      <c r="H27" s="2011"/>
      <c r="I27" s="2011" t="s">
        <v>2824</v>
      </c>
      <c r="J27" s="2883"/>
      <c r="K27" s="2010" t="s">
        <v>2820</v>
      </c>
      <c r="L27" s="2011" t="s">
        <v>2821</v>
      </c>
      <c r="M27" s="2011" t="s">
        <v>2822</v>
      </c>
      <c r="N27" s="2011" t="s">
        <v>2823</v>
      </c>
      <c r="O27" s="2011"/>
      <c r="P27" s="2011" t="s">
        <v>2824</v>
      </c>
      <c r="Q27" s="2883"/>
      <c r="R27" s="2010" t="s">
        <v>2820</v>
      </c>
      <c r="S27" s="2011" t="s">
        <v>2821</v>
      </c>
      <c r="T27" s="2011" t="s">
        <v>2822</v>
      </c>
      <c r="U27" s="2011" t="s">
        <v>2823</v>
      </c>
      <c r="V27" s="2011"/>
      <c r="W27" s="2011" t="s">
        <v>2824</v>
      </c>
      <c r="X27" s="2883"/>
      <c r="Y27" s="2010" t="s">
        <v>2820</v>
      </c>
      <c r="Z27" s="2011" t="s">
        <v>2821</v>
      </c>
      <c r="AA27" s="2011" t="s">
        <v>2822</v>
      </c>
      <c r="AB27" s="2011" t="s">
        <v>2823</v>
      </c>
      <c r="AC27" s="2011"/>
      <c r="AD27" s="2011" t="s">
        <v>2824</v>
      </c>
    </row>
    <row r="28" spans="1:30" s="2886" customFormat="1" ht="12.75">
      <c r="A28" s="2884" t="s">
        <v>2825</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3365</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3367</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4" customFormat="1" ht="12.75">
      <c r="A32" s="2039" t="s">
        <v>3362</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3368</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3363</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3361</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3359</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3358</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3356</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3355</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3354</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3344</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2826</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2827</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2828</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2829</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2815</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45696</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2300</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4"/>
      <c r="B3" s="3194"/>
      <c r="C3" s="3194"/>
      <c r="D3" s="800" t="s">
        <v>925</v>
      </c>
      <c r="E3" s="800" t="s">
        <v>931</v>
      </c>
      <c r="F3" s="800" t="s">
        <v>925</v>
      </c>
      <c r="G3" s="800" t="s">
        <v>926</v>
      </c>
      <c r="H3" s="800" t="s">
        <v>925</v>
      </c>
      <c r="I3" s="800" t="s">
        <v>926</v>
      </c>
    </row>
    <row r="4" spans="1:9" ht="15">
      <c r="A4" s="1402" t="str">
        <f>项目基本情况!S2</f>
        <v>北京市房地产</v>
      </c>
      <c r="B4" s="800">
        <f>项目基本情况!C17</f>
        <v>255.78</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4" t="s">
        <v>927</v>
      </c>
      <c r="B5" s="3194"/>
      <c r="C5" s="3194"/>
      <c r="D5" s="3194" t="e">
        <f ca="1">结果表!D119</f>
        <v>#REF!</v>
      </c>
      <c r="E5" s="3194"/>
      <c r="F5" s="3194" t="e">
        <f ca="1">结果表!F119</f>
        <v>#REF!</v>
      </c>
      <c r="G5" s="3194"/>
      <c r="H5" s="3194" t="e">
        <f ca="1">结果表!H119</f>
        <v>#REF!</v>
      </c>
      <c r="I5" s="3194"/>
    </row>
    <row r="6" spans="1:9" ht="15.75">
      <c r="A6" s="3193" t="str">
        <f>结果表!A120</f>
        <v>估价师知悉的法定优先受偿款</v>
      </c>
      <c r="B6" s="3193"/>
      <c r="C6" s="3193"/>
      <c r="D6" s="3193">
        <f>结果表!D120</f>
        <v>0</v>
      </c>
      <c r="E6" s="3193"/>
      <c r="F6" s="3193"/>
      <c r="G6" s="3193"/>
      <c r="H6" s="3193"/>
      <c r="I6" s="3193"/>
    </row>
    <row r="7" spans="1:9" ht="15">
      <c r="A7" s="3194" t="s">
        <v>927</v>
      </c>
      <c r="B7" s="3194"/>
      <c r="C7" s="3194"/>
      <c r="D7" s="3195" t="str">
        <f>结果表!D121</f>
        <v>零元整</v>
      </c>
      <c r="E7" s="3196"/>
      <c r="F7" s="3196"/>
      <c r="G7" s="3196"/>
      <c r="H7" s="3196"/>
      <c r="I7" s="3197"/>
    </row>
    <row r="8" spans="1:9" ht="15.75">
      <c r="A8" s="3193" t="str">
        <f>结果表!A122</f>
        <v>房地产抵押价值</v>
      </c>
      <c r="B8" s="3193"/>
      <c r="C8" s="3193"/>
      <c r="D8" s="3193" t="e">
        <f ca="1">结果表!D122</f>
        <v>#REF!</v>
      </c>
      <c r="E8" s="3193"/>
      <c r="F8" s="3193"/>
      <c r="G8" s="3193"/>
      <c r="H8" s="3193"/>
      <c r="I8" s="3193"/>
    </row>
    <row r="9" spans="1:9" ht="15">
      <c r="A9" s="3194" t="s">
        <v>927</v>
      </c>
      <c r="B9" s="3194"/>
      <c r="C9" s="3194"/>
      <c r="D9" s="3194" t="e">
        <f ca="1">结果表!D123</f>
        <v>#REF!</v>
      </c>
      <c r="E9" s="3194"/>
      <c r="F9" s="3194"/>
      <c r="G9" s="3194"/>
      <c r="H9" s="3194"/>
      <c r="I9" s="3194"/>
    </row>
    <row r="10" spans="1:9" ht="15.75">
      <c r="A10" s="3193" t="str">
        <f>结果表!A124</f>
        <v/>
      </c>
      <c r="B10" s="3193"/>
      <c r="C10" s="3193"/>
      <c r="D10" s="3193" t="str">
        <f>结果表!D124</f>
        <v>——</v>
      </c>
      <c r="E10" s="3193"/>
      <c r="F10" s="3193"/>
      <c r="G10" s="3193"/>
      <c r="H10" s="3193"/>
      <c r="I10" s="3193"/>
    </row>
    <row r="11" spans="1:9" ht="15">
      <c r="A11" s="3194" t="s">
        <v>927</v>
      </c>
      <c r="B11" s="3194"/>
      <c r="C11" s="3194"/>
      <c r="D11" s="3194" t="e">
        <f>结果表!D125</f>
        <v>#VALUE!</v>
      </c>
      <c r="E11" s="3194"/>
      <c r="F11" s="3194"/>
      <c r="G11" s="3194"/>
      <c r="H11" s="3194"/>
      <c r="I11" s="3194"/>
    </row>
    <row r="12" spans="1:9" ht="15.75">
      <c r="A12" s="3193" t="str">
        <f>结果表!A126</f>
        <v/>
      </c>
      <c r="B12" s="3193"/>
      <c r="C12" s="3193"/>
      <c r="D12" s="3193" t="str">
        <f>结果表!D126</f>
        <v>——</v>
      </c>
      <c r="E12" s="3193"/>
      <c r="F12" s="3193"/>
      <c r="G12" s="3193"/>
      <c r="H12" s="3193"/>
      <c r="I12" s="3193"/>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6" t="s">
        <v>949</v>
      </c>
      <c r="B1" s="3206"/>
      <c r="C1" s="3206"/>
      <c r="D1" s="3206"/>
    </row>
    <row r="2" spans="1:4" ht="18">
      <c r="A2" s="3207" t="s">
        <v>933</v>
      </c>
      <c r="B2" s="3207"/>
      <c r="C2" s="3207"/>
      <c r="D2" s="320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7" t="s">
        <v>939</v>
      </c>
      <c r="B6" s="3207"/>
      <c r="C6" s="3207"/>
      <c r="D6" s="320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8" t="s">
        <v>942</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943</v>
      </c>
      <c r="B16" s="3202"/>
      <c r="C16" s="3202"/>
      <c r="D16" s="3202"/>
    </row>
    <row r="17" spans="1:4" ht="144" customHeight="1">
      <c r="A17" s="3202" t="s">
        <v>944</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4" t="s">
        <v>956</v>
      </c>
      <c r="B15" s="3209" t="s">
        <v>109</v>
      </c>
      <c r="C15" s="3210"/>
    </row>
    <row r="16" spans="1:7" ht="13.5">
      <c r="A16" s="3215"/>
      <c r="B16" s="3209" t="s">
        <v>42</v>
      </c>
      <c r="C16" s="3210"/>
    </row>
    <row r="17" spans="1:3" ht="13.5">
      <c r="A17" s="3215"/>
      <c r="B17" s="3212" t="s">
        <v>957</v>
      </c>
      <c r="C17" s="1428" t="s">
        <v>956</v>
      </c>
    </row>
    <row r="18" spans="1:3" ht="13.5">
      <c r="A18" s="3215"/>
      <c r="B18" s="3212"/>
      <c r="C18" s="1428" t="s">
        <v>958</v>
      </c>
    </row>
    <row r="19" spans="1:3" ht="13.5">
      <c r="A19" s="3215"/>
      <c r="B19" s="3212"/>
      <c r="C19" s="1428" t="s">
        <v>959</v>
      </c>
    </row>
    <row r="20" spans="1:3" ht="13.5">
      <c r="A20" s="3216"/>
      <c r="B20" s="3211" t="s">
        <v>960</v>
      </c>
      <c r="C20" s="3210"/>
    </row>
    <row r="21" spans="1:3" ht="13.5">
      <c r="A21" s="1429" t="s">
        <v>961</v>
      </c>
      <c r="B21" s="1430"/>
      <c r="C21" s="1431"/>
    </row>
    <row r="22" spans="1:3" ht="13.5">
      <c r="A22" s="3213" t="s">
        <v>962</v>
      </c>
      <c r="B22" s="3211" t="s">
        <v>963</v>
      </c>
      <c r="C22" s="3210"/>
    </row>
    <row r="23" spans="1:3" ht="13.5">
      <c r="A23" s="3213"/>
      <c r="B23" s="3211" t="s">
        <v>964</v>
      </c>
      <c r="C23" s="3210"/>
    </row>
    <row r="24" spans="1:3" ht="13.5">
      <c r="A24" s="3213"/>
      <c r="B24" s="3211" t="s">
        <v>965</v>
      </c>
      <c r="C24" s="3210"/>
    </row>
    <row r="25" spans="1:3" ht="13.5">
      <c r="A25" s="3213"/>
      <c r="B25" s="3212" t="s">
        <v>966</v>
      </c>
      <c r="C25" s="1428" t="s">
        <v>967</v>
      </c>
    </row>
    <row r="26" spans="1:3" ht="13.5">
      <c r="A26" s="3213"/>
      <c r="B26" s="3212"/>
      <c r="C26" s="1428" t="s">
        <v>968</v>
      </c>
    </row>
    <row r="27" spans="1:3" ht="13.5">
      <c r="A27" s="3213"/>
      <c r="B27" s="3212"/>
      <c r="C27" s="1428" t="s">
        <v>969</v>
      </c>
    </row>
    <row r="28" spans="1:3" ht="13.5">
      <c r="A28" s="3213"/>
      <c r="B28" s="3212"/>
      <c r="C28" s="1428" t="s">
        <v>970</v>
      </c>
    </row>
    <row r="29" spans="1:3" ht="13.5">
      <c r="A29" s="3213"/>
      <c r="B29" s="3212"/>
      <c r="C29" s="1428" t="s">
        <v>971</v>
      </c>
    </row>
    <row r="30" spans="1:3" ht="13.5">
      <c r="A30" s="3213"/>
      <c r="B30" s="3212"/>
      <c r="C30" s="1428" t="s">
        <v>972</v>
      </c>
    </row>
    <row r="31" spans="1:3" ht="13.5">
      <c r="A31" s="3213"/>
      <c r="B31" s="3212"/>
      <c r="C31" s="1428" t="s">
        <v>973</v>
      </c>
    </row>
    <row r="32" spans="1:3" ht="13.5">
      <c r="A32" s="3213"/>
      <c r="B32" s="3212"/>
      <c r="C32" s="1428" t="s">
        <v>974</v>
      </c>
    </row>
    <row r="33" spans="1:3" ht="13.5">
      <c r="A33" s="3213"/>
      <c r="B33" s="321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45698</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59"/>
      <c r="E18" s="3219" t="s">
        <v>2162</v>
      </c>
      <c r="F18" s="3218"/>
      <c r="G18" s="321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租金比较法-商业</vt:lpstr>
      <vt:lpstr>成本法 (元)</vt:lpstr>
      <vt:lpstr>基准地价修正</vt:lpstr>
      <vt:lpstr>租约</vt:lpstr>
      <vt:lpstr>售</vt:lpstr>
      <vt:lpstr>租</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2025-02-10T07:18:44Z</dcterms:modified>
</cp:coreProperties>
</file>