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剩余法-待开发" sheetId="12"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state="hidden" r:id="rId41"/>
    <sheet name="不动产收益法 (3)" sheetId="71" r:id="rId42"/>
    <sheet name="Sheet1" sheetId="68" r:id="rId43"/>
    <sheet name="Sheet2" sheetId="69" r:id="rId44"/>
  </sheets>
  <definedNames>
    <definedName name="_xlnm._FilterDatabase" localSheetId="19"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47" i="21" l="1"/>
  <c r="R48" i="21"/>
  <c r="T47" i="21"/>
  <c r="T48" i="21"/>
  <c r="R49" i="21"/>
  <c r="C49" i="21"/>
  <c r="B3" i="21"/>
  <c r="B2" i="21"/>
  <c r="C10" i="12"/>
  <c r="D16" i="12"/>
  <c r="C16" i="12" s="1"/>
  <c r="D21" i="12"/>
  <c r="C21" i="12" s="1"/>
  <c r="D22" i="12"/>
  <c r="C22" i="12" s="1"/>
  <c r="F33" i="12"/>
  <c r="C34" i="12" s="1"/>
  <c r="D33" i="12" s="1"/>
  <c r="AY6" i="3"/>
  <c r="D3" i="6"/>
  <c r="D20" i="6"/>
  <c r="H20" i="6"/>
  <c r="R20" i="6"/>
  <c r="R7" i="1"/>
  <c r="D22" i="6"/>
  <c r="H22" i="6"/>
  <c r="R22" i="6"/>
  <c r="R9" i="1"/>
  <c r="D77" i="21"/>
  <c r="E77" i="21"/>
  <c r="F77" i="21"/>
  <c r="F15" i="21"/>
  <c r="AA15" i="21"/>
  <c r="D69" i="21"/>
  <c r="E69" i="21"/>
  <c r="D19" i="6"/>
  <c r="D21" i="6"/>
  <c r="D23" i="6"/>
  <c r="D24" i="6"/>
  <c r="D25" i="6"/>
  <c r="D26" i="6"/>
  <c r="D27" i="6"/>
  <c r="D28" i="6"/>
  <c r="D29" i="6"/>
  <c r="D30" i="6"/>
  <c r="D31" i="6"/>
  <c r="I6" i="6"/>
  <c r="C11" i="21"/>
  <c r="F69" i="21"/>
  <c r="F11" i="21"/>
  <c r="AA11" i="21"/>
  <c r="D85" i="21"/>
  <c r="F23" i="21"/>
  <c r="AA23" i="21"/>
  <c r="H15" i="21"/>
  <c r="AB15" i="21"/>
  <c r="H11" i="21"/>
  <c r="AB11" i="21"/>
  <c r="H23" i="21"/>
  <c r="AB23" i="21"/>
  <c r="V47" i="21"/>
  <c r="J15" i="21"/>
  <c r="AC15" i="21"/>
  <c r="J11" i="21"/>
  <c r="AC11" i="21"/>
  <c r="E85" i="21"/>
  <c r="J23" i="21"/>
  <c r="AC23" i="21"/>
  <c r="V48" i="21"/>
  <c r="F15" i="12"/>
  <c r="F17" i="39"/>
  <c r="AA17" i="39"/>
  <c r="F27" i="39"/>
  <c r="AA27" i="39"/>
  <c r="C40" i="39"/>
  <c r="F40" i="39"/>
  <c r="AA40" i="39"/>
  <c r="C13" i="39"/>
  <c r="F13" i="39"/>
  <c r="AA13" i="39"/>
  <c r="F11" i="39"/>
  <c r="AA11" i="39"/>
  <c r="R49" i="39"/>
  <c r="H17" i="39"/>
  <c r="AB17" i="39"/>
  <c r="D101" i="39"/>
  <c r="E101" i="39"/>
  <c r="H27" i="39"/>
  <c r="AB27" i="39"/>
  <c r="H40" i="39"/>
  <c r="AB40" i="39"/>
  <c r="H13" i="39"/>
  <c r="AB13" i="39"/>
  <c r="H11" i="39"/>
  <c r="AB11" i="39"/>
  <c r="T49" i="39"/>
  <c r="J17" i="39"/>
  <c r="AC17" i="39"/>
  <c r="J27" i="39"/>
  <c r="AC27" i="39"/>
  <c r="J40" i="39"/>
  <c r="AC40" i="39"/>
  <c r="J13" i="39"/>
  <c r="AC13" i="39"/>
  <c r="J11" i="39"/>
  <c r="AC11"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7" i="9"/>
  <c r="D17" i="9"/>
  <c r="C18" i="9"/>
  <c r="D18" i="9"/>
  <c r="AD16" i="3"/>
  <c r="G1" i="15"/>
  <c r="K7" i="1"/>
  <c r="E21" i="6"/>
  <c r="BD16" i="3"/>
  <c r="BA16" i="3"/>
  <c r="BA5" i="3"/>
  <c r="E27" i="6"/>
  <c r="K20" i="6"/>
  <c r="L20" i="6"/>
  <c r="M20" i="6"/>
  <c r="I20" i="6"/>
  <c r="BM16" i="3"/>
  <c r="BL16" i="3"/>
  <c r="AZ16" i="3"/>
  <c r="AZ5" i="3"/>
  <c r="H16" i="3"/>
  <c r="AC16" i="3"/>
  <c r="G16" i="3"/>
  <c r="G5" i="3"/>
  <c r="B3" i="3"/>
  <c r="E3" i="6"/>
  <c r="M7" i="1"/>
  <c r="K14" i="1"/>
  <c r="M14" i="1"/>
  <c r="S7" i="1"/>
  <c r="K19" i="6"/>
  <c r="S6" i="1"/>
  <c r="K21" i="6"/>
  <c r="A8" i="1"/>
  <c r="S8" i="1"/>
  <c r="K22" i="6"/>
  <c r="S9" i="1"/>
  <c r="S10" i="1"/>
  <c r="S11" i="1"/>
  <c r="S12" i="1"/>
  <c r="S13" i="1"/>
  <c r="S16" i="1"/>
  <c r="T7" i="1"/>
  <c r="G1" i="70"/>
  <c r="K8" i="1"/>
  <c r="L21" i="6"/>
  <c r="M21" i="6"/>
  <c r="I21" i="6"/>
  <c r="H21" i="6"/>
  <c r="R21" i="6"/>
  <c r="R8" i="1"/>
  <c r="M8" i="1"/>
  <c r="T8" i="1"/>
  <c r="AE8" i="1"/>
  <c r="G1" i="71"/>
  <c r="K9" i="1"/>
  <c r="L22" i="6"/>
  <c r="M22" i="6"/>
  <c r="I22" i="6"/>
  <c r="M9" i="1"/>
  <c r="O9" i="1" s="1"/>
  <c r="T9" i="1"/>
  <c r="BD10" i="3"/>
  <c r="E8" i="6"/>
  <c r="F27" i="6"/>
  <c r="BM5" i="3"/>
  <c r="F29" i="6"/>
  <c r="F30" i="6"/>
  <c r="F31" i="6"/>
  <c r="E29" i="6"/>
  <c r="C33" i="21"/>
  <c r="F33" i="21"/>
  <c r="AA33" i="21"/>
  <c r="J33" i="21"/>
  <c r="AC33" i="21"/>
  <c r="H33" i="21"/>
  <c r="AB33" i="21"/>
  <c r="D3" i="21"/>
  <c r="O8" i="1"/>
  <c r="P8" i="1"/>
  <c r="K6" i="1"/>
  <c r="M6" i="1"/>
  <c r="O6" i="1" s="1"/>
  <c r="P6" i="1" s="1"/>
  <c r="C15" i="12" s="1"/>
  <c r="O7" i="1"/>
  <c r="P7" i="1"/>
  <c r="K10" i="1"/>
  <c r="M10" i="1"/>
  <c r="O10" i="1"/>
  <c r="P10" i="1"/>
  <c r="K11" i="1"/>
  <c r="M11" i="1"/>
  <c r="O11" i="1"/>
  <c r="P11" i="1"/>
  <c r="K12" i="1"/>
  <c r="M12" i="1"/>
  <c r="O12" i="1"/>
  <c r="P12" i="1"/>
  <c r="K13" i="1"/>
  <c r="M13" i="1"/>
  <c r="O13" i="1"/>
  <c r="P13" i="1"/>
  <c r="O14" i="1"/>
  <c r="P14" i="1" s="1"/>
  <c r="BD11" i="3"/>
  <c r="E5" i="6"/>
  <c r="E6" i="6"/>
  <c r="Q16" i="1"/>
  <c r="D8" i="1"/>
  <c r="F8" i="1"/>
  <c r="G8" i="1"/>
  <c r="G16" i="1"/>
  <c r="F12" i="39"/>
  <c r="AA12" i="39"/>
  <c r="H12" i="39"/>
  <c r="AB12" i="39"/>
  <c r="J12" i="39"/>
  <c r="AC12" i="39"/>
  <c r="E58" i="39"/>
  <c r="BD5" i="3"/>
  <c r="E11" i="6"/>
  <c r="E63" i="39"/>
  <c r="E12" i="6"/>
  <c r="E64" i="39"/>
  <c r="E13" i="6"/>
  <c r="E65" i="39"/>
  <c r="E14" i="6"/>
  <c r="E66" i="39"/>
  <c r="E15" i="6"/>
  <c r="E67" i="39"/>
  <c r="F21" i="21"/>
  <c r="AA21" i="21"/>
  <c r="H21" i="21"/>
  <c r="AB21" i="21"/>
  <c r="J21" i="21"/>
  <c r="AC21" i="21"/>
  <c r="F43" i="39"/>
  <c r="AA43" i="39"/>
  <c r="H43" i="39"/>
  <c r="AB43" i="39"/>
  <c r="J43" i="39"/>
  <c r="AC43" i="39"/>
  <c r="F32" i="71"/>
  <c r="F33" i="71"/>
  <c r="F34" i="71"/>
  <c r="F15" i="71"/>
  <c r="F17" i="71"/>
  <c r="F18" i="71"/>
  <c r="F20" i="71"/>
  <c r="F23" i="71"/>
  <c r="F21" i="71"/>
  <c r="F28" i="71"/>
  <c r="C28" i="71"/>
  <c r="M47" i="70"/>
  <c r="M47" i="71"/>
  <c r="J50" i="71"/>
  <c r="J51" i="71"/>
  <c r="K59" i="71"/>
  <c r="P75" i="71"/>
  <c r="Q73" i="71"/>
  <c r="F59" i="71"/>
  <c r="D60" i="71"/>
  <c r="F60" i="71"/>
  <c r="F61" i="71"/>
  <c r="P62" i="71"/>
  <c r="Q60" i="71"/>
  <c r="Q59" i="71"/>
  <c r="Q52" i="71"/>
  <c r="L46" i="71"/>
  <c r="M18" i="71"/>
  <c r="M20" i="71"/>
  <c r="D24" i="71"/>
  <c r="D23" i="71"/>
  <c r="D22" i="71"/>
  <c r="M19" i="71"/>
  <c r="F32" i="70"/>
  <c r="F33" i="70"/>
  <c r="F34" i="70"/>
  <c r="F15" i="70"/>
  <c r="F17" i="70"/>
  <c r="F18" i="70"/>
  <c r="F20" i="70"/>
  <c r="F23" i="70"/>
  <c r="D23" i="70" s="1"/>
  <c r="F21" i="70"/>
  <c r="F28" i="70"/>
  <c r="C28" i="70"/>
  <c r="J50" i="70"/>
  <c r="J51" i="70"/>
  <c r="K59" i="70"/>
  <c r="P75" i="70"/>
  <c r="Q73" i="70"/>
  <c r="F59" i="70"/>
  <c r="D60" i="70"/>
  <c r="F60" i="70"/>
  <c r="F61" i="70"/>
  <c r="P62" i="70"/>
  <c r="Q60" i="70"/>
  <c r="Q59" i="70"/>
  <c r="Q52" i="70"/>
  <c r="L46" i="70"/>
  <c r="M18" i="70"/>
  <c r="M20" i="70"/>
  <c r="D24" i="70"/>
  <c r="M19" i="70"/>
  <c r="G22" i="6"/>
  <c r="O16" i="3"/>
  <c r="AL16" i="3"/>
  <c r="K16" i="3"/>
  <c r="I16" i="3"/>
  <c r="D3" i="4"/>
  <c r="I48" i="39"/>
  <c r="G48" i="39"/>
  <c r="E48" i="39"/>
  <c r="I40" i="39"/>
  <c r="G40" i="39"/>
  <c r="E40" i="39"/>
  <c r="I7" i="39"/>
  <c r="G7" i="39"/>
  <c r="E7" i="39"/>
  <c r="I9" i="39"/>
  <c r="G9" i="39"/>
  <c r="E9" i="39"/>
  <c r="F20" i="6"/>
  <c r="F19" i="6"/>
  <c r="AH5" i="59"/>
  <c r="AG5" i="59"/>
  <c r="AE5" i="59"/>
  <c r="AF5" i="59"/>
  <c r="AD5" i="59"/>
  <c r="Q6" i="59"/>
  <c r="Q5" i="59"/>
  <c r="P6" i="59"/>
  <c r="P5" i="59"/>
  <c r="O6" i="59"/>
  <c r="O5" i="59"/>
  <c r="N6" i="59"/>
  <c r="N5" i="59"/>
  <c r="B6" i="59"/>
  <c r="B5" i="59"/>
  <c r="M19" i="46"/>
  <c r="J50" i="15"/>
  <c r="D8" i="59"/>
  <c r="AH6" i="59"/>
  <c r="AG6" i="59"/>
  <c r="AE6" i="59"/>
  <c r="AF6" i="59"/>
  <c r="AD6" i="59"/>
  <c r="I3" i="59"/>
  <c r="L3" i="59"/>
  <c r="AH3" i="59"/>
  <c r="K3" i="59"/>
  <c r="J3" i="59"/>
  <c r="AE3" i="59"/>
  <c r="AF3" i="59"/>
  <c r="AE7" i="59"/>
  <c r="AF7" i="59"/>
  <c r="AG7" i="59"/>
  <c r="AH7" i="59"/>
  <c r="AD7" i="59"/>
  <c r="Q7" i="59"/>
  <c r="P7" i="59"/>
  <c r="O7" i="59"/>
  <c r="N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V11" i="59"/>
  <c r="B7" i="59"/>
  <c r="F9" i="59"/>
  <c r="S7" i="59"/>
  <c r="AD3" i="59"/>
  <c r="AG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AA13" i="59"/>
  <c r="X20" i="59"/>
  <c r="AB20" i="59"/>
  <c r="X21" i="59"/>
  <c r="S2" i="31"/>
  <c r="M2" i="31"/>
  <c r="N2" i="31"/>
  <c r="O2" i="31"/>
  <c r="P2" i="31"/>
  <c r="Q2" i="31"/>
  <c r="R2" i="31"/>
  <c r="C3" i="65"/>
  <c r="C1" i="65"/>
  <c r="N1" i="65"/>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Q11" i="59"/>
  <c r="F11" i="59"/>
  <c r="F10"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B34" i="59"/>
  <c r="D32" i="59"/>
  <c r="T31" i="59"/>
  <c r="Q31" i="59"/>
  <c r="P31" i="59"/>
  <c r="O31" i="59"/>
  <c r="N31" i="59"/>
  <c r="D31" i="59"/>
  <c r="Q30" i="59"/>
  <c r="P30" i="59"/>
  <c r="O30" i="59"/>
  <c r="N30" i="59"/>
  <c r="Q29" i="59"/>
  <c r="P29" i="59"/>
  <c r="O29" i="59"/>
  <c r="N29" i="59"/>
  <c r="B30" i="59"/>
  <c r="B31" i="59"/>
  <c r="S31" i="59"/>
  <c r="Q28" i="59"/>
  <c r="F29" i="59"/>
  <c r="P28" i="59"/>
  <c r="E29" i="59"/>
  <c r="E30" i="59"/>
  <c r="E31" i="59"/>
  <c r="U31" i="59"/>
  <c r="O28" i="59"/>
  <c r="C29" i="59"/>
  <c r="C30" i="59"/>
  <c r="D30" i="59"/>
  <c r="N28" i="59"/>
  <c r="B29"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P14" i="59"/>
  <c r="AA14" i="59"/>
  <c r="O14" i="59"/>
  <c r="N14" i="59"/>
  <c r="Q13" i="59"/>
  <c r="P13" i="59"/>
  <c r="O13" i="59"/>
  <c r="N13" i="59"/>
  <c r="Q12" i="59"/>
  <c r="F13" i="59"/>
  <c r="P12" i="59"/>
  <c r="O12" i="59"/>
  <c r="N12" i="59"/>
  <c r="B13" i="59"/>
  <c r="D12" i="59"/>
  <c r="AA3"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K16" i="4"/>
  <c r="D70" i="59"/>
  <c r="C69" i="59"/>
  <c r="D69" i="59"/>
  <c r="C61" i="59"/>
  <c r="D61" i="59"/>
  <c r="D54" i="59"/>
  <c r="D53" i="59"/>
  <c r="O50" i="59"/>
  <c r="D66" i="59"/>
  <c r="D65" i="59"/>
  <c r="C57" i="59"/>
  <c r="D57" i="59"/>
  <c r="D42" i="59"/>
  <c r="C27" i="59"/>
  <c r="T27" i="59"/>
  <c r="N16" i="4"/>
  <c r="D43" i="59"/>
  <c r="D2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Z21" i="37"/>
  <c r="Q21" i="37"/>
  <c r="F21" i="37"/>
  <c r="C21" i="37"/>
  <c r="F77" i="37"/>
  <c r="G77" i="37"/>
  <c r="D77" i="37"/>
  <c r="E77" i="37"/>
  <c r="Q21" i="34"/>
  <c r="Z21" i="34"/>
  <c r="C21" i="34"/>
  <c r="D84" i="34"/>
  <c r="E84" i="34"/>
  <c r="F21" i="34"/>
  <c r="AA21" i="34"/>
  <c r="Q21" i="33"/>
  <c r="Z21" i="33"/>
  <c r="C21" i="33"/>
  <c r="D83" i="33"/>
  <c r="Q21" i="21"/>
  <c r="Z21" i="21"/>
  <c r="D83" i="21"/>
  <c r="E83" i="21"/>
  <c r="F83" i="21"/>
  <c r="G83" i="21"/>
  <c r="C21" i="21"/>
  <c r="Q27" i="40"/>
  <c r="Z27" i="40"/>
  <c r="D96" i="40"/>
  <c r="E96" i="40"/>
  <c r="F96" i="40"/>
  <c r="F27" i="40"/>
  <c r="AA27" i="40"/>
  <c r="Q31" i="39"/>
  <c r="Z31" i="39"/>
  <c r="D105" i="39"/>
  <c r="E105" i="39"/>
  <c r="F105" i="39"/>
  <c r="G105" i="39"/>
  <c r="F31" i="39"/>
  <c r="AA31" i="39"/>
  <c r="G20" i="20"/>
  <c r="B85" i="46"/>
  <c r="C22" i="20"/>
  <c r="B65" i="46"/>
  <c r="S18" i="36"/>
  <c r="S18" i="35"/>
  <c r="S21" i="34"/>
  <c r="S27" i="40"/>
  <c r="C27" i="40"/>
  <c r="C31" i="39"/>
  <c r="B54" i="46"/>
  <c r="B74" i="46"/>
  <c r="E66" i="36"/>
  <c r="H18" i="35"/>
  <c r="J18" i="35"/>
  <c r="H21" i="37"/>
  <c r="J21" i="37"/>
  <c r="F84" i="34"/>
  <c r="G84" i="34"/>
  <c r="J21" i="34"/>
  <c r="H21" i="34"/>
  <c r="F21" i="33"/>
  <c r="J21" i="33"/>
  <c r="U21" i="21"/>
  <c r="H27" i="40"/>
  <c r="H31" i="39"/>
  <c r="F23" i="15"/>
  <c r="D22" i="15" s="1"/>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G12" i="1"/>
  <c r="D13" i="1"/>
  <c r="D6" i="1"/>
  <c r="D7" i="1"/>
  <c r="D9" i="1"/>
  <c r="F10" i="1"/>
  <c r="AP10" i="1"/>
  <c r="D10" i="1"/>
  <c r="B2" i="1"/>
  <c r="C42" i="1"/>
  <c r="A12" i="1"/>
  <c r="R12" i="1"/>
  <c r="A13" i="1"/>
  <c r="B13" i="1"/>
  <c r="E13" i="1"/>
  <c r="A7"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G9" i="1"/>
  <c r="F19" i="4"/>
  <c r="E19" i="4"/>
  <c r="F7" i="1"/>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7" i="12"/>
  <c r="E19" i="12"/>
  <c r="E21" i="12"/>
  <c r="E22" i="12"/>
  <c r="F23" i="12"/>
  <c r="F24" i="12"/>
  <c r="F25" i="12"/>
  <c r="C43" i="9"/>
  <c r="K47" i="9"/>
  <c r="B65" i="63"/>
  <c r="I73" i="9"/>
  <c r="F73" i="9"/>
  <c r="P73" i="9"/>
  <c r="D107" i="9"/>
  <c r="C107" i="9"/>
  <c r="C105"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K44" i="9"/>
  <c r="K43" i="9"/>
  <c r="B31" i="1"/>
  <c r="E10" i="11"/>
  <c r="B22" i="1"/>
  <c r="C2" i="65" s="1"/>
  <c r="I1" i="65" s="1"/>
  <c r="B23" i="1"/>
  <c r="BM14" i="3"/>
  <c r="BM15"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E16" i="3"/>
  <c r="BF16" i="3"/>
  <c r="BG16" i="3"/>
  <c r="BH16" i="3"/>
  <c r="BI16" i="3"/>
  <c r="BJ16" i="3"/>
  <c r="BK16" i="3"/>
  <c r="BC11" i="3"/>
  <c r="C11" i="11"/>
  <c r="C10" i="1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c r="BN483" i="3"/>
  <c r="BO483" i="3"/>
  <c r="BP483" i="3"/>
  <c r="BQ483" i="3"/>
  <c r="BR483" i="3"/>
  <c r="BS483" i="3"/>
  <c r="BT483" i="3"/>
  <c r="H484" i="3"/>
  <c r="G484" i="3"/>
  <c r="AC484" i="3"/>
  <c r="BB484" i="3"/>
  <c r="BA484" i="3"/>
  <c r="AZ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c r="BO500" i="3"/>
  <c r="BP500" i="3"/>
  <c r="BR500" i="3"/>
  <c r="BS500" i="3"/>
  <c r="BT500" i="3"/>
  <c r="H501" i="3"/>
  <c r="AC501" i="3"/>
  <c r="BB501" i="3"/>
  <c r="BA501" i="3"/>
  <c r="BC501" i="3"/>
  <c r="BD501" i="3"/>
  <c r="BE501" i="3"/>
  <c r="BF501" i="3"/>
  <c r="BG501" i="3"/>
  <c r="BH501" i="3"/>
  <c r="BI501" i="3"/>
  <c r="BJ501" i="3"/>
  <c r="BK501" i="3"/>
  <c r="BM501" i="3"/>
  <c r="BL501" i="3"/>
  <c r="BN501" i="3"/>
  <c r="BO501" i="3"/>
  <c r="BP501" i="3"/>
  <c r="BQ501" i="3"/>
  <c r="BR501" i="3"/>
  <c r="BS501" i="3"/>
  <c r="BT501" i="3"/>
  <c r="H502" i="3"/>
  <c r="G502" i="3"/>
  <c r="AC502" i="3"/>
  <c r="BB502" i="3"/>
  <c r="BA502" i="3"/>
  <c r="BC502" i="3"/>
  <c r="BD502" i="3"/>
  <c r="BE502" i="3"/>
  <c r="BF502" i="3"/>
  <c r="BG502" i="3"/>
  <c r="BH502" i="3"/>
  <c r="BI502" i="3"/>
  <c r="BJ502" i="3"/>
  <c r="BK502" i="3"/>
  <c r="BM502" i="3"/>
  <c r="BL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A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L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L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L543" i="3"/>
  <c r="AZ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A545" i="3"/>
  <c r="AZ545" i="3"/>
  <c r="BD545" i="3"/>
  <c r="BE545" i="3"/>
  <c r="BF545" i="3"/>
  <c r="BG545" i="3"/>
  <c r="BH545" i="3"/>
  <c r="BI545" i="3"/>
  <c r="BJ545" i="3"/>
  <c r="BK545" i="3"/>
  <c r="BM545" i="3"/>
  <c r="BN545" i="3"/>
  <c r="BO545" i="3"/>
  <c r="BP545" i="3"/>
  <c r="BQ545" i="3"/>
  <c r="BR545" i="3"/>
  <c r="BS545" i="3"/>
  <c r="BT545" i="3"/>
  <c r="H546" i="3"/>
  <c r="AC546" i="3"/>
  <c r="BB546" i="3"/>
  <c r="BC546" i="3"/>
  <c r="BA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A550" i="3"/>
  <c r="BD550" i="3"/>
  <c r="BE550" i="3"/>
  <c r="BF550" i="3"/>
  <c r="BG550" i="3"/>
  <c r="BH550" i="3"/>
  <c r="BI550" i="3"/>
  <c r="BJ550" i="3"/>
  <c r="BK550" i="3"/>
  <c r="BM550" i="3"/>
  <c r="BN550" i="3"/>
  <c r="BL550" i="3"/>
  <c r="BO550" i="3"/>
  <c r="BP550" i="3"/>
  <c r="BR550" i="3"/>
  <c r="BS550" i="3"/>
  <c r="BT550" i="3"/>
  <c r="H551" i="3"/>
  <c r="AC551" i="3"/>
  <c r="G551" i="3"/>
  <c r="BB551" i="3"/>
  <c r="BC551" i="3"/>
  <c r="BA551" i="3"/>
  <c r="BD551" i="3"/>
  <c r="BE551" i="3"/>
  <c r="BF551" i="3"/>
  <c r="BG551" i="3"/>
  <c r="BH551" i="3"/>
  <c r="BI551" i="3"/>
  <c r="BJ551" i="3"/>
  <c r="BK551" i="3"/>
  <c r="BM551" i="3"/>
  <c r="BN551" i="3"/>
  <c r="BL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A555" i="3"/>
  <c r="AZ555" i="3"/>
  <c r="BC555" i="3"/>
  <c r="BD555" i="3"/>
  <c r="BE555" i="3"/>
  <c r="BF555" i="3"/>
  <c r="BG555" i="3"/>
  <c r="BH555" i="3"/>
  <c r="BI555" i="3"/>
  <c r="BJ555" i="3"/>
  <c r="BK555" i="3"/>
  <c r="BM555" i="3"/>
  <c r="BN555" i="3"/>
  <c r="BO555" i="3"/>
  <c r="BP555" i="3"/>
  <c r="BQ555" i="3"/>
  <c r="BR555" i="3"/>
  <c r="BS555" i="3"/>
  <c r="BT555" i="3"/>
  <c r="H556" i="3"/>
  <c r="G556" i="3"/>
  <c r="AC556" i="3"/>
  <c r="BB556" i="3"/>
  <c r="BA556" i="3"/>
  <c r="BC556" i="3"/>
  <c r="BD556" i="3"/>
  <c r="BE556" i="3"/>
  <c r="BF556" i="3"/>
  <c r="BG556" i="3"/>
  <c r="BH556" i="3"/>
  <c r="BI556" i="3"/>
  <c r="BJ556" i="3"/>
  <c r="BK556" i="3"/>
  <c r="BM556" i="3"/>
  <c r="BL556" i="3"/>
  <c r="BN556" i="3"/>
  <c r="BO556" i="3"/>
  <c r="BP556" i="3"/>
  <c r="BR556" i="3"/>
  <c r="BS556" i="3"/>
  <c r="BT556" i="3"/>
  <c r="H557" i="3"/>
  <c r="AC557" i="3"/>
  <c r="G557" i="3"/>
  <c r="BB557" i="3"/>
  <c r="BC557" i="3"/>
  <c r="BA557" i="3"/>
  <c r="AZ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L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A560" i="3"/>
  <c r="BD560" i="3"/>
  <c r="BE560" i="3"/>
  <c r="BF560" i="3"/>
  <c r="BG560" i="3"/>
  <c r="BH560" i="3"/>
  <c r="BI560" i="3"/>
  <c r="BJ560" i="3"/>
  <c r="BK560" i="3"/>
  <c r="BM560" i="3"/>
  <c r="BN560" i="3"/>
  <c r="BL560" i="3"/>
  <c r="BO560" i="3"/>
  <c r="BP560" i="3"/>
  <c r="BR560" i="3"/>
  <c r="BS560" i="3"/>
  <c r="BT560" i="3"/>
  <c r="H561" i="3"/>
  <c r="AC561" i="3"/>
  <c r="BB561" i="3"/>
  <c r="BC561" i="3"/>
  <c r="BD561" i="3"/>
  <c r="BE561" i="3"/>
  <c r="BF561" i="3"/>
  <c r="BG561" i="3"/>
  <c r="BH561" i="3"/>
  <c r="BI561" i="3"/>
  <c r="BJ561" i="3"/>
  <c r="BK561" i="3"/>
  <c r="BM561" i="3"/>
  <c r="BL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A565" i="3"/>
  <c r="BC565" i="3"/>
  <c r="BD565" i="3"/>
  <c r="BE565" i="3"/>
  <c r="BF565" i="3"/>
  <c r="BG565" i="3"/>
  <c r="BH565" i="3"/>
  <c r="BI565" i="3"/>
  <c r="BJ565" i="3"/>
  <c r="BK565" i="3"/>
  <c r="BM565" i="3"/>
  <c r="BN565" i="3"/>
  <c r="BO565" i="3"/>
  <c r="BP565" i="3"/>
  <c r="BQ565" i="3"/>
  <c r="BR565" i="3"/>
  <c r="BS565" i="3"/>
  <c r="BT565" i="3"/>
  <c r="H566" i="3"/>
  <c r="G566" i="3"/>
  <c r="AC566" i="3"/>
  <c r="BB566" i="3"/>
  <c r="BA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L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S34" i="37"/>
  <c r="D99" i="37"/>
  <c r="E99" i="37"/>
  <c r="H42" i="34"/>
  <c r="J42" i="34"/>
  <c r="W42" i="34"/>
  <c r="F42" i="34"/>
  <c r="J38" i="34"/>
  <c r="W38" i="34"/>
  <c r="D114" i="34"/>
  <c r="F38" i="34"/>
  <c r="S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H13" i="36"/>
  <c r="AB13"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AC25"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S8" i="33"/>
  <c r="C7" i="33"/>
  <c r="C58" i="33"/>
  <c r="D58"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D79" i="21"/>
  <c r="E79" i="21"/>
  <c r="F79" i="21"/>
  <c r="G79" i="21"/>
  <c r="F85" i="21"/>
  <c r="G85" i="21"/>
  <c r="D81" i="21"/>
  <c r="E81" i="21"/>
  <c r="F81" i="21"/>
  <c r="G81" i="21"/>
  <c r="G77" i="21"/>
  <c r="B130" i="21"/>
  <c r="B128" i="21"/>
  <c r="B126" i="21"/>
  <c r="B98" i="21"/>
  <c r="B96" i="21"/>
  <c r="H30" i="21"/>
  <c r="B94" i="21"/>
  <c r="B92" i="21"/>
  <c r="J28" i="21"/>
  <c r="AC28" i="21"/>
  <c r="B90" i="21"/>
  <c r="B74" i="21"/>
  <c r="J1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L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B5" i="3"/>
  <c r="BC572" i="3"/>
  <c r="BD572" i="3"/>
  <c r="BE572" i="3"/>
  <c r="BF572" i="3"/>
  <c r="BG572" i="3"/>
  <c r="BH572" i="3"/>
  <c r="BI572" i="3"/>
  <c r="BJ572" i="3"/>
  <c r="BK572" i="3"/>
  <c r="BM572" i="3"/>
  <c r="BL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F5" i="3"/>
  <c r="G27" i="6"/>
  <c r="F34" i="21"/>
  <c r="AA34" i="21"/>
  <c r="F43" i="21"/>
  <c r="S43" i="21"/>
  <c r="H38" i="21"/>
  <c r="AB38" i="21"/>
  <c r="H43" i="21"/>
  <c r="AB43" i="21"/>
  <c r="F32" i="21"/>
  <c r="S32" i="21"/>
  <c r="F38" i="21"/>
  <c r="S38" i="21"/>
  <c r="F36" i="21"/>
  <c r="S36" i="21"/>
  <c r="J40" i="21"/>
  <c r="W40" i="21"/>
  <c r="H35" i="21"/>
  <c r="AB35" i="21"/>
  <c r="J8" i="21"/>
  <c r="AC8" i="21"/>
  <c r="H8" i="21"/>
  <c r="U8" i="21"/>
  <c r="H10" i="21"/>
  <c r="U10" i="21"/>
  <c r="J34" i="21"/>
  <c r="W34" i="21"/>
  <c r="H36" i="21"/>
  <c r="U36" i="21"/>
  <c r="F35" i="21"/>
  <c r="AA35" i="21"/>
  <c r="J10" i="21"/>
  <c r="AC10" i="21"/>
  <c r="H26" i="21"/>
  <c r="AB26" i="21"/>
  <c r="H19" i="21"/>
  <c r="AB19" i="21"/>
  <c r="J12" i="21"/>
  <c r="W12" i="21"/>
  <c r="J26" i="21"/>
  <c r="W26" i="21"/>
  <c r="F26" i="21"/>
  <c r="AA26" i="21"/>
  <c r="AB41" i="21"/>
  <c r="S41" i="21"/>
  <c r="AA41" i="21"/>
  <c r="S10" i="39"/>
  <c r="U30" i="37"/>
  <c r="E103" i="37"/>
  <c r="F103" i="37"/>
  <c r="G103" i="37"/>
  <c r="F39" i="37"/>
  <c r="S39" i="37"/>
  <c r="W39" i="37"/>
  <c r="F29" i="36"/>
  <c r="AA29" i="36"/>
  <c r="F16" i="36"/>
  <c r="AA16" i="36"/>
  <c r="U22" i="36"/>
  <c r="W23" i="36"/>
  <c r="W22" i="36"/>
  <c r="U26" i="36"/>
  <c r="AC31" i="36"/>
  <c r="J33" i="36"/>
  <c r="W33" i="36"/>
  <c r="AC27" i="35"/>
  <c r="U31" i="35"/>
  <c r="S34" i="35"/>
  <c r="W36" i="35"/>
  <c r="W24" i="35"/>
  <c r="W31" i="35"/>
  <c r="U34" i="35"/>
  <c r="F36" i="34"/>
  <c r="S36" i="34"/>
  <c r="W9" i="34"/>
  <c r="W39" i="34"/>
  <c r="H39" i="33"/>
  <c r="AB39" i="33"/>
  <c r="F26" i="33"/>
  <c r="AA26" i="33"/>
  <c r="S40" i="33"/>
  <c r="S33" i="33"/>
  <c r="W33" i="33"/>
  <c r="H39" i="37"/>
  <c r="AB39" i="37"/>
  <c r="AB27" i="35"/>
  <c r="S10" i="40"/>
  <c r="W10" i="40"/>
  <c r="S11" i="40"/>
  <c r="U11" i="40"/>
  <c r="S36" i="40"/>
  <c r="U36" i="40"/>
  <c r="S36" i="39"/>
  <c r="AC35" i="21"/>
  <c r="C29" i="39"/>
  <c r="C23" i="39"/>
  <c r="U36" i="39"/>
  <c r="S42"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AC8" i="35"/>
  <c r="F35" i="37"/>
  <c r="E101" i="37"/>
  <c r="F101" i="37"/>
  <c r="G101" i="37"/>
  <c r="H101" i="37"/>
  <c r="I101" i="37"/>
  <c r="J101" i="37"/>
  <c r="K101" i="37"/>
  <c r="L101" i="37"/>
  <c r="M101" i="37"/>
  <c r="J34" i="37"/>
  <c r="W34" i="37"/>
  <c r="H43" i="34"/>
  <c r="AB43" i="34"/>
  <c r="U42" i="34"/>
  <c r="E114" i="34"/>
  <c r="H36" i="34"/>
  <c r="U36" i="34"/>
  <c r="F37" i="34"/>
  <c r="AA37" i="34"/>
  <c r="F33" i="34"/>
  <c r="S33" i="34"/>
  <c r="F19" i="34"/>
  <c r="AA19" i="34"/>
  <c r="J10" i="34"/>
  <c r="AC10" i="34"/>
  <c r="U9" i="34"/>
  <c r="W8" i="34"/>
  <c r="J28" i="34"/>
  <c r="W28" i="34"/>
  <c r="F36" i="33"/>
  <c r="S36" i="33"/>
  <c r="J19" i="33"/>
  <c r="AC19" i="33"/>
  <c r="W40" i="33"/>
  <c r="G86" i="40"/>
  <c r="AB30" i="36"/>
  <c r="AC34" i="36"/>
  <c r="S22" i="35"/>
  <c r="H29" i="35"/>
  <c r="U34" i="37"/>
  <c r="AA34" i="37"/>
  <c r="AC43" i="34"/>
  <c r="AB42" i="34"/>
  <c r="W36" i="34"/>
  <c r="J19" i="34"/>
  <c r="AC19" i="34"/>
  <c r="H37" i="33"/>
  <c r="AB37" i="33"/>
  <c r="S37" i="33"/>
  <c r="W43" i="34"/>
  <c r="AC42" i="34"/>
  <c r="AA42" i="34"/>
  <c r="S42" i="34"/>
  <c r="AC38" i="34"/>
  <c r="AA38" i="34"/>
  <c r="J37" i="33"/>
  <c r="W37" i="33"/>
  <c r="J42" i="21"/>
  <c r="AC42" i="21"/>
  <c r="J44" i="34"/>
  <c r="AC44" i="34"/>
  <c r="F44" i="34"/>
  <c r="S44" i="34"/>
  <c r="J10" i="35"/>
  <c r="W10" i="35"/>
  <c r="AL5" i="3"/>
  <c r="BQ13" i="3"/>
  <c r="BL13" i="3"/>
  <c r="F14" i="21"/>
  <c r="AA14" i="21"/>
  <c r="H14" i="21"/>
  <c r="U14" i="21"/>
  <c r="H28" i="21"/>
  <c r="AB28" i="21"/>
  <c r="F28" i="21"/>
  <c r="AA28"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c r="F13" i="33"/>
  <c r="S13" i="33"/>
  <c r="J29" i="33"/>
  <c r="W29" i="33"/>
  <c r="J45" i="33"/>
  <c r="W45" i="33"/>
  <c r="F45" i="33"/>
  <c r="S45" i="33"/>
  <c r="F11" i="35"/>
  <c r="S11" i="35"/>
  <c r="H28" i="36"/>
  <c r="U28" i="36"/>
  <c r="H32" i="36"/>
  <c r="AB32" i="36"/>
  <c r="J32" i="36"/>
  <c r="W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AB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H38" i="37"/>
  <c r="AB38" i="37"/>
  <c r="J38" i="37"/>
  <c r="AC38" i="37"/>
  <c r="F38" i="37"/>
  <c r="S38" i="37"/>
  <c r="F14" i="37"/>
  <c r="AA14" i="37"/>
  <c r="F27" i="37"/>
  <c r="AA27" i="37"/>
  <c r="J14" i="37"/>
  <c r="W14" i="37"/>
  <c r="J27" i="37"/>
  <c r="W27" i="37"/>
  <c r="AA38" i="37"/>
  <c r="AB13" i="35"/>
  <c r="W46" i="33"/>
  <c r="J36" i="37"/>
  <c r="AC36" i="37"/>
  <c r="AB28" i="36"/>
  <c r="AB31" i="21"/>
  <c r="AB13" i="21"/>
  <c r="U46" i="21"/>
  <c r="S28" i="21"/>
  <c r="AB14" i="21"/>
  <c r="W31" i="34"/>
  <c r="S46" i="33"/>
  <c r="U36" i="37"/>
  <c r="AB45" i="33"/>
  <c r="S45" i="21"/>
  <c r="U28" i="21"/>
  <c r="G529" i="3"/>
  <c r="G517" i="3"/>
  <c r="G508" i="3"/>
  <c r="G499" i="3"/>
  <c r="G493" i="3"/>
  <c r="G17" i="3"/>
  <c r="G561" i="3"/>
  <c r="G549" i="3"/>
  <c r="G539" i="3"/>
  <c r="BL557" i="3"/>
  <c r="BL553" i="3"/>
  <c r="BL545" i="3"/>
  <c r="BL527" i="3"/>
  <c r="BL519" i="3"/>
  <c r="BL511" i="3"/>
  <c r="BL491" i="3"/>
  <c r="BL563" i="3"/>
  <c r="BL559" i="3"/>
  <c r="BL555" i="3"/>
  <c r="BL541" i="3"/>
  <c r="BL533" i="3"/>
  <c r="BL525" i="3"/>
  <c r="G518" i="3"/>
  <c r="G514" i="3"/>
  <c r="G510" i="3"/>
  <c r="BL503" i="3"/>
  <c r="BL485" i="3"/>
  <c r="BA569" i="3"/>
  <c r="AZ569" i="3"/>
  <c r="BA561" i="3"/>
  <c r="AZ561" i="3"/>
  <c r="BA559" i="3"/>
  <c r="AZ559" i="3"/>
  <c r="BA543" i="3"/>
  <c r="BA541" i="3"/>
  <c r="AZ541" i="3"/>
  <c r="BA531" i="3"/>
  <c r="BA521" i="3"/>
  <c r="BA509" i="3"/>
  <c r="BA505" i="3"/>
  <c r="BA493" i="3"/>
  <c r="AZ493" i="3"/>
  <c r="BA487" i="3"/>
  <c r="BA19" i="3"/>
  <c r="BA572" i="3"/>
  <c r="AZ572" i="3"/>
  <c r="BA562" i="3"/>
  <c r="AZ562" i="3"/>
  <c r="BA558" i="3"/>
  <c r="AZ558" i="3"/>
  <c r="BA554" i="3"/>
  <c r="BA544" i="3"/>
  <c r="AZ544" i="3"/>
  <c r="BA540" i="3"/>
  <c r="BA536" i="3"/>
  <c r="BA532" i="3"/>
  <c r="BA528" i="3"/>
  <c r="BA520" i="3"/>
  <c r="AZ520" i="3"/>
  <c r="BA516" i="3"/>
  <c r="AZ516" i="3"/>
  <c r="BA508" i="3"/>
  <c r="BA498" i="3"/>
  <c r="BA492" i="3"/>
  <c r="AZ492" i="3"/>
  <c r="BA488" i="3"/>
  <c r="BA20" i="3"/>
  <c r="G562" i="3"/>
  <c r="G558" i="3"/>
  <c r="G554" i="3"/>
  <c r="G546" i="3"/>
  <c r="BA542" i="3"/>
  <c r="AC542" i="3"/>
  <c r="G542" i="3"/>
  <c r="BQ542" i="3"/>
  <c r="BL542" i="3"/>
  <c r="AZ542" i="3"/>
  <c r="BQ568" i="3"/>
  <c r="BQ566" i="3"/>
  <c r="BL566" i="3"/>
  <c r="BQ564" i="3"/>
  <c r="BL564" i="3"/>
  <c r="BQ562" i="3"/>
  <c r="BL562" i="3"/>
  <c r="BQ560" i="3"/>
  <c r="BQ558" i="3"/>
  <c r="BQ556" i="3"/>
  <c r="BQ554" i="3"/>
  <c r="BQ552" i="3"/>
  <c r="BL552" i="3"/>
  <c r="BQ550" i="3"/>
  <c r="BQ548" i="3"/>
  <c r="BL548" i="3"/>
  <c r="BQ546" i="3"/>
  <c r="BL546" i="3"/>
  <c r="BQ544" i="3"/>
  <c r="BL544" i="3"/>
  <c r="G544" i="3"/>
  <c r="G534" i="3"/>
  <c r="G526" i="3"/>
  <c r="BQ540" i="3"/>
  <c r="BL540" i="3"/>
  <c r="BQ538" i="3"/>
  <c r="BQ536" i="3"/>
  <c r="BQ534" i="3"/>
  <c r="BL534" i="3"/>
  <c r="BQ532" i="3"/>
  <c r="BL532" i="3"/>
  <c r="AZ532" i="3"/>
  <c r="BQ530" i="3"/>
  <c r="BQ528" i="3"/>
  <c r="BQ526" i="3"/>
  <c r="BL526" i="3"/>
  <c r="BQ524" i="3"/>
  <c r="BL524" i="3"/>
  <c r="BQ522" i="3"/>
  <c r="BQ520" i="3"/>
  <c r="BQ518" i="3"/>
  <c r="BQ516" i="3"/>
  <c r="BL516" i="3"/>
  <c r="BQ514" i="3"/>
  <c r="BL514" i="3"/>
  <c r="BQ512" i="3"/>
  <c r="BQ510" i="3"/>
  <c r="BL510" i="3"/>
  <c r="BQ508" i="3"/>
  <c r="BL508" i="3"/>
  <c r="AC506" i="3"/>
  <c r="G506" i="3"/>
  <c r="BQ506" i="3"/>
  <c r="G498" i="3"/>
  <c r="BQ504" i="3"/>
  <c r="BQ502" i="3"/>
  <c r="BQ500" i="3"/>
  <c r="BQ498" i="3"/>
  <c r="BQ496" i="3"/>
  <c r="AC494" i="3"/>
  <c r="BQ494" i="3"/>
  <c r="BL493" i="3"/>
  <c r="G488" i="3"/>
  <c r="G20" i="3"/>
  <c r="BQ492" i="3"/>
  <c r="BL492" i="3"/>
  <c r="BQ490" i="3"/>
  <c r="BQ488" i="3"/>
  <c r="BL488" i="3"/>
  <c r="BQ486" i="3"/>
  <c r="BL486" i="3"/>
  <c r="BQ484" i="3"/>
  <c r="BL484" i="3"/>
  <c r="BQ482" i="3"/>
  <c r="BL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U17" i="37"/>
  <c r="F23" i="37"/>
  <c r="S23" i="37"/>
  <c r="F79" i="37"/>
  <c r="AB27" i="37"/>
  <c r="F39" i="33"/>
  <c r="AA39" i="33"/>
  <c r="E123" i="33"/>
  <c r="F123" i="33"/>
  <c r="G123" i="33"/>
  <c r="H123" i="33"/>
  <c r="I123" i="33"/>
  <c r="J123" i="33"/>
  <c r="K123" i="33"/>
  <c r="L123" i="33"/>
  <c r="M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W23" i="35"/>
  <c r="AC23" i="37"/>
  <c r="S27" i="37"/>
  <c r="AC8" i="37"/>
  <c r="S25" i="37"/>
  <c r="AC36" i="34"/>
  <c r="AB8" i="34"/>
  <c r="AA13"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AZ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BL299" i="3"/>
  <c r="G300" i="3"/>
  <c r="G303" i="3"/>
  <c r="BL304" i="3"/>
  <c r="BA306" i="3"/>
  <c r="AZ306" i="3"/>
  <c r="BA307" i="3"/>
  <c r="BL307" i="3"/>
  <c r="AZ307" i="3"/>
  <c r="G308" i="3"/>
  <c r="G319" i="3"/>
  <c r="BL320" i="3"/>
  <c r="BA322" i="3"/>
  <c r="AZ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Z354" i="3"/>
  <c r="AA36" i="35"/>
  <c r="H11" i="37"/>
  <c r="AB11" i="37"/>
  <c r="W37" i="37"/>
  <c r="AA30" i="33"/>
  <c r="AB17" i="37"/>
  <c r="AZ508" i="3"/>
  <c r="AZ524" i="3"/>
  <c r="AZ546" i="3"/>
  <c r="AC29" i="33"/>
  <c r="AA45" i="33"/>
  <c r="AC11" i="36"/>
  <c r="AC10" i="36"/>
  <c r="AB45" i="34"/>
  <c r="AC14" i="37"/>
  <c r="W44" i="33"/>
  <c r="AC30" i="33"/>
  <c r="AC29" i="37"/>
  <c r="AC32" i="36"/>
  <c r="AB28" i="33"/>
  <c r="J33" i="34"/>
  <c r="AB36" i="34"/>
  <c r="J40" i="34"/>
  <c r="W40" i="34"/>
  <c r="F16" i="35"/>
  <c r="AA16" i="35"/>
  <c r="S24" i="36"/>
  <c r="J35" i="34"/>
  <c r="W35" i="34"/>
  <c r="F107" i="34"/>
  <c r="G107" i="34"/>
  <c r="H107" i="34"/>
  <c r="I107" i="34"/>
  <c r="J107" i="34"/>
  <c r="K107" i="34"/>
  <c r="L107" i="34"/>
  <c r="M107" i="34"/>
  <c r="S30" i="36"/>
  <c r="H16" i="36"/>
  <c r="AB16" i="36"/>
  <c r="H103" i="37"/>
  <c r="I103" i="37"/>
  <c r="J103" i="37"/>
  <c r="K103" i="37"/>
  <c r="L103" i="37"/>
  <c r="M103" i="37"/>
  <c r="H35" i="37"/>
  <c r="S26" i="21"/>
  <c r="H32" i="21"/>
  <c r="U26" i="21"/>
  <c r="J32" i="21"/>
  <c r="AC32" i="21"/>
  <c r="G13" i="3"/>
  <c r="AC5" i="3"/>
  <c r="H17" i="21"/>
  <c r="U17" i="21"/>
  <c r="H37" i="21"/>
  <c r="U37" i="21"/>
  <c r="F40" i="21"/>
  <c r="S40" i="21"/>
  <c r="H40" i="21"/>
  <c r="AB40" i="21"/>
  <c r="E119" i="21"/>
  <c r="F119" i="21"/>
  <c r="G119" i="21"/>
  <c r="H119" i="21"/>
  <c r="I119" i="21"/>
  <c r="J119" i="21"/>
  <c r="K119" i="21"/>
  <c r="L119" i="21"/>
  <c r="M119" i="21"/>
  <c r="AA8" i="33"/>
  <c r="AC8" i="33"/>
  <c r="H66" i="33"/>
  <c r="F10" i="33"/>
  <c r="AA10" i="33"/>
  <c r="F11" i="33"/>
  <c r="S11" i="33"/>
  <c r="J15" i="33"/>
  <c r="W15" i="33"/>
  <c r="F32" i="33"/>
  <c r="AA32" i="33"/>
  <c r="F35" i="33"/>
  <c r="AA35" i="33"/>
  <c r="F11" i="34"/>
  <c r="S11" i="34"/>
  <c r="E80" i="34"/>
  <c r="F80" i="34"/>
  <c r="G80" i="34"/>
  <c r="H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F99" i="37"/>
  <c r="AC27" i="37"/>
  <c r="S45" i="34"/>
  <c r="U31" i="34"/>
  <c r="AC45" i="21"/>
  <c r="AA44" i="34"/>
  <c r="AB29" i="35"/>
  <c r="U29" i="35"/>
  <c r="U43" i="34"/>
  <c r="AC34" i="37"/>
  <c r="S35" i="37"/>
  <c r="AA35" i="37"/>
  <c r="AB10" i="35"/>
  <c r="AA32" i="21"/>
  <c r="BL571" i="3"/>
  <c r="AZ571" i="3"/>
  <c r="AZ570" i="3"/>
  <c r="BE5" i="3"/>
  <c r="F42" i="21"/>
  <c r="AA42" i="21"/>
  <c r="U40" i="33"/>
  <c r="AA35" i="34"/>
  <c r="S35" i="34"/>
  <c r="E90" i="34"/>
  <c r="H27" i="34"/>
  <c r="AB8" i="35"/>
  <c r="U8" i="35"/>
  <c r="S9" i="35"/>
  <c r="J14" i="35"/>
  <c r="AC14" i="35"/>
  <c r="F14" i="35"/>
  <c r="H14" i="35"/>
  <c r="E80" i="35"/>
  <c r="E94" i="35"/>
  <c r="F94" i="35"/>
  <c r="G94" i="35"/>
  <c r="H94" i="35"/>
  <c r="I94" i="35"/>
  <c r="J94" i="35"/>
  <c r="K94" i="35"/>
  <c r="L94" i="35"/>
  <c r="M94" i="35"/>
  <c r="J32" i="35"/>
  <c r="AC32" i="35"/>
  <c r="H11" i="36"/>
  <c r="F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AC39" i="39"/>
  <c r="J29" i="35"/>
  <c r="AC29" i="35"/>
  <c r="F29" i="35"/>
  <c r="S29" i="35"/>
  <c r="W30" i="36"/>
  <c r="AC30" i="36"/>
  <c r="F37" i="39"/>
  <c r="S37" i="39"/>
  <c r="H37" i="39"/>
  <c r="U37" i="39"/>
  <c r="J37" i="39"/>
  <c r="W37" i="39"/>
  <c r="BL568" i="3"/>
  <c r="BA568" i="3"/>
  <c r="AZ568" i="3"/>
  <c r="BL567" i="3"/>
  <c r="BA567" i="3"/>
  <c r="AZ567" i="3"/>
  <c r="AZ566" i="3"/>
  <c r="BL565" i="3"/>
  <c r="AZ565" i="3"/>
  <c r="BA564" i="3"/>
  <c r="AZ564" i="3"/>
  <c r="BA563" i="3"/>
  <c r="AZ563" i="3"/>
  <c r="BL554" i="3"/>
  <c r="AZ554" i="3"/>
  <c r="BA553" i="3"/>
  <c r="AZ553" i="3"/>
  <c r="BA552" i="3"/>
  <c r="AZ552" i="3"/>
  <c r="BL549" i="3"/>
  <c r="BA549" i="3"/>
  <c r="AZ549" i="3"/>
  <c r="BA548" i="3"/>
  <c r="BL547" i="3"/>
  <c r="BA547" i="3"/>
  <c r="AZ547" i="3"/>
  <c r="BL539" i="3"/>
  <c r="BA539" i="3"/>
  <c r="AZ539" i="3"/>
  <c r="BA538" i="3"/>
  <c r="AZ538" i="3"/>
  <c r="BL537" i="3"/>
  <c r="AZ537" i="3"/>
  <c r="BA537" i="3"/>
  <c r="BL536" i="3"/>
  <c r="BA535" i="3"/>
  <c r="AZ535" i="3"/>
  <c r="BA534" i="3"/>
  <c r="AZ534" i="3"/>
  <c r="BA533" i="3"/>
  <c r="AZ533" i="3"/>
  <c r="BL531" i="3"/>
  <c r="AZ531" i="3"/>
  <c r="BL530" i="3"/>
  <c r="AZ530" i="3"/>
  <c r="BA530" i="3"/>
  <c r="BL529" i="3"/>
  <c r="BA529" i="3"/>
  <c r="BL528" i="3"/>
  <c r="BA527" i="3"/>
  <c r="AZ527" i="3"/>
  <c r="BA526" i="3"/>
  <c r="AZ526" i="3"/>
  <c r="BA525" i="3"/>
  <c r="AZ525" i="3"/>
  <c r="BL523" i="3"/>
  <c r="BA523" i="3"/>
  <c r="AZ523" i="3"/>
  <c r="BL522" i="3"/>
  <c r="BA522" i="3"/>
  <c r="AZ522" i="3"/>
  <c r="BL521" i="3"/>
  <c r="BA519" i="3"/>
  <c r="AZ519" i="3"/>
  <c r="BL518" i="3"/>
  <c r="BA518" i="3"/>
  <c r="AZ518" i="3"/>
  <c r="BL517" i="3"/>
  <c r="BA517" i="3"/>
  <c r="AZ517" i="3"/>
  <c r="BL515" i="3"/>
  <c r="AZ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AZ497" i="3"/>
  <c r="BA497" i="3"/>
  <c r="BL496" i="3"/>
  <c r="BA496" i="3"/>
  <c r="AZ496" i="3"/>
  <c r="BA495" i="3"/>
  <c r="AZ495" i="3"/>
  <c r="BL494" i="3"/>
  <c r="BA494" i="3"/>
  <c r="AZ494" i="3"/>
  <c r="G494" i="3"/>
  <c r="BA491" i="3"/>
  <c r="AZ491" i="3"/>
  <c r="BL490" i="3"/>
  <c r="BA490" i="3"/>
  <c r="AZ490" i="3"/>
  <c r="BL489" i="3"/>
  <c r="BA489" i="3"/>
  <c r="AZ489" i="3"/>
  <c r="BL487" i="3"/>
  <c r="AZ487"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H30" i="40"/>
  <c r="AB30" i="40"/>
  <c r="G100" i="40"/>
  <c r="H100" i="40"/>
  <c r="I100" i="40"/>
  <c r="J100" i="40"/>
  <c r="K100" i="40"/>
  <c r="L100" i="40"/>
  <c r="M100" i="40"/>
  <c r="J30" i="40"/>
  <c r="AC30" i="40"/>
  <c r="F38" i="40"/>
  <c r="AA38" i="40"/>
  <c r="AC12" i="21"/>
  <c r="AB10" i="21"/>
  <c r="AB8"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B36" i="35"/>
  <c r="U36" i="35"/>
  <c r="W12" i="36"/>
  <c r="AC12" i="36"/>
  <c r="U31" i="36"/>
  <c r="S8" i="37"/>
  <c r="AA8" i="37"/>
  <c r="F14" i="39"/>
  <c r="AA14" i="39"/>
  <c r="H14" i="39"/>
  <c r="AB14" i="39"/>
  <c r="J14" i="39"/>
  <c r="AC14" i="39"/>
  <c r="F16" i="39"/>
  <c r="AA16" i="39"/>
  <c r="H16" i="39"/>
  <c r="U16" i="39"/>
  <c r="J16" i="39"/>
  <c r="AC16" i="39"/>
  <c r="F23" i="39"/>
  <c r="AA23" i="39"/>
  <c r="E97" i="39"/>
  <c r="F15" i="40"/>
  <c r="J15" i="40"/>
  <c r="AC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c r="AZ391" i="3"/>
  <c r="AZ399" i="3"/>
  <c r="AZ403" i="3"/>
  <c r="AZ407" i="3"/>
  <c r="AZ415" i="3"/>
  <c r="AZ423" i="3"/>
  <c r="AZ431" i="3"/>
  <c r="AZ439" i="3"/>
  <c r="AZ454" i="3"/>
  <c r="B41" i="1"/>
  <c r="F34" i="44"/>
  <c r="J42" i="40"/>
  <c r="J40" i="40"/>
  <c r="J34" i="40"/>
  <c r="H16" i="40"/>
  <c r="AB16" i="40"/>
  <c r="H14" i="40"/>
  <c r="U14" i="40"/>
  <c r="F32" i="40"/>
  <c r="AA32" i="40"/>
  <c r="AZ401" i="3"/>
  <c r="AZ428" i="3"/>
  <c r="AZ433" i="3"/>
  <c r="AZ436" i="3"/>
  <c r="AZ441" i="3"/>
  <c r="AZ444" i="3"/>
  <c r="AZ449" i="3"/>
  <c r="AZ452" i="3"/>
  <c r="M1" i="46"/>
  <c r="M6" i="46"/>
  <c r="M10" i="46"/>
  <c r="N2" i="46"/>
  <c r="N5" i="46"/>
  <c r="F58" i="46"/>
  <c r="F47"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AB14" i="40"/>
  <c r="F27" i="43"/>
  <c r="F72" i="9"/>
  <c r="AC14" i="40"/>
  <c r="W35" i="40"/>
  <c r="S33" i="40"/>
  <c r="AB32" i="40"/>
  <c r="AC47" i="39"/>
  <c r="S47" i="39"/>
  <c r="AB25" i="39"/>
  <c r="U37" i="34"/>
  <c r="AB37" i="34"/>
  <c r="AC41" i="40"/>
  <c r="W41" i="40"/>
  <c r="U41" i="40"/>
  <c r="J23" i="40"/>
  <c r="AC23" i="40"/>
  <c r="G92" i="40"/>
  <c r="F23" i="40"/>
  <c r="S23" i="40"/>
  <c r="AB16" i="39"/>
  <c r="W14" i="39"/>
  <c r="U23" i="35"/>
  <c r="AB23" i="35"/>
  <c r="H20" i="35"/>
  <c r="F20" i="35"/>
  <c r="H15" i="34"/>
  <c r="AB15" i="34"/>
  <c r="J15" i="34"/>
  <c r="AC15" i="34"/>
  <c r="H41" i="33"/>
  <c r="U41" i="33"/>
  <c r="F121" i="33"/>
  <c r="G121" i="33"/>
  <c r="H121" i="33"/>
  <c r="I121" i="33"/>
  <c r="J121" i="33"/>
  <c r="K121" i="33"/>
  <c r="L121" i="33"/>
  <c r="M121" i="33"/>
  <c r="F30" i="40"/>
  <c r="AA30" i="40"/>
  <c r="AZ486" i="3"/>
  <c r="AZ504" i="3"/>
  <c r="AZ529" i="3"/>
  <c r="AZ548" i="3"/>
  <c r="AB37" i="39"/>
  <c r="AA29" i="35"/>
  <c r="J29" i="39"/>
  <c r="AC29" i="39"/>
  <c r="AB33" i="36"/>
  <c r="AA14" i="35"/>
  <c r="S14" i="35"/>
  <c r="G99" i="37"/>
  <c r="H99" i="37"/>
  <c r="I99" i="37"/>
  <c r="J99" i="37"/>
  <c r="K99" i="37"/>
  <c r="L99" i="37"/>
  <c r="M99" i="37"/>
  <c r="F33" i="37"/>
  <c r="AB19" i="39"/>
  <c r="U46" i="34"/>
  <c r="AC30" i="34"/>
  <c r="AA14" i="34"/>
  <c r="W12" i="34"/>
  <c r="U29" i="33"/>
  <c r="AC13" i="33"/>
  <c r="AA11" i="34"/>
  <c r="H15" i="33"/>
  <c r="U15" i="33"/>
  <c r="AA11" i="33"/>
  <c r="AA40" i="21"/>
  <c r="AB34" i="40"/>
  <c r="AB42" i="40"/>
  <c r="U42" i="40"/>
  <c r="AC16" i="40"/>
  <c r="W32" i="40"/>
  <c r="H25" i="40"/>
  <c r="AB25" i="40"/>
  <c r="G94" i="40"/>
  <c r="U47" i="39"/>
  <c r="J37" i="34"/>
  <c r="AC37" i="34"/>
  <c r="J36" i="33"/>
  <c r="W36" i="33"/>
  <c r="S41" i="40"/>
  <c r="AB23" i="40"/>
  <c r="H23" i="39"/>
  <c r="AB23" i="39"/>
  <c r="J23" i="39"/>
  <c r="W23" i="39"/>
  <c r="F97" i="39"/>
  <c r="G97" i="39"/>
  <c r="S16" i="39"/>
  <c r="S15" i="34"/>
  <c r="AA15" i="34"/>
  <c r="J34" i="33"/>
  <c r="AC34" i="33"/>
  <c r="U30" i="40"/>
  <c r="AA37" i="39"/>
  <c r="W29" i="35"/>
  <c r="W39" i="39"/>
  <c r="AA39" i="39"/>
  <c r="S39" i="39"/>
  <c r="AB46" i="39"/>
  <c r="AB44" i="39"/>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J11" i="34"/>
  <c r="F25" i="40"/>
  <c r="AA25" i="40"/>
  <c r="J11" i="33"/>
  <c r="W11" i="33"/>
  <c r="H33" i="37"/>
  <c r="AB33" i="37"/>
  <c r="W15" i="34"/>
  <c r="U20" i="35"/>
  <c r="AB20" i="35"/>
  <c r="W23" i="40"/>
  <c r="D73" i="9"/>
  <c r="N73" i="9"/>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W20" i="35"/>
  <c r="S16" i="35"/>
  <c r="AC10" i="35"/>
  <c r="W13" i="35"/>
  <c r="AC18" i="35"/>
  <c r="W18" i="35"/>
  <c r="U18" i="35"/>
  <c r="AB18" i="35"/>
  <c r="S30" i="35"/>
  <c r="AB30" i="35"/>
  <c r="S27" i="35"/>
  <c r="S28" i="35"/>
  <c r="J26" i="35"/>
  <c r="F26" i="35"/>
  <c r="H26" i="35"/>
  <c r="W12" i="37"/>
  <c r="S17" i="37"/>
  <c r="AB37" i="37"/>
  <c r="AA31" i="37"/>
  <c r="S33" i="37"/>
  <c r="AA33" i="37"/>
  <c r="U32" i="37"/>
  <c r="AA32" i="37"/>
  <c r="J33" i="37"/>
  <c r="W33" i="37"/>
  <c r="S29" i="37"/>
  <c r="J19" i="37"/>
  <c r="AC19" i="37"/>
  <c r="G75" i="37"/>
  <c r="F19" i="37"/>
  <c r="AA19" i="37"/>
  <c r="H19" i="37"/>
  <c r="J17" i="37"/>
  <c r="S15" i="37"/>
  <c r="AC21" i="37"/>
  <c r="W21" i="37"/>
  <c r="AC11" i="37"/>
  <c r="W32" i="37"/>
  <c r="U8" i="37"/>
  <c r="AB25" i="37"/>
  <c r="AB21" i="37"/>
  <c r="U21" i="37"/>
  <c r="S37" i="37"/>
  <c r="S40" i="37"/>
  <c r="AA11" i="37"/>
  <c r="S10" i="37"/>
  <c r="W46" i="34"/>
  <c r="AC45" i="34"/>
  <c r="AA40" i="34"/>
  <c r="U30" i="34"/>
  <c r="S32" i="34"/>
  <c r="AB33" i="34"/>
  <c r="AA12" i="34"/>
  <c r="AC35" i="34"/>
  <c r="AA30" i="34"/>
  <c r="AC32" i="34"/>
  <c r="AA33" i="34"/>
  <c r="U44" i="34"/>
  <c r="U34" i="34"/>
  <c r="U28" i="34"/>
  <c r="AA27" i="34"/>
  <c r="J25" i="34"/>
  <c r="H25" i="34"/>
  <c r="F25" i="34"/>
  <c r="J23" i="34"/>
  <c r="F86" i="34"/>
  <c r="G86" i="34"/>
  <c r="F23" i="34"/>
  <c r="H23" i="34"/>
  <c r="W17" i="34"/>
  <c r="W10" i="34"/>
  <c r="U10" i="34"/>
  <c r="W37" i="34"/>
  <c r="AC40" i="34"/>
  <c r="W44" i="34"/>
  <c r="W19" i="34"/>
  <c r="W29" i="34"/>
  <c r="AC21" i="34"/>
  <c r="W21" i="34"/>
  <c r="AB21" i="34"/>
  <c r="U21" i="34"/>
  <c r="U19" i="34"/>
  <c r="AB41" i="34"/>
  <c r="S13" i="34"/>
  <c r="AA41" i="34"/>
  <c r="S9" i="34"/>
  <c r="S10" i="34"/>
  <c r="U37" i="33"/>
  <c r="AC12" i="33"/>
  <c r="U36" i="33"/>
  <c r="S29" i="33"/>
  <c r="U46" i="33"/>
  <c r="U35" i="33"/>
  <c r="H25" i="33"/>
  <c r="AB25" i="33"/>
  <c r="J25" i="33"/>
  <c r="W25" i="33"/>
  <c r="F25" i="33"/>
  <c r="S25" i="33"/>
  <c r="J23" i="33"/>
  <c r="AC23" i="33"/>
  <c r="F23" i="33"/>
  <c r="S23" i="33"/>
  <c r="H23" i="33"/>
  <c r="U23" i="33"/>
  <c r="F17" i="33"/>
  <c r="AA17" i="33"/>
  <c r="H17" i="33"/>
  <c r="U17" i="33"/>
  <c r="J17" i="33"/>
  <c r="W17" i="33"/>
  <c r="AC11" i="33"/>
  <c r="S10" i="33"/>
  <c r="S14" i="33"/>
  <c r="AC21" i="33"/>
  <c r="W21" i="33"/>
  <c r="W14" i="33"/>
  <c r="AA21" i="33"/>
  <c r="S21" i="33"/>
  <c r="AA44" i="33"/>
  <c r="AA36" i="33"/>
  <c r="S44" i="21"/>
  <c r="W39" i="21"/>
  <c r="U35" i="21"/>
  <c r="W43" i="21"/>
  <c r="AB37" i="21"/>
  <c r="W28" i="21"/>
  <c r="AC46" i="21"/>
  <c r="AC26" i="21"/>
  <c r="W23" i="21"/>
  <c r="S23" i="21"/>
  <c r="U23" i="21"/>
  <c r="S15" i="21"/>
  <c r="W15" i="21"/>
  <c r="W13" i="21"/>
  <c r="W21" i="21"/>
  <c r="W44" i="21"/>
  <c r="W10" i="21"/>
  <c r="AC38" i="21"/>
  <c r="AB29" i="21"/>
  <c r="AA31" i="21"/>
  <c r="W33" i="40"/>
  <c r="U33" i="40"/>
  <c r="S35" i="40"/>
  <c r="U15" i="40"/>
  <c r="S14" i="40"/>
  <c r="AB13" i="40"/>
  <c r="S16" i="40"/>
  <c r="W11" i="40"/>
  <c r="AA21" i="40"/>
  <c r="U21" i="40"/>
  <c r="W25" i="40"/>
  <c r="U25"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BA17" i="3"/>
  <c r="AZ17" i="3"/>
  <c r="F3" i="35"/>
  <c r="K1" i="43"/>
  <c r="K1" i="12"/>
  <c r="G1" i="44"/>
  <c r="I4" i="6"/>
  <c r="G3" i="46"/>
  <c r="AZ15" i="3"/>
  <c r="BK5" i="3"/>
  <c r="BO5" i="3"/>
  <c r="BP5" i="3"/>
  <c r="BN5" i="3"/>
  <c r="BL18" i="3"/>
  <c r="AZ18" i="3"/>
  <c r="BC5" i="3"/>
  <c r="BR5" i="3"/>
  <c r="G28" i="6"/>
  <c r="BQ5" i="3"/>
  <c r="F28" i="6"/>
  <c r="E28" i="6"/>
  <c r="BS5" i="3"/>
  <c r="BL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I20" i="46"/>
  <c r="C20" i="46"/>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W2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B14" i="33"/>
  <c r="AB12" i="33"/>
  <c r="S15" i="33"/>
  <c r="AB25" i="21"/>
  <c r="AB45" i="21"/>
  <c r="W25" i="21"/>
  <c r="AA25" i="21"/>
  <c r="AA29" i="21"/>
  <c r="U27" i="21"/>
  <c r="W31" i="21"/>
  <c r="S27" i="21"/>
  <c r="AC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AZ13" i="3"/>
  <c r="G29" i="6"/>
  <c r="E10" i="6"/>
  <c r="E62" i="40"/>
  <c r="E58" i="40"/>
  <c r="H70" i="46"/>
  <c r="H72" i="46"/>
  <c r="A9" i="64"/>
  <c r="A9" i="51"/>
  <c r="B9" i="63"/>
  <c r="A25" i="51"/>
  <c r="B18" i="63"/>
  <c r="A3" i="55"/>
  <c r="B56" i="63"/>
  <c r="D72" i="39"/>
  <c r="E70" i="39"/>
  <c r="E4" i="4"/>
  <c r="C4" i="4"/>
  <c r="G66" i="36"/>
  <c r="J18" i="36"/>
  <c r="AC18" i="36"/>
  <c r="AE6" i="1"/>
  <c r="H7" i="37"/>
  <c r="AB7" i="37"/>
  <c r="T42" i="37"/>
  <c r="G42" i="37"/>
  <c r="J7" i="37"/>
  <c r="AC7" i="37"/>
  <c r="V42" i="37"/>
  <c r="I42" i="37"/>
  <c r="F7" i="37"/>
  <c r="AA7" i="37"/>
  <c r="R42" i="37"/>
  <c r="E42" i="37"/>
  <c r="E46" i="37"/>
  <c r="F46" i="37"/>
  <c r="W18" i="36"/>
  <c r="AG6" i="1"/>
  <c r="L19" i="6"/>
  <c r="K15" i="1"/>
  <c r="B21" i="55"/>
  <c r="B72" i="63"/>
  <c r="B20" i="55"/>
  <c r="B70" i="63"/>
  <c r="W7" i="37"/>
  <c r="E72" i="39"/>
  <c r="F70" i="39"/>
  <c r="G70" i="39"/>
  <c r="G72" i="39"/>
  <c r="U7" i="37"/>
  <c r="J22" i="46"/>
  <c r="H70" i="39"/>
  <c r="H72" i="39"/>
  <c r="I70" i="39"/>
  <c r="I72" i="39"/>
  <c r="J70" i="39"/>
  <c r="J72" i="39"/>
  <c r="C45" i="9"/>
  <c r="H14" i="66"/>
  <c r="B7" i="66"/>
  <c r="C44" i="9"/>
  <c r="G14" i="66"/>
  <c r="B6" i="66"/>
  <c r="O40" i="9"/>
  <c r="K31" i="9"/>
  <c r="K32" i="9"/>
  <c r="R7" i="54"/>
  <c r="B52" i="63"/>
  <c r="N69" i="9"/>
  <c r="M86" i="9"/>
  <c r="N86" i="9"/>
  <c r="O39" i="9"/>
  <c r="K29" i="9"/>
  <c r="K30" i="9"/>
  <c r="R6" i="54"/>
  <c r="B50" i="63"/>
  <c r="N76" i="9"/>
  <c r="C46" i="9"/>
  <c r="K33" i="9"/>
  <c r="O41" i="9"/>
  <c r="I14" i="66"/>
  <c r="B8" i="66"/>
  <c r="K34" i="9"/>
  <c r="R8" i="54"/>
  <c r="B54" i="63"/>
  <c r="M83" i="9"/>
  <c r="N83" i="9"/>
  <c r="N89" i="9"/>
  <c r="O89" i="9"/>
  <c r="M85" i="9"/>
  <c r="N85" i="9"/>
  <c r="M87" i="9"/>
  <c r="N87" i="9"/>
  <c r="M88" i="9"/>
  <c r="N88" i="9"/>
  <c r="M84" i="9"/>
  <c r="N84" i="9"/>
  <c r="U15" i="34"/>
  <c r="U11" i="34"/>
  <c r="S17" i="34"/>
  <c r="AA33" i="39"/>
  <c r="W15" i="39"/>
  <c r="U16" i="40"/>
  <c r="AB21" i="39"/>
  <c r="U39" i="39"/>
  <c r="S20" i="35"/>
  <c r="AA20" i="35"/>
  <c r="W15" i="40"/>
  <c r="W13" i="40"/>
  <c r="AC13" i="40"/>
  <c r="H49" i="46"/>
  <c r="H47" i="46"/>
  <c r="AC34" i="40"/>
  <c r="W34" i="40"/>
  <c r="AC42" i="40"/>
  <c r="W42" i="40"/>
  <c r="U40" i="40"/>
  <c r="AB40" i="40"/>
  <c r="AA15" i="40"/>
  <c r="S15" i="40"/>
  <c r="S11" i="36"/>
  <c r="AA11" i="36"/>
  <c r="AB27" i="34"/>
  <c r="U27" i="34"/>
  <c r="AB17" i="34"/>
  <c r="U17" i="34"/>
  <c r="U32" i="21"/>
  <c r="AB32" i="21"/>
  <c r="AB35" i="37"/>
  <c r="U35" i="37"/>
  <c r="AC33" i="34"/>
  <c r="W33" i="34"/>
  <c r="AZ379" i="3"/>
  <c r="AB12" i="37"/>
  <c r="U12" i="37"/>
  <c r="AZ488" i="3"/>
  <c r="AZ528" i="3"/>
  <c r="AZ536" i="3"/>
  <c r="AZ521" i="3"/>
  <c r="U40" i="37"/>
  <c r="AB40" i="37"/>
  <c r="AZ560" i="3"/>
  <c r="AZ556" i="3"/>
  <c r="AZ551" i="3"/>
  <c r="AZ550" i="3"/>
  <c r="AZ502" i="3"/>
  <c r="AZ501" i="3"/>
  <c r="E30" i="6"/>
  <c r="G30" i="6"/>
  <c r="G31" i="6"/>
  <c r="W11" i="34"/>
  <c r="AC11" i="34"/>
  <c r="AC40" i="40"/>
  <c r="W40" i="40"/>
  <c r="AA23" i="35"/>
  <c r="S23" i="35"/>
  <c r="U38" i="34"/>
  <c r="AB38" i="34"/>
  <c r="AC33" i="39"/>
  <c r="W33" i="39"/>
  <c r="AB11" i="36"/>
  <c r="U11" i="36"/>
  <c r="U14" i="35"/>
  <c r="AB14" i="35"/>
  <c r="W43" i="39"/>
  <c r="AZ299" i="3"/>
  <c r="AZ377" i="3"/>
  <c r="S9" i="37"/>
  <c r="AA9" i="37"/>
  <c r="S12" i="21"/>
  <c r="AA12" i="21"/>
  <c r="W14" i="21"/>
  <c r="AC14" i="21"/>
  <c r="AB30" i="21"/>
  <c r="U30" i="21"/>
  <c r="S9" i="21"/>
  <c r="AA9" i="21"/>
  <c r="AC26" i="33"/>
  <c r="W26" i="33"/>
  <c r="AC41" i="33"/>
  <c r="W41" i="33"/>
  <c r="U9" i="35"/>
  <c r="AB9" i="35"/>
  <c r="AC35" i="35"/>
  <c r="W35" i="35"/>
  <c r="H5" i="3"/>
  <c r="J42" i="33"/>
  <c r="AC42" i="33"/>
  <c r="AA37" i="21"/>
  <c r="AC9" i="37"/>
  <c r="AC10" i="37"/>
  <c r="AB9" i="37"/>
  <c r="S34" i="21"/>
  <c r="AA36" i="34"/>
  <c r="W19" i="33"/>
  <c r="S14" i="21"/>
  <c r="AB39" i="34"/>
  <c r="J32" i="33"/>
  <c r="AC32" i="33"/>
  <c r="H19" i="33"/>
  <c r="AB19" i="33"/>
  <c r="J17" i="21"/>
  <c r="AC17" i="21"/>
  <c r="F17" i="21"/>
  <c r="AA36" i="37"/>
  <c r="AA43" i="21"/>
  <c r="J37" i="21"/>
  <c r="AC45" i="33"/>
  <c r="U39" i="37"/>
  <c r="AC12" i="35"/>
  <c r="AC41" i="34"/>
  <c r="F42" i="33"/>
  <c r="AA42" i="33"/>
  <c r="AC28" i="34"/>
  <c r="AB44" i="21"/>
  <c r="S46" i="21"/>
  <c r="U30" i="33"/>
  <c r="H28" i="37"/>
  <c r="J28" i="37"/>
  <c r="H35" i="35"/>
  <c r="F35" i="35"/>
  <c r="H25" i="35"/>
  <c r="F25" i="35"/>
  <c r="J40" i="37"/>
  <c r="F13" i="36"/>
  <c r="J13" i="36"/>
  <c r="S31" i="33"/>
  <c r="H31" i="33"/>
  <c r="J31" i="33"/>
  <c r="J27" i="33"/>
  <c r="AC27" i="33"/>
  <c r="J30" i="21"/>
  <c r="F30" i="21"/>
  <c r="AB40" i="34"/>
  <c r="S10" i="21"/>
  <c r="F19" i="33"/>
  <c r="AA28" i="34"/>
  <c r="AA39" i="37"/>
  <c r="H32" i="33"/>
  <c r="AB32" i="33"/>
  <c r="W8" i="21"/>
  <c r="U9" i="33"/>
  <c r="S34" i="34"/>
  <c r="S31" i="35"/>
  <c r="W41" i="21"/>
  <c r="H12" i="21"/>
  <c r="J19" i="21"/>
  <c r="W19" i="21"/>
  <c r="F19" i="21"/>
  <c r="AA19" i="21"/>
  <c r="H39" i="21"/>
  <c r="AB39" i="21"/>
  <c r="H9" i="21"/>
  <c r="AB9" i="21"/>
  <c r="J9" i="21"/>
  <c r="F39" i="21"/>
  <c r="H34" i="21"/>
  <c r="U34" i="21"/>
  <c r="G7" i="21"/>
  <c r="H7" i="21"/>
  <c r="U7" i="21"/>
  <c r="I7" i="21"/>
  <c r="J7" i="21"/>
  <c r="W7" i="21"/>
  <c r="E7" i="21"/>
  <c r="F7" i="21"/>
  <c r="S7" i="21"/>
  <c r="I7" i="33"/>
  <c r="E7" i="33"/>
  <c r="G7" i="33"/>
  <c r="F9" i="33"/>
  <c r="J9" i="36"/>
  <c r="H9" i="36"/>
  <c r="F9" i="36"/>
  <c r="J24" i="36"/>
  <c r="H24" i="36"/>
  <c r="G569" i="3"/>
  <c r="G564" i="3"/>
  <c r="G535" i="3"/>
  <c r="G528" i="3"/>
  <c r="G520" i="3"/>
  <c r="G511" i="3"/>
  <c r="G500" i="3"/>
  <c r="G490" i="3"/>
  <c r="G482" i="3"/>
  <c r="C92" i="9"/>
  <c r="AZ405" i="3"/>
  <c r="AZ408" i="3"/>
  <c r="AZ411" i="3"/>
  <c r="AZ413" i="3"/>
  <c r="AZ417" i="3"/>
  <c r="AZ432" i="3"/>
  <c r="AZ443" i="3"/>
  <c r="AZ447" i="3"/>
  <c r="AZ462" i="3"/>
  <c r="AZ465" i="3"/>
  <c r="AZ478" i="3"/>
  <c r="AZ387" i="3"/>
  <c r="AZ216" i="3"/>
  <c r="AZ219" i="3"/>
  <c r="AZ232" i="3"/>
  <c r="AZ235" i="3"/>
  <c r="AZ248" i="3"/>
  <c r="AZ251" i="3"/>
  <c r="AZ264" i="3"/>
  <c r="AZ267" i="3"/>
  <c r="AZ271" i="3"/>
  <c r="AZ283" i="3"/>
  <c r="AZ287" i="3"/>
  <c r="AZ156" i="3"/>
  <c r="AZ159" i="3"/>
  <c r="AZ172" i="3"/>
  <c r="AZ175" i="3"/>
  <c r="AA21" i="37"/>
  <c r="S21" i="37"/>
  <c r="F17" i="59"/>
  <c r="F18" i="59"/>
  <c r="F19" i="59"/>
  <c r="V19" i="59"/>
  <c r="AB11" i="59"/>
  <c r="AB8" i="59"/>
  <c r="AB10" i="59"/>
  <c r="AB12" i="59"/>
  <c r="AB9" i="59"/>
  <c r="C34" i="59"/>
  <c r="D33" i="59"/>
  <c r="F49" i="59"/>
  <c r="Q50" i="59"/>
  <c r="B11" i="59"/>
  <c r="X7" i="59"/>
  <c r="X9" i="59"/>
  <c r="X11" i="59"/>
  <c r="X5" i="59"/>
  <c r="X10" i="59"/>
  <c r="AA7" i="59"/>
  <c r="E11" i="59"/>
  <c r="AA8" i="59"/>
  <c r="AA10" i="59"/>
  <c r="AA9" i="59"/>
  <c r="AB16" i="59"/>
  <c r="AA5" i="59"/>
  <c r="AB5" i="59"/>
  <c r="AB6" i="59"/>
  <c r="N67" i="9"/>
  <c r="C110" i="9"/>
  <c r="AZ186" i="3"/>
  <c r="AZ194" i="3"/>
  <c r="AZ204" i="3"/>
  <c r="AZ22" i="3"/>
  <c r="AZ26" i="3"/>
  <c r="AZ45" i="3"/>
  <c r="AZ49" i="3"/>
  <c r="AZ52" i="3"/>
  <c r="AZ54" i="3"/>
  <c r="AZ58" i="3"/>
  <c r="AZ76" i="3"/>
  <c r="AZ80" i="3"/>
  <c r="AZ83" i="3"/>
  <c r="AZ96" i="3"/>
  <c r="AZ100" i="3"/>
  <c r="AZ103" i="3"/>
  <c r="AZ105" i="3"/>
  <c r="AZ109" i="3"/>
  <c r="I21" i="57"/>
  <c r="D1" i="57"/>
  <c r="E10" i="57"/>
  <c r="E83" i="33"/>
  <c r="F83" i="33"/>
  <c r="G83" i="33"/>
  <c r="H21" i="33"/>
  <c r="AA11" i="59"/>
  <c r="X8" i="59"/>
  <c r="Y13" i="59"/>
  <c r="Z13" i="59"/>
  <c r="AB14" i="59"/>
  <c r="B21" i="59"/>
  <c r="B22" i="59"/>
  <c r="B23" i="59"/>
  <c r="S23" i="59"/>
  <c r="X16" i="59"/>
  <c r="E50" i="59"/>
  <c r="P51" i="59"/>
  <c r="U59" i="59"/>
  <c r="E58" i="59"/>
  <c r="E57" i="59"/>
  <c r="Y15" i="59"/>
  <c r="Z15" i="59"/>
  <c r="X12" i="59"/>
  <c r="K77" i="9"/>
  <c r="K79" i="9"/>
  <c r="K81" i="9"/>
  <c r="Y8" i="59"/>
  <c r="Z8" i="59"/>
  <c r="Y9" i="59"/>
  <c r="Z9" i="59"/>
  <c r="Y7" i="59"/>
  <c r="Z7" i="59"/>
  <c r="C7" i="59"/>
  <c r="Y5" i="59"/>
  <c r="Z5" i="59"/>
  <c r="Y3" i="59"/>
  <c r="Z3" i="59"/>
  <c r="AB7" i="59"/>
  <c r="F7" i="59"/>
  <c r="C49" i="59"/>
  <c r="D5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D11" i="59"/>
  <c r="T11" i="59"/>
  <c r="C10"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E6" i="52"/>
  <c r="S19" i="21"/>
  <c r="E53" i="40"/>
  <c r="E59" i="40"/>
  <c r="W42" i="21"/>
  <c r="U40" i="21"/>
  <c r="AC40" i="21"/>
  <c r="U38" i="21"/>
  <c r="AA38" i="21"/>
  <c r="S21" i="21"/>
  <c r="AC19" i="21"/>
  <c r="U19" i="21"/>
  <c r="W17" i="21"/>
  <c r="AB17" i="21"/>
  <c r="U9" i="21"/>
  <c r="S8" i="21"/>
  <c r="AC7" i="21"/>
  <c r="U42" i="21"/>
  <c r="AC36" i="21"/>
  <c r="AA36" i="21"/>
  <c r="AB36" i="21"/>
  <c r="S35" i="21"/>
  <c r="AC34" i="21"/>
  <c r="AB34" i="21"/>
  <c r="W32" i="21"/>
  <c r="AA7" i="21"/>
  <c r="G47" i="37"/>
  <c r="H47" i="37"/>
  <c r="E47" i="37"/>
  <c r="F47" i="37"/>
  <c r="C67" i="40"/>
  <c r="D65" i="40"/>
  <c r="C15" i="43"/>
  <c r="C25" i="12"/>
  <c r="K70" i="39"/>
  <c r="AB7" i="21"/>
  <c r="R43" i="37"/>
  <c r="C30" i="44"/>
  <c r="C27" i="43"/>
  <c r="J51" i="15"/>
  <c r="P75" i="15"/>
  <c r="S41" i="39"/>
  <c r="W41" i="39"/>
  <c r="S31" i="39"/>
  <c r="AB29" i="39"/>
  <c r="W29" i="39"/>
  <c r="S29" i="39"/>
  <c r="S23" i="39"/>
  <c r="AC44" i="39"/>
  <c r="U41" i="39"/>
  <c r="U34" i="39"/>
  <c r="W31" i="39"/>
  <c r="S27" i="39"/>
  <c r="U27" i="39"/>
  <c r="W27" i="39"/>
  <c r="U23" i="39"/>
  <c r="AC23" i="39"/>
  <c r="S17" i="39"/>
  <c r="E16" i="52"/>
  <c r="B13" i="52"/>
  <c r="E8" i="52"/>
  <c r="E21" i="52"/>
  <c r="A30" i="51"/>
  <c r="B22" i="63"/>
  <c r="A30" i="64"/>
  <c r="F83" i="39"/>
  <c r="E4" i="52"/>
  <c r="B11" i="52"/>
  <c r="B5" i="52"/>
  <c r="B22" i="52"/>
  <c r="B14" i="52"/>
  <c r="L27" i="6"/>
  <c r="K26" i="6"/>
  <c r="M26" i="6"/>
  <c r="I26" i="6"/>
  <c r="S26" i="6"/>
  <c r="E61" i="40"/>
  <c r="E31" i="6"/>
  <c r="L16" i="4"/>
  <c r="M18" i="15"/>
  <c r="F28" i="15"/>
  <c r="C28" i="15"/>
  <c r="F31" i="43"/>
  <c r="C31" i="43"/>
  <c r="D86" i="9"/>
  <c r="F29" i="12"/>
  <c r="F32" i="15"/>
  <c r="F59" i="15"/>
  <c r="F71" i="9"/>
  <c r="F66" i="9"/>
  <c r="P72" i="9"/>
  <c r="D23" i="15"/>
  <c r="E16" i="6"/>
  <c r="M16" i="1"/>
  <c r="N16" i="1"/>
  <c r="C29" i="43" s="1"/>
  <c r="M19" i="6"/>
  <c r="K16" i="1"/>
  <c r="E60" i="40"/>
  <c r="S21" i="6"/>
  <c r="K25" i="6"/>
  <c r="M25" i="6"/>
  <c r="I25" i="6"/>
  <c r="S25" i="6"/>
  <c r="K23" i="6"/>
  <c r="M23" i="6"/>
  <c r="I23" i="6"/>
  <c r="S23"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P9" i="1"/>
  <c r="AP16" i="1"/>
  <c r="F22" i="11"/>
  <c r="G10" i="1"/>
  <c r="G13" i="1"/>
  <c r="K17" i="4"/>
  <c r="A22" i="51"/>
  <c r="B16" i="63"/>
  <c r="I46" i="37"/>
  <c r="J46" i="37"/>
  <c r="I47" i="37"/>
  <c r="J47" i="37"/>
  <c r="G46" i="37"/>
  <c r="H46" i="37"/>
  <c r="F72" i="39"/>
  <c r="K46" i="36"/>
  <c r="L46" i="36"/>
  <c r="M46" i="36"/>
  <c r="N46" i="36"/>
  <c r="O46" i="36"/>
  <c r="F59" i="34"/>
  <c r="G59" i="34"/>
  <c r="H59" i="34"/>
  <c r="I59" i="34"/>
  <c r="J59" i="34"/>
  <c r="K59" i="34"/>
  <c r="L59" i="34"/>
  <c r="M59" i="34"/>
  <c r="N59" i="34"/>
  <c r="O59" i="34"/>
  <c r="S7" i="37"/>
  <c r="E48" i="35"/>
  <c r="E58" i="33"/>
  <c r="F58" i="33"/>
  <c r="G58" i="33"/>
  <c r="H58" i="33"/>
  <c r="I58" i="33"/>
  <c r="J58" i="33"/>
  <c r="K58" i="33"/>
  <c r="L58" i="33"/>
  <c r="M58" i="33"/>
  <c r="N58" i="33"/>
  <c r="O58" i="33"/>
  <c r="E22" i="52"/>
  <c r="E11" i="52"/>
  <c r="B7" i="52"/>
  <c r="B10" i="52"/>
  <c r="B9" i="52"/>
  <c r="B4" i="52"/>
  <c r="B8" i="52"/>
  <c r="E9" i="52"/>
  <c r="E10" i="52"/>
  <c r="B23" i="52"/>
  <c r="B16" i="52"/>
  <c r="B6" i="52"/>
  <c r="E5" i="52"/>
  <c r="E6" i="59"/>
  <c r="E5" i="59"/>
  <c r="U7" i="59"/>
  <c r="B49" i="59"/>
  <c r="N50" i="59"/>
  <c r="D46" i="59"/>
  <c r="C47" i="59"/>
  <c r="D21" i="59"/>
  <c r="C22" i="59"/>
  <c r="O49" i="59"/>
  <c r="O48" i="59"/>
  <c r="D49" i="59"/>
  <c r="AB21" i="33"/>
  <c r="U21" i="33"/>
  <c r="U11" i="59"/>
  <c r="E10" i="59"/>
  <c r="E9" i="59"/>
  <c r="E482" i="3"/>
  <c r="E500" i="3"/>
  <c r="AC24" i="36"/>
  <c r="W24" i="36"/>
  <c r="AB9" i="36"/>
  <c r="U9" i="36"/>
  <c r="AA9" i="33"/>
  <c r="S9" i="33"/>
  <c r="AA39" i="21"/>
  <c r="S39" i="21"/>
  <c r="AB12" i="21"/>
  <c r="U12" i="21"/>
  <c r="S30" i="21"/>
  <c r="AA30" i="21"/>
  <c r="U31" i="33"/>
  <c r="AB31" i="33"/>
  <c r="W13" i="36"/>
  <c r="AC13" i="36"/>
  <c r="W40" i="37"/>
  <c r="AC40" i="37"/>
  <c r="U25" i="35"/>
  <c r="AB25" i="35"/>
  <c r="AB35" i="35"/>
  <c r="U35" i="35"/>
  <c r="U28" i="37"/>
  <c r="AB28" i="37"/>
  <c r="W37" i="21"/>
  <c r="AC37" i="21"/>
  <c r="H7" i="36"/>
  <c r="D10" i="59"/>
  <c r="C9" i="59"/>
  <c r="D9" i="59"/>
  <c r="D38" i="59"/>
  <c r="C39" i="59"/>
  <c r="D18" i="59"/>
  <c r="C19" i="59"/>
  <c r="D13" i="59"/>
  <c r="C14" i="59"/>
  <c r="F6" i="59"/>
  <c r="F5" i="59"/>
  <c r="V7" i="59"/>
  <c r="C6" i="59"/>
  <c r="D7" i="59"/>
  <c r="T7" i="59"/>
  <c r="E49" i="59"/>
  <c r="P50" i="59"/>
  <c r="S11" i="59"/>
  <c r="B10" i="59"/>
  <c r="B9" i="59"/>
  <c r="Q49" i="59"/>
  <c r="Q48" i="59"/>
  <c r="D34" i="59"/>
  <c r="C35" i="59"/>
  <c r="E490" i="3"/>
  <c r="E528" i="3"/>
  <c r="U24" i="36"/>
  <c r="AB24" i="36"/>
  <c r="AA9" i="36"/>
  <c r="S9" i="36"/>
  <c r="AC9" i="36"/>
  <c r="W9" i="36"/>
  <c r="AC9" i="21"/>
  <c r="W9" i="21"/>
  <c r="S19" i="33"/>
  <c r="AA19" i="33"/>
  <c r="AC30" i="21"/>
  <c r="W30" i="21"/>
  <c r="AC31" i="33"/>
  <c r="W31" i="33"/>
  <c r="S13" i="36"/>
  <c r="AA13" i="36"/>
  <c r="AA25" i="35"/>
  <c r="S25" i="35"/>
  <c r="S35" i="35"/>
  <c r="AA35" i="35"/>
  <c r="W28" i="37"/>
  <c r="AC28" i="37"/>
  <c r="S17" i="21"/>
  <c r="AA17" i="21"/>
  <c r="H7" i="33"/>
  <c r="AB7" i="33"/>
  <c r="T48" i="33"/>
  <c r="G48" i="33"/>
  <c r="H7" i="34"/>
  <c r="J7" i="36"/>
  <c r="F7" i="36"/>
  <c r="E65" i="40"/>
  <c r="D67" i="40"/>
  <c r="C43" i="37"/>
  <c r="B3" i="37"/>
  <c r="B2" i="37"/>
  <c r="C42" i="37"/>
  <c r="L70" i="39"/>
  <c r="K72" i="39"/>
  <c r="G83" i="39"/>
  <c r="H83" i="39"/>
  <c r="I83" i="39"/>
  <c r="J83" i="39"/>
  <c r="K83" i="39"/>
  <c r="L83" i="39"/>
  <c r="M83" i="39"/>
  <c r="S20" i="6"/>
  <c r="K27" i="6"/>
  <c r="I19" i="6"/>
  <c r="C13" i="43"/>
  <c r="C14" i="43" s="1"/>
  <c r="L16" i="1"/>
  <c r="F24" i="43"/>
  <c r="C26" i="43" s="1"/>
  <c r="D24" i="43" s="1"/>
  <c r="F18" i="11"/>
  <c r="C18" i="1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J12" i="40"/>
  <c r="F48" i="35"/>
  <c r="AB7" i="34"/>
  <c r="T49" i="34"/>
  <c r="G49" i="34"/>
  <c r="U7" i="34"/>
  <c r="W7" i="36"/>
  <c r="AC7" i="36"/>
  <c r="V36" i="36"/>
  <c r="I36" i="36"/>
  <c r="AA7" i="36"/>
  <c r="R36" i="36"/>
  <c r="S7" i="36"/>
  <c r="J7" i="33"/>
  <c r="F7" i="33"/>
  <c r="J7" i="34"/>
  <c r="F7" i="34"/>
  <c r="AB7" i="36"/>
  <c r="T36" i="36"/>
  <c r="G36" i="36"/>
  <c r="U7" i="36"/>
  <c r="E564" i="3"/>
  <c r="E511" i="3"/>
  <c r="T35" i="59"/>
  <c r="D35" i="59"/>
  <c r="C5" i="59"/>
  <c r="D6" i="59"/>
  <c r="E569" i="3"/>
  <c r="N49" i="59"/>
  <c r="N48" i="59"/>
  <c r="D44" i="9"/>
  <c r="D45" i="9"/>
  <c r="L38" i="9"/>
  <c r="B14" i="66"/>
  <c r="B1" i="66"/>
  <c r="D10" i="11"/>
  <c r="D46" i="9"/>
  <c r="C21" i="4"/>
  <c r="O5" i="54"/>
  <c r="B45" i="63"/>
  <c r="D16" i="43"/>
  <c r="C16" i="43" s="1"/>
  <c r="P49" i="59"/>
  <c r="P48" i="59"/>
  <c r="D14" i="59"/>
  <c r="C15" i="59"/>
  <c r="T19" i="59"/>
  <c r="D19" i="59"/>
  <c r="T39" i="59"/>
  <c r="D39" i="59"/>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84" i="3"/>
  <c r="E536"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297" i="3"/>
  <c r="E411" i="3"/>
  <c r="E395" i="3"/>
  <c r="E250"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413" i="3"/>
  <c r="E561" i="3"/>
  <c r="E283" i="3"/>
  <c r="E23" i="3"/>
  <c r="E535" i="3"/>
  <c r="E443" i="3"/>
  <c r="E156" i="3"/>
  <c r="E265" i="3"/>
  <c r="E381" i="3"/>
  <c r="E194" i="3"/>
  <c r="E49" i="3"/>
  <c r="AM6" i="3"/>
  <c r="E427" i="3"/>
  <c r="E78" i="3"/>
  <c r="E193" i="3"/>
  <c r="E337" i="3"/>
  <c r="E278" i="3"/>
  <c r="E390" i="3"/>
  <c r="E104" i="3"/>
  <c r="E158" i="3"/>
  <c r="E94" i="3"/>
  <c r="E296" i="3"/>
  <c r="E534" i="3"/>
  <c r="E472" i="3"/>
  <c r="AA6" i="3"/>
  <c r="E127" i="3"/>
  <c r="AD6" i="3"/>
  <c r="AC6" i="3"/>
  <c r="E266" i="3"/>
  <c r="E299" i="3"/>
  <c r="E215" i="3"/>
  <c r="E327" i="3"/>
  <c r="I6" i="3"/>
  <c r="H6" i="3"/>
  <c r="E103" i="3"/>
  <c r="E548" i="3"/>
  <c r="E200" i="3"/>
  <c r="Z6" i="3"/>
  <c r="E62" i="3"/>
  <c r="E454" i="3"/>
  <c r="E389" i="3"/>
  <c r="E520" i="3"/>
  <c r="E230" i="3"/>
  <c r="AK6" i="3"/>
  <c r="E143" i="3"/>
  <c r="D22" i="59"/>
  <c r="C23" i="59"/>
  <c r="T47" i="59"/>
  <c r="D47" i="59"/>
  <c r="U7" i="33"/>
  <c r="M70" i="39"/>
  <c r="L72" i="39"/>
  <c r="E67" i="40"/>
  <c r="F65" i="40"/>
  <c r="M27" i="6"/>
  <c r="S13" i="39"/>
  <c r="U13" i="39"/>
  <c r="W13" i="39"/>
  <c r="T12" i="1"/>
  <c r="S19" i="6"/>
  <c r="S27" i="6"/>
  <c r="I27" i="6"/>
  <c r="W12" i="39"/>
  <c r="H12" i="40"/>
  <c r="AB12" i="40"/>
  <c r="S7" i="46"/>
  <c r="S5" i="46"/>
  <c r="S3" i="46"/>
  <c r="S4" i="46"/>
  <c r="S6" i="46"/>
  <c r="S2" i="46"/>
  <c r="C115" i="46"/>
  <c r="D113" i="46"/>
  <c r="F12" i="40"/>
  <c r="AA12" i="40"/>
  <c r="S12" i="39"/>
  <c r="W12" i="40"/>
  <c r="AC12" i="40"/>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T10" i="1"/>
  <c r="AY332" i="3"/>
  <c r="BJ6" i="3"/>
  <c r="AY89" i="3"/>
  <c r="AY464" i="3"/>
  <c r="AY508" i="3"/>
  <c r="AY517" i="3"/>
  <c r="AY94" i="3"/>
  <c r="AY297" i="3"/>
  <c r="AY513"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554" i="3"/>
  <c r="AY260" i="3"/>
  <c r="AY509" i="3"/>
  <c r="BM6" i="3"/>
  <c r="AY571" i="3"/>
  <c r="AY252" i="3"/>
  <c r="AY487" i="3"/>
  <c r="AY205" i="3"/>
  <c r="AY270" i="3"/>
  <c r="AY362" i="3"/>
  <c r="AY331" i="3"/>
  <c r="AY421" i="3"/>
  <c r="AY334" i="3"/>
  <c r="AY195" i="3"/>
  <c r="AY475" i="3"/>
  <c r="AY235" i="3"/>
  <c r="AY134" i="3"/>
  <c r="AY444" i="3"/>
  <c r="AY312" i="3"/>
  <c r="AY460" i="3"/>
  <c r="AY54" i="3"/>
  <c r="AY451" i="3"/>
  <c r="AY568" i="3"/>
  <c r="AY488" i="3"/>
  <c r="AY566" i="3"/>
  <c r="AY273" i="3"/>
  <c r="AY91" i="3"/>
  <c r="AY543" i="3"/>
  <c r="BC6" i="3"/>
  <c r="AY457" i="3"/>
  <c r="AY122" i="3"/>
  <c r="AY302" i="3"/>
  <c r="AY389" i="3"/>
  <c r="AY269" i="3"/>
  <c r="AY294" i="3"/>
  <c r="AY139" i="3"/>
  <c r="BL6" i="3"/>
  <c r="AY515" i="3"/>
  <c r="AY425" i="3"/>
  <c r="AY286" i="3"/>
  <c r="AY116" i="3"/>
  <c r="AY366" i="3"/>
  <c r="AY548" i="3"/>
  <c r="AY226" i="3"/>
  <c r="AY346" i="3"/>
  <c r="AY400" i="3"/>
  <c r="AY161" i="3"/>
  <c r="AY340" i="3"/>
  <c r="AY101" i="3"/>
  <c r="AY272" i="3"/>
  <c r="AY305"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245" i="3"/>
  <c r="AY360" i="3"/>
  <c r="AY303" i="3"/>
  <c r="AY323" i="3"/>
  <c r="AY221" i="3"/>
  <c r="AY151" i="3"/>
  <c r="AY406" i="3"/>
  <c r="BT6" i="3"/>
  <c r="AY396" i="3"/>
  <c r="BQ6" i="3"/>
  <c r="AY562" i="3"/>
  <c r="AY319" i="3"/>
  <c r="AY211" i="3"/>
  <c r="AY184" i="3"/>
  <c r="AY22" i="3"/>
  <c r="AY413" i="3"/>
  <c r="AY380" i="3"/>
  <c r="AY225" i="3"/>
  <c r="AY162" i="3"/>
  <c r="AY166" i="3"/>
  <c r="AY446" i="3"/>
  <c r="AY453" i="3"/>
  <c r="AY561" i="3"/>
  <c r="AY367" i="3"/>
  <c r="AY283" i="3"/>
  <c r="AY115" i="3"/>
  <c r="AY72" i="3"/>
  <c r="BK6" i="3"/>
  <c r="AY348" i="3"/>
  <c r="AY238" i="3"/>
  <c r="AY169" i="3"/>
  <c r="AY65" i="3"/>
  <c r="AY343" i="3"/>
  <c r="AY181" i="3"/>
  <c r="AY402" i="3"/>
  <c r="AY384" i="3"/>
  <c r="AY75" i="3"/>
  <c r="AY154" i="3"/>
  <c r="AY486" i="3"/>
  <c r="AY82" i="3"/>
  <c r="AY80" i="3"/>
  <c r="AY37" i="3"/>
  <c r="AY67" i="3"/>
  <c r="AY41" i="3"/>
  <c r="AY58" i="3"/>
  <c r="AY203" i="3"/>
  <c r="AY159" i="3"/>
  <c r="AY128" i="3"/>
  <c r="AY179" i="3"/>
  <c r="AY95" i="3"/>
  <c r="AY105" i="3"/>
  <c r="AY36" i="3"/>
  <c r="AY274" i="3"/>
  <c r="AY150" i="3"/>
  <c r="AY293" i="3"/>
  <c r="AY246" i="3"/>
  <c r="AY275" i="3"/>
  <c r="AY216" i="3"/>
  <c r="AY386" i="3"/>
  <c r="AY333" i="3"/>
  <c r="AY556" i="3"/>
  <c r="AY537" i="3"/>
  <c r="AY53" i="3"/>
  <c r="AY73" i="3"/>
  <c r="AY74" i="3"/>
  <c r="AY144" i="3"/>
  <c r="AY98" i="3"/>
  <c r="AY57" i="3"/>
  <c r="AY136" i="3"/>
  <c r="AY262" i="3"/>
  <c r="AY232" i="3"/>
  <c r="AY34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39" i="3"/>
  <c r="AY476" i="3"/>
  <c r="AY324" i="3"/>
  <c r="AY214" i="3"/>
  <c r="AY146" i="3"/>
  <c r="AY170" i="3"/>
  <c r="AY422" i="3"/>
  <c r="AY427" i="3"/>
  <c r="AY317" i="3"/>
  <c r="AY234" i="3"/>
  <c r="AY31" i="3"/>
  <c r="AY204" i="3"/>
  <c r="AY52" i="3"/>
  <c r="AY103" i="3"/>
  <c r="AY441" i="3"/>
  <c r="AY278"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345" i="3"/>
  <c r="AY42" i="3"/>
  <c r="AY511" i="3"/>
  <c r="T15" i="59"/>
  <c r="D15" i="59"/>
  <c r="C6" i="66"/>
  <c r="C7" i="66"/>
  <c r="C8" i="66"/>
  <c r="D5" i="59"/>
  <c r="M20" i="46"/>
  <c r="C19" i="46"/>
  <c r="T3" i="46"/>
  <c r="V3" i="46"/>
  <c r="T4" i="46"/>
  <c r="V4" i="46"/>
  <c r="T23" i="59"/>
  <c r="D23" i="59"/>
  <c r="E6" i="3"/>
  <c r="D13" i="11"/>
  <c r="C13" i="11"/>
  <c r="T6" i="1"/>
  <c r="T13" i="1"/>
  <c r="T16" i="1" s="1"/>
  <c r="T11" i="1"/>
  <c r="G65" i="40"/>
  <c r="F67" i="40"/>
  <c r="N70" i="39"/>
  <c r="N72" i="39"/>
  <c r="H9" i="39"/>
  <c r="M72" i="39"/>
  <c r="U12" i="39"/>
  <c r="U12" i="40"/>
  <c r="S12" i="40"/>
  <c r="C37" i="36"/>
  <c r="B3" i="36"/>
  <c r="B2" i="36"/>
  <c r="C36" i="36"/>
  <c r="H48" i="35"/>
  <c r="E41" i="36"/>
  <c r="F41" i="36"/>
  <c r="E40" i="36"/>
  <c r="F40" i="36"/>
  <c r="R49" i="33"/>
  <c r="E48" i="33"/>
  <c r="I53" i="33"/>
  <c r="J53" i="33"/>
  <c r="I52" i="33"/>
  <c r="J52" i="33"/>
  <c r="I53" i="34"/>
  <c r="J53" i="34"/>
  <c r="R50" i="34"/>
  <c r="E49" i="34"/>
  <c r="S33" i="21"/>
  <c r="W33" i="21"/>
  <c r="T5" i="46"/>
  <c r="V5" i="46"/>
  <c r="T2" i="46"/>
  <c r="V2" i="46"/>
  <c r="U33" i="21"/>
  <c r="C38" i="46"/>
  <c r="C36" i="46"/>
  <c r="C34" i="46"/>
  <c r="T8" i="46"/>
  <c r="V8" i="46"/>
  <c r="T12" i="46"/>
  <c r="V12" i="46"/>
  <c r="T16" i="46"/>
  <c r="V16" i="46"/>
  <c r="T11" i="46"/>
  <c r="V11" i="46"/>
  <c r="T15" i="46"/>
  <c r="V15" i="46"/>
  <c r="C39" i="46"/>
  <c r="C37" i="46"/>
  <c r="C35" i="46"/>
  <c r="C33" i="46"/>
  <c r="T10" i="46"/>
  <c r="V10" i="46"/>
  <c r="T14" i="46"/>
  <c r="V14" i="46"/>
  <c r="T9" i="46"/>
  <c r="V9" i="46"/>
  <c r="T13" i="46"/>
  <c r="V13" i="46"/>
  <c r="C29" i="46"/>
  <c r="K38" i="9"/>
  <c r="C14" i="66"/>
  <c r="B2" i="66"/>
  <c r="D11" i="6"/>
  <c r="D9" i="6"/>
  <c r="H23" i="6"/>
  <c r="F45" i="9"/>
  <c r="F46" i="9"/>
  <c r="F44" i="9"/>
  <c r="C22" i="4"/>
  <c r="D10" i="6"/>
  <c r="D6" i="6"/>
  <c r="D14" i="6"/>
  <c r="D15" i="6"/>
  <c r="D12" i="6"/>
  <c r="H25" i="6"/>
  <c r="D5" i="6"/>
  <c r="D8" i="6"/>
  <c r="D13" i="6"/>
  <c r="D16" i="6"/>
  <c r="E45" i="9"/>
  <c r="E44" i="9"/>
  <c r="E46" i="9"/>
  <c r="E63" i="40"/>
  <c r="R25" i="6"/>
  <c r="H24" i="6"/>
  <c r="R24" i="6"/>
  <c r="R23" i="6"/>
  <c r="H26" i="6"/>
  <c r="R26" i="6"/>
  <c r="H19" i="6"/>
  <c r="H27" i="6"/>
  <c r="T7" i="46"/>
  <c r="V7" i="46"/>
  <c r="T6" i="46"/>
  <c r="V6" i="46"/>
  <c r="J9" i="39"/>
  <c r="F9" i="39"/>
  <c r="AB9" i="39"/>
  <c r="U9" i="39"/>
  <c r="G67" i="40"/>
  <c r="H65" i="40"/>
  <c r="E54" i="34"/>
  <c r="F54" i="34"/>
  <c r="E53" i="34"/>
  <c r="F53" i="34"/>
  <c r="C50" i="34"/>
  <c r="B3" i="34"/>
  <c r="B2" i="34"/>
  <c r="C49" i="34"/>
  <c r="I54" i="34"/>
  <c r="J54" i="34"/>
  <c r="C49" i="33"/>
  <c r="B3" i="33"/>
  <c r="C48" i="33"/>
  <c r="I48" i="35"/>
  <c r="E53" i="33"/>
  <c r="F53" i="33"/>
  <c r="E52" i="33"/>
  <c r="F52" i="33"/>
  <c r="B2" i="33"/>
  <c r="R19" i="6"/>
  <c r="A6" i="64"/>
  <c r="N5" i="54"/>
  <c r="B43" i="63"/>
  <c r="A20" i="64"/>
  <c r="A6" i="51"/>
  <c r="B7" i="63"/>
  <c r="A20" i="51"/>
  <c r="B15" i="63"/>
  <c r="G33" i="46"/>
  <c r="I33" i="46"/>
  <c r="E33" i="46"/>
  <c r="G37" i="46"/>
  <c r="I37" i="46"/>
  <c r="E37" i="46"/>
  <c r="E36" i="46"/>
  <c r="G36" i="46"/>
  <c r="I36" i="46"/>
  <c r="D7" i="66"/>
  <c r="D6" i="66"/>
  <c r="D8" i="66"/>
  <c r="E29" i="46"/>
  <c r="C30" i="46"/>
  <c r="E30" i="46"/>
  <c r="G35" i="46"/>
  <c r="I35" i="46"/>
  <c r="E35" i="46"/>
  <c r="G39" i="46"/>
  <c r="I39" i="46"/>
  <c r="E39" i="46"/>
  <c r="E34" i="46"/>
  <c r="G34" i="46"/>
  <c r="I34" i="46"/>
  <c r="E38" i="46"/>
  <c r="G38" i="46"/>
  <c r="I38" i="46"/>
  <c r="H67" i="40"/>
  <c r="I65" i="40"/>
  <c r="AA9" i="39"/>
  <c r="S9" i="39"/>
  <c r="W9" i="39"/>
  <c r="AC9" i="39"/>
  <c r="J48" i="35"/>
  <c r="K48" i="35"/>
  <c r="L48" i="35"/>
  <c r="M48" i="35"/>
  <c r="N48" i="35"/>
  <c r="O48" i="35"/>
  <c r="H7" i="35"/>
  <c r="J7" i="35"/>
  <c r="F7" i="35"/>
  <c r="C26" i="46"/>
  <c r="W40" i="39"/>
  <c r="I49" i="39"/>
  <c r="R6" i="1"/>
  <c r="R16" i="1"/>
  <c r="R27" i="6"/>
  <c r="C27" i="46"/>
  <c r="U40" i="39"/>
  <c r="G49" i="39"/>
  <c r="G53" i="39"/>
  <c r="H53" i="39"/>
  <c r="S40" i="39"/>
  <c r="I5" i="6"/>
  <c r="I67" i="40"/>
  <c r="J65" i="40"/>
  <c r="AB7" i="35"/>
  <c r="T38" i="35"/>
  <c r="G38" i="35"/>
  <c r="U7" i="35"/>
  <c r="AC7" i="35"/>
  <c r="V38" i="35"/>
  <c r="I38" i="35"/>
  <c r="W7" i="35"/>
  <c r="AA7" i="35"/>
  <c r="R38" i="35"/>
  <c r="S7" i="35"/>
  <c r="G54" i="39"/>
  <c r="H54" i="39"/>
  <c r="I53" i="39"/>
  <c r="J53" i="39"/>
  <c r="E49" i="39"/>
  <c r="B2" i="46"/>
  <c r="C49" i="39"/>
  <c r="J67" i="40"/>
  <c r="K65" i="40"/>
  <c r="E53" i="39"/>
  <c r="F53" i="39"/>
  <c r="E54" i="39"/>
  <c r="F54" i="39"/>
  <c r="I54" i="39"/>
  <c r="J54" i="39"/>
  <c r="R39" i="35"/>
  <c r="E38" i="35"/>
  <c r="I43" i="35"/>
  <c r="J43" i="35"/>
  <c r="I42" i="35"/>
  <c r="J42" i="35"/>
  <c r="G42" i="35"/>
  <c r="H42" i="35"/>
  <c r="G43" i="35"/>
  <c r="H43" i="35"/>
  <c r="S11" i="21"/>
  <c r="W11" i="21"/>
  <c r="I48" i="21"/>
  <c r="D4" i="46"/>
  <c r="B3" i="46"/>
  <c r="B4" i="46"/>
  <c r="U11" i="21"/>
  <c r="G48" i="21"/>
  <c r="L65" i="40"/>
  <c r="K67" i="40"/>
  <c r="C38" i="35"/>
  <c r="C39" i="35"/>
  <c r="B3" i="35"/>
  <c r="B2" i="35"/>
  <c r="E43" i="35"/>
  <c r="F43" i="35"/>
  <c r="E42" i="35"/>
  <c r="F42" i="35"/>
  <c r="G53" i="21"/>
  <c r="H53" i="21"/>
  <c r="G52" i="21"/>
  <c r="H52" i="21"/>
  <c r="I52" i="21"/>
  <c r="J52" i="21"/>
  <c r="E48" i="21"/>
  <c r="I53" i="21"/>
  <c r="J53" i="21"/>
  <c r="L67" i="40"/>
  <c r="M65" i="40"/>
  <c r="C48" i="21"/>
  <c r="E52" i="21"/>
  <c r="F52" i="21"/>
  <c r="E53" i="21"/>
  <c r="F53" i="21"/>
  <c r="B3" i="39"/>
  <c r="B4" i="39"/>
  <c r="B5" i="39"/>
  <c r="N65" i="40"/>
  <c r="N67" i="40"/>
  <c r="M67" i="40"/>
  <c r="H9" i="40"/>
  <c r="L46" i="15"/>
  <c r="F9" i="40"/>
  <c r="AA9" i="40"/>
  <c r="R44" i="40"/>
  <c r="C8" i="12"/>
  <c r="J9" i="40"/>
  <c r="U9" i="40"/>
  <c r="AB9" i="40"/>
  <c r="T44" i="40"/>
  <c r="G44" i="40"/>
  <c r="S9" i="40"/>
  <c r="W9" i="40"/>
  <c r="AC9" i="40"/>
  <c r="V44" i="40"/>
  <c r="I44" i="40"/>
  <c r="E44" i="40"/>
  <c r="R45" i="40"/>
  <c r="G48" i="40"/>
  <c r="H48" i="40"/>
  <c r="G49" i="40"/>
  <c r="H49" i="40"/>
  <c r="E49" i="40"/>
  <c r="F49" i="40"/>
  <c r="E48" i="40"/>
  <c r="F48" i="40"/>
  <c r="C45" i="40"/>
  <c r="C44" i="40"/>
  <c r="I48" i="40"/>
  <c r="J48" i="40"/>
  <c r="I49" i="40"/>
  <c r="J49" i="40"/>
  <c r="B61" i="40"/>
  <c r="F61" i="40"/>
  <c r="B54" i="40"/>
  <c r="F54" i="40"/>
  <c r="B53" i="40"/>
  <c r="F53" i="40"/>
  <c r="B56" i="40"/>
  <c r="F56" i="40"/>
  <c r="B58" i="40"/>
  <c r="F58" i="40"/>
  <c r="B55" i="40"/>
  <c r="F55" i="40"/>
  <c r="B57" i="40"/>
  <c r="F57" i="40"/>
  <c r="B60" i="40"/>
  <c r="F60" i="40"/>
  <c r="B59" i="40"/>
  <c r="F59" i="40"/>
  <c r="B62" i="40"/>
  <c r="F62" i="40"/>
  <c r="F63" i="40"/>
  <c r="B2" i="40"/>
  <c r="B4" i="40"/>
  <c r="B5" i="40"/>
  <c r="B3" i="40"/>
  <c r="F16" i="15"/>
  <c r="M8" i="15"/>
  <c r="C14" i="71"/>
  <c r="F13" i="71"/>
  <c r="L48" i="71"/>
  <c r="N4" i="65"/>
  <c r="F13" i="15"/>
  <c r="L48" i="15"/>
  <c r="F35" i="71"/>
  <c r="M9" i="71"/>
  <c r="F16" i="70"/>
  <c r="F37" i="70"/>
  <c r="D19" i="9"/>
  <c r="M8" i="70"/>
  <c r="J15" i="71"/>
  <c r="J36" i="70"/>
  <c r="L47" i="15"/>
  <c r="F38" i="44"/>
  <c r="M28" i="44"/>
  <c r="N7" i="65"/>
  <c r="E10" i="67"/>
  <c r="M22" i="70"/>
  <c r="J3" i="65"/>
  <c r="E8" i="67"/>
  <c r="N3" i="65"/>
  <c r="M31" i="44"/>
  <c r="F40" i="44"/>
  <c r="F40" i="70"/>
  <c r="M27" i="71"/>
  <c r="F31" i="70"/>
  <c r="F11" i="44"/>
  <c r="E9" i="67"/>
  <c r="N6" i="65"/>
  <c r="M23" i="44"/>
  <c r="C16" i="44"/>
  <c r="J15" i="70"/>
  <c r="J4" i="65"/>
  <c r="M29" i="44"/>
  <c r="M22" i="15"/>
  <c r="M11" i="44"/>
  <c r="M21" i="15"/>
  <c r="C14" i="15"/>
  <c r="F40" i="15"/>
  <c r="F9" i="71"/>
  <c r="F36" i="71"/>
  <c r="F42" i="71"/>
  <c r="F9" i="15"/>
  <c r="F36" i="15"/>
  <c r="F42" i="15"/>
  <c r="F7" i="71"/>
  <c r="M8" i="71"/>
  <c r="C14" i="70"/>
  <c r="F13" i="70"/>
  <c r="L48" i="70"/>
  <c r="F35" i="70"/>
  <c r="M21" i="71"/>
  <c r="M28" i="71"/>
  <c r="M28" i="15"/>
  <c r="J17" i="44"/>
  <c r="N5" i="65"/>
  <c r="F39" i="44"/>
  <c r="J7" i="65"/>
  <c r="M27" i="70"/>
  <c r="F13" i="67"/>
  <c r="F8" i="44"/>
  <c r="F9" i="67"/>
  <c r="F46" i="44"/>
  <c r="M27" i="15"/>
  <c r="F26" i="70"/>
  <c r="J36" i="71"/>
  <c r="L47" i="70"/>
  <c r="M26" i="70"/>
  <c r="F11" i="67"/>
  <c r="B14" i="67"/>
  <c r="F10" i="44"/>
  <c r="E13" i="67"/>
  <c r="D21" i="9"/>
  <c r="M24" i="70"/>
  <c r="L48" i="44"/>
  <c r="F14" i="67"/>
  <c r="M23" i="15"/>
  <c r="F12" i="67"/>
  <c r="F15" i="44"/>
  <c r="F43" i="44"/>
  <c r="F7" i="15"/>
  <c r="F26" i="15"/>
  <c r="F8" i="71"/>
  <c r="F43" i="71"/>
  <c r="F38" i="71"/>
  <c r="F8" i="15"/>
  <c r="I5" i="65"/>
  <c r="F38" i="15"/>
  <c r="F6" i="71"/>
  <c r="F40" i="71"/>
  <c r="F9" i="70"/>
  <c r="F36" i="70"/>
  <c r="F42" i="70"/>
  <c r="F7" i="70"/>
  <c r="M29" i="71"/>
  <c r="L47" i="71"/>
  <c r="J36" i="15"/>
  <c r="J6" i="65"/>
  <c r="F10" i="67"/>
  <c r="F8" i="67"/>
  <c r="E12" i="67"/>
  <c r="F58" i="70"/>
  <c r="M17" i="70"/>
  <c r="F45" i="44"/>
  <c r="F9" i="44"/>
  <c r="M25" i="44"/>
  <c r="I6" i="65"/>
  <c r="E7" i="67"/>
  <c r="M6" i="70"/>
  <c r="M23" i="71"/>
  <c r="C19" i="44"/>
  <c r="M24" i="44"/>
  <c r="B12" i="67"/>
  <c r="J5" i="65"/>
  <c r="F18" i="44"/>
  <c r="M29" i="70"/>
  <c r="F37" i="44"/>
  <c r="M26" i="44"/>
  <c r="I3" i="65"/>
  <c r="M26" i="15"/>
  <c r="I4" i="65"/>
  <c r="F6" i="15"/>
  <c r="F43" i="15"/>
  <c r="M9" i="15"/>
  <c r="F16" i="71"/>
  <c r="F37" i="71"/>
  <c r="M6" i="71"/>
  <c r="F35" i="15"/>
  <c r="F37" i="15"/>
  <c r="M6" i="15"/>
  <c r="F26" i="71"/>
  <c r="F6" i="70"/>
  <c r="F43" i="70"/>
  <c r="F38" i="70"/>
  <c r="F8" i="70"/>
  <c r="M9" i="70"/>
  <c r="M24" i="71"/>
  <c r="M28" i="70"/>
  <c r="M24" i="15"/>
  <c r="E11" i="67"/>
  <c r="M30" i="44"/>
  <c r="E14" i="67"/>
  <c r="B7" i="67"/>
  <c r="M23" i="70"/>
  <c r="M8" i="44"/>
  <c r="B10" i="67"/>
  <c r="M10" i="44"/>
  <c r="B8" i="67"/>
  <c r="F31" i="15"/>
  <c r="F41" i="70"/>
  <c r="M22" i="71"/>
  <c r="M26" i="71"/>
  <c r="B9" i="67"/>
  <c r="M29" i="15"/>
  <c r="L49" i="44"/>
  <c r="F28" i="44"/>
  <c r="B13" i="67"/>
  <c r="M21" i="70"/>
  <c r="B11" i="67"/>
  <c r="I7" i="65"/>
  <c r="J15" i="15"/>
  <c r="D20" i="9"/>
  <c r="D22" i="70" l="1"/>
  <c r="O16" i="1"/>
  <c r="P9" i="1"/>
  <c r="D19" i="12"/>
  <c r="C19" i="12" s="1"/>
  <c r="C17" i="43"/>
  <c r="P16" i="1"/>
  <c r="C13" i="12" s="1"/>
  <c r="C14" i="12" s="1"/>
  <c r="C18" i="43"/>
  <c r="C19" i="43" s="1"/>
  <c r="C25" i="43" s="1"/>
  <c r="C24" i="43" s="1"/>
  <c r="C17" i="12"/>
  <c r="C18" i="12" s="1"/>
  <c r="J20" i="15"/>
  <c r="E20" i="46"/>
  <c r="Q73" i="44"/>
  <c r="L60" i="44"/>
  <c r="L59" i="44"/>
  <c r="C36" i="44"/>
  <c r="J20" i="70"/>
  <c r="C20" i="44"/>
  <c r="C17" i="44"/>
  <c r="J22" i="44"/>
  <c r="C29" i="44"/>
  <c r="I55" i="44"/>
  <c r="J60" i="44"/>
  <c r="J58" i="44"/>
  <c r="J56" i="44" s="1"/>
  <c r="J59" i="44" s="1"/>
  <c r="Q52" i="44" s="1"/>
  <c r="J61" i="44"/>
  <c r="Q50" i="44" s="1"/>
  <c r="J54" i="44"/>
  <c r="L57" i="44"/>
  <c r="L58" i="70"/>
  <c r="L59" i="70"/>
  <c r="Q72" i="71"/>
  <c r="F68" i="70"/>
  <c r="F67" i="70"/>
  <c r="C27" i="70"/>
  <c r="E3" i="67"/>
  <c r="M9" i="44"/>
  <c r="C8" i="44"/>
  <c r="J8" i="44"/>
  <c r="J1" i="65"/>
  <c r="B2" i="67"/>
  <c r="L59" i="15"/>
  <c r="L58" i="15"/>
  <c r="Q72" i="15"/>
  <c r="Q72" i="70"/>
  <c r="L59" i="71"/>
  <c r="L58" i="71"/>
  <c r="J20" i="71"/>
  <c r="C34" i="70"/>
  <c r="F62" i="70"/>
  <c r="C61" i="70" s="1"/>
  <c r="M7" i="70"/>
  <c r="J6" i="70" s="1"/>
  <c r="F49" i="70"/>
  <c r="F50" i="70"/>
  <c r="L44" i="9"/>
  <c r="J53" i="70"/>
  <c r="I54" i="70"/>
  <c r="L60" i="70"/>
  <c r="J60" i="70"/>
  <c r="Q49" i="70" s="1"/>
  <c r="J57" i="70"/>
  <c r="J55" i="70" s="1"/>
  <c r="J58" i="70" s="1"/>
  <c r="Q51" i="70" s="1"/>
  <c r="L56" i="70"/>
  <c r="J59" i="70"/>
  <c r="L57" i="70"/>
  <c r="F65" i="70"/>
  <c r="F64" i="70"/>
  <c r="F63" i="70"/>
  <c r="F70" i="70"/>
  <c r="C18" i="70"/>
  <c r="C15" i="70"/>
  <c r="C19" i="70"/>
  <c r="C6" i="70"/>
  <c r="F67" i="71"/>
  <c r="C27" i="71"/>
  <c r="C34" i="71"/>
  <c r="F62" i="71"/>
  <c r="C61" i="71" s="1"/>
  <c r="M7" i="71"/>
  <c r="F49" i="71"/>
  <c r="C6" i="71"/>
  <c r="J53" i="15"/>
  <c r="I54" i="15"/>
  <c r="L56" i="15"/>
  <c r="L57" i="15"/>
  <c r="J57" i="15"/>
  <c r="J55" i="15" s="1"/>
  <c r="J58" i="15" s="1"/>
  <c r="Q51" i="15" s="1"/>
  <c r="J60" i="15"/>
  <c r="Q49" i="15" s="1"/>
  <c r="L60" i="15"/>
  <c r="J59" i="15"/>
  <c r="F65" i="15"/>
  <c r="F64" i="15"/>
  <c r="F63" i="15"/>
  <c r="C34" i="15"/>
  <c r="F62" i="15"/>
  <c r="C61" i="15" s="1"/>
  <c r="C4" i="65"/>
  <c r="B39" i="1" s="1"/>
  <c r="F50" i="15"/>
  <c r="J6" i="71"/>
  <c r="J53" i="71"/>
  <c r="L57" i="71"/>
  <c r="J57" i="71"/>
  <c r="J55" i="71" s="1"/>
  <c r="J58" i="71" s="1"/>
  <c r="Q51" i="71" s="1"/>
  <c r="L56" i="71"/>
  <c r="J60" i="71"/>
  <c r="Q49" i="71" s="1"/>
  <c r="J59" i="71"/>
  <c r="L60" i="71"/>
  <c r="I54" i="71"/>
  <c r="F65" i="71"/>
  <c r="F64" i="71"/>
  <c r="F63" i="71"/>
  <c r="F70" i="71"/>
  <c r="C18" i="71"/>
  <c r="C15" i="71"/>
  <c r="F50" i="71"/>
  <c r="F67" i="15"/>
  <c r="C27" i="15"/>
  <c r="F70" i="15"/>
  <c r="C18" i="15"/>
  <c r="C15" i="15"/>
  <c r="M7" i="15"/>
  <c r="F49" i="15"/>
  <c r="C6" i="15"/>
  <c r="C20" i="12"/>
  <c r="F33" i="44"/>
  <c r="C18" i="44"/>
  <c r="F7" i="67"/>
  <c r="F58" i="15"/>
  <c r="C17" i="70"/>
  <c r="M19" i="44"/>
  <c r="C16" i="71"/>
  <c r="M17" i="15"/>
  <c r="C16" i="70"/>
  <c r="C16" i="15"/>
  <c r="M17" i="71"/>
  <c r="C17" i="15"/>
  <c r="F31" i="71"/>
  <c r="E2" i="65"/>
  <c r="C17" i="71"/>
  <c r="F58" i="71"/>
  <c r="E3" i="65"/>
  <c r="B40" i="1" l="1"/>
  <c r="F24" i="15" s="1"/>
  <c r="C24" i="15" s="1"/>
  <c r="C48" i="70"/>
  <c r="L47" i="44"/>
  <c r="C19" i="71"/>
  <c r="F17" i="11"/>
  <c r="C17" i="11" s="1"/>
  <c r="C19" i="11" s="1"/>
  <c r="E4" i="67"/>
  <c r="B4" i="67" s="1"/>
  <c r="C19" i="15"/>
  <c r="C21" i="44"/>
  <c r="F11" i="15"/>
  <c r="C52" i="15" s="1"/>
  <c r="M11" i="15"/>
  <c r="J10" i="15" s="1"/>
  <c r="F11" i="71"/>
  <c r="M11" i="71"/>
  <c r="J10" i="71" s="1"/>
  <c r="J5" i="71" s="1"/>
  <c r="F11" i="70"/>
  <c r="C52" i="70" s="1"/>
  <c r="M11" i="70"/>
  <c r="J10" i="70" s="1"/>
  <c r="J5" i="70" s="1"/>
  <c r="M13" i="44"/>
  <c r="J12" i="44" s="1"/>
  <c r="J7" i="44" s="1"/>
  <c r="F13" i="44"/>
  <c r="C12" i="44" s="1"/>
  <c r="C7" i="44" s="1"/>
  <c r="Q58" i="15"/>
  <c r="Q67" i="15"/>
  <c r="C23" i="12"/>
  <c r="C48" i="71"/>
  <c r="Q58" i="71"/>
  <c r="Q67" i="71"/>
  <c r="F1" i="71"/>
  <c r="Q53" i="71"/>
  <c r="C48" i="15"/>
  <c r="C47" i="15" s="1"/>
  <c r="F1" i="15"/>
  <c r="Q53" i="15"/>
  <c r="C20" i="70"/>
  <c r="Q75" i="71"/>
  <c r="Q62" i="71"/>
  <c r="Q75" i="15"/>
  <c r="Q62" i="15"/>
  <c r="Q61" i="70"/>
  <c r="Q74" i="70"/>
  <c r="F1" i="44"/>
  <c r="Q54" i="44"/>
  <c r="Q63" i="44"/>
  <c r="Q76" i="44"/>
  <c r="M17" i="46"/>
  <c r="O17" i="46"/>
  <c r="N17" i="46"/>
  <c r="P17" i="46"/>
  <c r="J6" i="15"/>
  <c r="Q58" i="70"/>
  <c r="Q67" i="70"/>
  <c r="F1" i="70"/>
  <c r="Q53" i="70"/>
  <c r="Q74" i="71"/>
  <c r="Q61" i="71"/>
  <c r="Q61" i="15"/>
  <c r="Q74" i="15"/>
  <c r="B3" i="67"/>
  <c r="Q75" i="70"/>
  <c r="Q62" i="70"/>
  <c r="Q62" i="44"/>
  <c r="Q75" i="44"/>
  <c r="AE9" i="1"/>
  <c r="AE7" i="1"/>
  <c r="F26" i="12" l="1"/>
  <c r="C27" i="12" s="1"/>
  <c r="D26" i="12" s="1"/>
  <c r="C32" i="12" s="1"/>
  <c r="D30" i="12" s="1"/>
  <c r="F21" i="43"/>
  <c r="C22" i="43" s="1"/>
  <c r="C21" i="43" s="1"/>
  <c r="F24" i="71"/>
  <c r="C24" i="71" s="1"/>
  <c r="F26" i="44"/>
  <c r="C26" i="44" s="1"/>
  <c r="F24" i="70"/>
  <c r="C24" i="70" s="1"/>
  <c r="C10" i="70"/>
  <c r="C5" i="70" s="1"/>
  <c r="C32" i="70" s="1"/>
  <c r="J5" i="15"/>
  <c r="J24" i="15" s="1"/>
  <c r="C47" i="70"/>
  <c r="C65" i="70" s="1"/>
  <c r="C26" i="70"/>
  <c r="C40" i="44"/>
  <c r="C34" i="44"/>
  <c r="J26" i="70"/>
  <c r="J29" i="70" s="1"/>
  <c r="J24" i="70"/>
  <c r="J18" i="70"/>
  <c r="J26" i="71"/>
  <c r="J24" i="71"/>
  <c r="J18" i="71"/>
  <c r="C23" i="43"/>
  <c r="D21" i="43" s="1"/>
  <c r="C60" i="15"/>
  <c r="C65" i="15"/>
  <c r="C59" i="15"/>
  <c r="C22" i="44"/>
  <c r="C10" i="71"/>
  <c r="C5" i="71" s="1"/>
  <c r="C52" i="71"/>
  <c r="C47" i="71" s="1"/>
  <c r="C10" i="15"/>
  <c r="C5" i="15" s="1"/>
  <c r="C20" i="15"/>
  <c r="C23" i="15" s="1"/>
  <c r="C20" i="11"/>
  <c r="C21" i="11" s="1"/>
  <c r="C22" i="11" s="1"/>
  <c r="C23" i="11" s="1"/>
  <c r="B2" i="11" s="1"/>
  <c r="J28" i="44"/>
  <c r="J31" i="44" s="1"/>
  <c r="J26" i="44"/>
  <c r="J20" i="44"/>
  <c r="C20" i="71"/>
  <c r="C23" i="71" s="1"/>
  <c r="F41" i="71"/>
  <c r="F41" i="15"/>
  <c r="L52" i="44"/>
  <c r="C25" i="44" l="1"/>
  <c r="F68" i="71"/>
  <c r="F68" i="15"/>
  <c r="J29" i="71"/>
  <c r="C23" i="70"/>
  <c r="C29" i="70" s="1"/>
  <c r="C58" i="15"/>
  <c r="J18" i="15"/>
  <c r="C33" i="70"/>
  <c r="C31" i="70" s="1"/>
  <c r="C60" i="70"/>
  <c r="J26" i="15"/>
  <c r="J29" i="15" s="1"/>
  <c r="C38" i="70"/>
  <c r="C26" i="71"/>
  <c r="C29" i="71" s="1"/>
  <c r="C59" i="70"/>
  <c r="C28" i="44"/>
  <c r="C28" i="43"/>
  <c r="C30" i="43" s="1"/>
  <c r="C32" i="43" s="1"/>
  <c r="B2" i="43" s="1"/>
  <c r="B4" i="43" s="1"/>
  <c r="Q69" i="44"/>
  <c r="L58" i="44"/>
  <c r="L61" i="44" s="1"/>
  <c r="B3" i="11"/>
  <c r="B5" i="11"/>
  <c r="B4" i="11"/>
  <c r="C59" i="71"/>
  <c r="C60" i="71"/>
  <c r="C65" i="71"/>
  <c r="Q49" i="44"/>
  <c r="Q55" i="44" s="1"/>
  <c r="Q58" i="44"/>
  <c r="Q67" i="44"/>
  <c r="C26" i="15"/>
  <c r="C29" i="15" s="1"/>
  <c r="C33" i="15"/>
  <c r="C38" i="15"/>
  <c r="C32" i="15"/>
  <c r="C33" i="71"/>
  <c r="C32" i="71"/>
  <c r="C38" i="71"/>
  <c r="C31" i="44" l="1"/>
  <c r="C35" i="44" s="1"/>
  <c r="C33" i="44" s="1"/>
  <c r="J14" i="70"/>
  <c r="J13" i="70" s="1"/>
  <c r="J23" i="70" s="1"/>
  <c r="C36" i="70"/>
  <c r="C56" i="70"/>
  <c r="C63" i="70" s="1"/>
  <c r="J19" i="70"/>
  <c r="J17" i="70" s="1"/>
  <c r="C13" i="70"/>
  <c r="C37" i="70" s="1"/>
  <c r="Q50" i="70"/>
  <c r="C58" i="70"/>
  <c r="B3" i="43"/>
  <c r="B5" i="43"/>
  <c r="C38" i="44"/>
  <c r="C36" i="15"/>
  <c r="C13" i="15"/>
  <c r="Q50" i="15"/>
  <c r="C56" i="15"/>
  <c r="C63" i="15" s="1"/>
  <c r="J19" i="15"/>
  <c r="J17" i="15" s="1"/>
  <c r="J14" i="15"/>
  <c r="C36" i="71"/>
  <c r="C13" i="71"/>
  <c r="C56" i="71"/>
  <c r="C63" i="71" s="1"/>
  <c r="Q50" i="71"/>
  <c r="J19" i="71"/>
  <c r="J17" i="71" s="1"/>
  <c r="J14" i="71"/>
  <c r="C58" i="71"/>
  <c r="J22" i="70"/>
  <c r="Q71" i="70"/>
  <c r="C55" i="70"/>
  <c r="C64" i="70" s="1"/>
  <c r="C57" i="70" s="1"/>
  <c r="C66" i="70" s="1"/>
  <c r="C67" i="70" s="1"/>
  <c r="C31" i="71"/>
  <c r="C31" i="15"/>
  <c r="Q59" i="44"/>
  <c r="Q64" i="44" s="1"/>
  <c r="Q68" i="44"/>
  <c r="Q77" i="44" s="1"/>
  <c r="J16" i="44" l="1"/>
  <c r="J24" i="44" s="1"/>
  <c r="J21" i="44"/>
  <c r="J19" i="44" s="1"/>
  <c r="J15" i="44"/>
  <c r="J25" i="44" s="1"/>
  <c r="Q51" i="44"/>
  <c r="C15" i="44"/>
  <c r="Q72" i="44" s="1"/>
  <c r="C30" i="70"/>
  <c r="C39" i="70" s="1"/>
  <c r="C40" i="70" s="1"/>
  <c r="C46" i="70" s="1"/>
  <c r="J35" i="70"/>
  <c r="J39" i="70" s="1"/>
  <c r="J40" i="70" s="1"/>
  <c r="J16" i="70"/>
  <c r="J25" i="70" s="1"/>
  <c r="C70" i="70"/>
  <c r="J13" i="15"/>
  <c r="J23" i="15" s="1"/>
  <c r="J22" i="15"/>
  <c r="C37" i="15"/>
  <c r="C30" i="15" s="1"/>
  <c r="C39" i="15" s="1"/>
  <c r="J35" i="15"/>
  <c r="C55" i="15"/>
  <c r="C64" i="15" s="1"/>
  <c r="C57" i="15" s="1"/>
  <c r="C66" i="15" s="1"/>
  <c r="C67" i="15" s="1"/>
  <c r="Q71" i="15"/>
  <c r="J22" i="71"/>
  <c r="J13" i="71"/>
  <c r="J23" i="71" s="1"/>
  <c r="C37" i="71"/>
  <c r="C30" i="71" s="1"/>
  <c r="C39" i="71" s="1"/>
  <c r="Q71" i="71"/>
  <c r="C55" i="71"/>
  <c r="C64" i="71" s="1"/>
  <c r="C57" i="71" s="1"/>
  <c r="C66" i="71" s="1"/>
  <c r="C67" i="71" s="1"/>
  <c r="J35" i="71"/>
  <c r="L51" i="70"/>
  <c r="Q70" i="70" l="1"/>
  <c r="Q69" i="70" s="1"/>
  <c r="J18" i="44"/>
  <c r="J27" i="44" s="1"/>
  <c r="C39" i="44"/>
  <c r="C32" i="44" s="1"/>
  <c r="C42" i="44" s="1"/>
  <c r="Q71" i="44" s="1"/>
  <c r="Q70" i="44" s="1"/>
  <c r="C43" i="44"/>
  <c r="J16" i="71"/>
  <c r="J25" i="71" s="1"/>
  <c r="J16" i="15"/>
  <c r="J25" i="15" s="1"/>
  <c r="Q68" i="70"/>
  <c r="C70" i="71"/>
  <c r="C40" i="71"/>
  <c r="Q70" i="71"/>
  <c r="Q69" i="71" s="1"/>
  <c r="C70" i="15"/>
  <c r="C40" i="15"/>
  <c r="Q70" i="15"/>
  <c r="Q69" i="15" s="1"/>
  <c r="J39" i="15"/>
  <c r="J40" i="15" s="1"/>
  <c r="J39" i="71"/>
  <c r="J40" i="71" s="1"/>
  <c r="B2" i="70"/>
  <c r="B3" i="70" s="1"/>
  <c r="Q66" i="70"/>
  <c r="Q76" i="70" s="1"/>
  <c r="Q48" i="70"/>
  <c r="Q54" i="70" s="1"/>
  <c r="C43" i="70"/>
  <c r="Q57" i="70"/>
  <c r="Q63" i="70" s="1"/>
  <c r="J42" i="70"/>
  <c r="J43" i="70" s="1"/>
  <c r="L51" i="15"/>
  <c r="L51" i="71"/>
  <c r="C44" i="44" l="1"/>
  <c r="C45" i="44" s="1"/>
  <c r="B2" i="44" s="1"/>
  <c r="B4" i="44" s="1"/>
  <c r="Q68" i="71"/>
  <c r="Q68" i="15"/>
  <c r="B2" i="71"/>
  <c r="Q57" i="71"/>
  <c r="Q63" i="71" s="1"/>
  <c r="Q66" i="71"/>
  <c r="Q76" i="71" s="1"/>
  <c r="C43" i="71"/>
  <c r="Q48" i="71"/>
  <c r="Q54" i="71" s="1"/>
  <c r="J42" i="71"/>
  <c r="J43" i="71" s="1"/>
  <c r="C46" i="71"/>
  <c r="B2" i="15"/>
  <c r="Q66" i="15"/>
  <c r="Q76" i="15" s="1"/>
  <c r="C43" i="15"/>
  <c r="Q57" i="15"/>
  <c r="Q63" i="15" s="1"/>
  <c r="Q48" i="15"/>
  <c r="Q54" i="15" s="1"/>
  <c r="J42" i="15"/>
  <c r="J43" i="15" s="1"/>
  <c r="C46" i="15"/>
  <c r="B3" i="44" l="1"/>
  <c r="B5" i="44"/>
  <c r="D10" i="12"/>
  <c r="B3" i="15"/>
  <c r="D8" i="12" s="1"/>
  <c r="F10" i="12"/>
  <c r="B3" i="71"/>
  <c r="F8" i="12" s="1"/>
  <c r="C6" i="12" l="1"/>
  <c r="C24" i="12" l="1"/>
  <c r="C29" i="12"/>
  <c r="C28" i="12" l="1"/>
  <c r="C26" i="12" s="1"/>
  <c r="C31" i="12" s="1"/>
  <c r="C30" i="12" s="1"/>
  <c r="C35" i="12"/>
  <c r="C33" i="12" s="1"/>
  <c r="C36" i="12" l="1"/>
  <c r="B2" i="12" s="1"/>
  <c r="C19" i="9"/>
  <c r="G19" i="9" l="1"/>
  <c r="D22" i="9"/>
  <c r="L43" i="9"/>
  <c r="B4" i="12"/>
  <c r="B5" i="12"/>
  <c r="B3" i="12"/>
  <c r="C20" i="9"/>
  <c r="C21" i="9"/>
  <c r="G20" i="9" l="1"/>
  <c r="G21" i="9"/>
  <c r="N43" i="9"/>
  <c r="G22" i="9"/>
  <c r="C32" i="9"/>
  <c r="C42" i="9" l="1"/>
  <c r="C35" i="9"/>
  <c r="F42" i="9" s="1"/>
  <c r="O38" i="9"/>
  <c r="O43" i="9"/>
  <c r="C33" i="9"/>
  <c r="C34" i="9"/>
  <c r="N38" i="9" l="1"/>
  <c r="K28" i="9" s="1"/>
  <c r="D42" i="9"/>
  <c r="Q5" i="54" s="1"/>
  <c r="B47" i="63" s="1"/>
  <c r="K25" i="9"/>
  <c r="K26" i="9"/>
  <c r="R5" i="54"/>
  <c r="B48" i="63" s="1"/>
  <c r="D14" i="66"/>
  <c r="N68" i="9"/>
  <c r="D63" i="9"/>
  <c r="M38" i="9"/>
  <c r="K27" i="9" s="1"/>
  <c r="E42" i="9"/>
  <c r="P5" i="54" s="1"/>
  <c r="B46" i="63" s="1"/>
  <c r="C90" i="9" l="1"/>
  <c r="C111" i="9"/>
  <c r="C104" i="9" s="1"/>
  <c r="C96" i="9"/>
  <c r="C91" i="9" s="1"/>
  <c r="D70" i="9"/>
  <c r="C103" i="9"/>
  <c r="D71" i="9"/>
  <c r="D66" i="9" s="1"/>
  <c r="N72" i="9" s="1"/>
  <c r="D77" i="9"/>
  <c r="N75" i="9" s="1"/>
  <c r="C82" i="9"/>
  <c r="C81" i="9" s="1"/>
  <c r="C85" i="9" s="1"/>
  <c r="C86" i="9" s="1"/>
  <c r="D72" i="9" s="1"/>
  <c r="E14" i="66"/>
  <c r="B5" i="66"/>
  <c r="F14" i="66"/>
  <c r="C113" i="9" l="1"/>
  <c r="C114" i="9" s="1"/>
  <c r="E114" i="9" s="1"/>
  <c r="E115" i="9" s="1"/>
  <c r="D5" i="66"/>
  <c r="C5" i="66"/>
  <c r="C97" i="9"/>
  <c r="C98" i="9" l="1"/>
  <c r="E98" i="9" s="1"/>
  <c r="E99" i="9" s="1"/>
  <c r="C115" i="9"/>
  <c r="D76" i="9" s="1"/>
  <c r="D74" i="9" s="1"/>
  <c r="N74" i="9" s="1"/>
  <c r="O77" i="9" s="1"/>
  <c r="C99" i="9" l="1"/>
  <c r="O79" i="9"/>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<sst xmlns="http://schemas.openxmlformats.org/spreadsheetml/2006/main" count="8144" uniqueCount="3266">
  <si>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</si>
  <si>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</si>
  <si>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</si>
  <si>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</si>
  <si>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</si>
  <si>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</si>
  <si>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</si>
  <si>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</si>
  <si>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</si>
  <si>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</si>
  <si>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</si>
  <si>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</si>
  <si>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</si>
  <si>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</si>
  <si>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</si>
  <si>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</si>
  <si>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</si>
  <si>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</si>
  <si>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</si>
  <si>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</si>
  <si>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</si>
  <si>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</si>
  <si>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</si>
  <si>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</si>
  <si>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</si>
  <si>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</si>
  <si>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</si>
  <si>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</si>
  <si>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</si>
  <si>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</si>
  <si>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</si>
  <si>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</si>
  <si>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</si>
  <si>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</si>
  <si>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</si>
  <si>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</si>
  <si>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</si>
  <si>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</si>
  <si>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</si>
  <si>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</si>
  <si>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</si>
  <si>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</si>
  <si>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</si>
  <si>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</si>
  <si>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</si>
  <si>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</si>
  <si>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</si>
  <si>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</si>
  <si>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</si>
  <si>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</si>
  <si>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</si>
  <si>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</si>
  <si>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</si>
  <si>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</si>
  <si>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</si>
  <si>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</si>
  <si>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</si>
  <si>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</si>
  <si>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</si>
  <si>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</si>
  <si>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</si>
  <si>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</si>
  <si>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</si>
  <si>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</si>
  <si>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</si>
  <si>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</si>
  <si>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</si>
  <si>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</si>
  <si>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</si>
  <si>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</si>
  <si>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</si>
  <si>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</si>
  <si>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</si>
  <si>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</si>
  <si>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</si>
  <si>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</si>
  <si>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</si>
  <si>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</si>
  <si>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</si>
  <si>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</si>
  <si>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</si>
  <si>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</si>
  <si>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</si>
  <si>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</si>
  <si>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</si>
  <si>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</si>
  <si>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</si>
  <si>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</si>
  <si>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</si>
  <si>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</si>
  <si>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</si>
  <si>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</si>
  <si>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</si>
  <si>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</si>
  <si>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</si>
  <si>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</si>
  <si>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</si>
  <si>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</si>
  <si>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</si>
  <si>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</si>
  <si>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</si>
  <si>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</si>
  <si>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</si>
  <si>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</si>
  <si>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</si>
  <si>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</si>
  <si>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</si>
  <si>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</si>
  <si>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</si>
  <si>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</si>
  <si>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</si>
  <si>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</si>
  <si>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</si>
  <si>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</si>
  <si>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</si>
  <si>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</si>
  <si>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</si>
  <si>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</si>
  <si>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</si>
  <si>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</si>
  <si>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</si>
  <si>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</si>
  <si>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</si>
  <si>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</si>
  <si>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</si>
  <si>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</si>
  <si>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</si>
  <si>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</si>
  <si>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</si>
  <si>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</si>
  <si>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</si>
  <si>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</si>
  <si>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</si>
  <si>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</si>
  <si>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</si>
  <si>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</si>
  <si>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</si>
  <si>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</si>
  <si>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</si>
  <si>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</si>
  <si>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</si>
  <si>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</si>
  <si>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</si>
  <si>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</si>
  <si>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</si>
  <si>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</si>
  <si>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</si>
  <si>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</si>
  <si>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</si>
  <si>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</si>
  <si>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</si>
  <si>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</si>
  <si>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</si>
  <si>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</si>
  <si>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</si>
  <si>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</si>
  <si>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</si>
  <si>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</si>
  <si>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</si>
  <si>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</si>
  <si>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</si>
  <si>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</si>
  <si>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</si>
  <si>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</si>
  <si>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</si>
  <si>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</si>
  <si>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</si>
  <si>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</si>
  <si>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</si>
  <si>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</si>
  <si>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</si>
  <si>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</si>
  <si>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</si>
  <si>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</si>
  <si>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</si>
  <si>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</si>
  <si>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</si>
  <si>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</si>
  <si>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</si>
  <si>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</si>
  <si>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</si>
  <si>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</si>
  <si>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</si>
  <si>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</si>
  <si>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</si>
  <si>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</si>
  <si>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</si>
  <si>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</si>
  <si>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</si>
  <si>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</si>
  <si>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</si>
  <si>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</si>
  <si>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</si>
  <si>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</si>
  <si>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</si>
  <si>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</si>
  <si>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</si>
  <si>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</si>
  <si>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</si>
  <si>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</si>
  <si>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</si>
  <si>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</si>
  <si>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</si>
  <si>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</si>
  <si>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</si>
  <si>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</si>
  <si>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</si>
  <si>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</si>
  <si>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</si>
  <si>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</si>
  <si>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</si>
  <si>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</si>
  <si>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</si>
  <si>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</si>
  <si>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</si>
  <si>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</si>
  <si>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</si>
  <si>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</si>
  <si>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</si>
  <si>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</si>
  <si>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</si>
  <si>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</si>
  <si>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</si>
  <si>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</si>
  <si>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</si>
  <si>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</si>
  <si>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</si>
  <si>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</si>
  <si>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</si>
  <si>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</si>
  <si>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</si>
  <si>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</si>
  <si>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</si>
  <si>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</si>
  <si>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</si>
  <si>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</si>
  <si>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</si>
  <si>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</si>
  <si>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</si>
  <si>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</si>
  <si>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</si>
  <si>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</si>
  <si>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</si>
  <si>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</si>
  <si>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</si>
  <si>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</si>
  <si>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</si>
  <si>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</si>
  <si>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</si>
  <si>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</si>
  <si>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</si>
  <si>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</si>
  <si>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</si>
  <si>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</si>
  <si>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</si>
  <si>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</si>
  <si>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</si>
  <si>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</si>
  <si>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</si>
  <si>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</si>
  <si>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</si>
  <si>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</si>
  <si>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</si>
  <si>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</si>
  <si>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</si>
  <si>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</si>
  <si>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</si>
  <si>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</si>
  <si>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</si>
  <si>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</si>
  <si>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</si>
  <si>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</si>
  <si>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</si>
  <si>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</si>
  <si>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</si>
  <si>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</si>
  <si>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</si>
  <si>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</si>
  <si>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</si>
  <si>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</si>
  <si>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</si>
  <si>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</si>
  <si>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</si>
  <si>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</si>
  <si>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</si>
  <si>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</si>
  <si>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</si>
  <si>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</si>
  <si>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</si>
  <si>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</si>
  <si>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</si>
  <si>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</si>
  <si>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</si>
  <si>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</si>
  <si>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</si>
  <si>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</si>
  <si>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</si>
  <si>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</si>
  <si>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</si>
  <si>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</si>
  <si>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</si>
  <si>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</si>
  <si>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</si>
  <si>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</si>
  <si>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</si>
  <si>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</si>
  <si>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</si>
  <si>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</si>
  <si>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</si>
  <si>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</si>
  <si>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</si>
  <si>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</si>
  <si>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</si>
  <si>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</si>
  <si>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</si>
  <si>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</si>
  <si>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</si>
  <si>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</si>
  <si>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</si>
  <si>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</si>
  <si>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</si>
  <si>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</si>
  <si>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</si>
  <si>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</si>
  <si>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</si>
  <si>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</si>
  <si>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</si>
  <si>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</si>
  <si>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</si>
  <si>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</si>
  <si>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</si>
  <si>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</si>
  <si>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</si>
  <si>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</si>
  <si>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</si>
  <si>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</si>
  <si>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</si>
  <si>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</si>
  <si>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</si>
  <si>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</si>
  <si>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</si>
  <si>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</si>
  <si>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</si>
  <si>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</si>
  <si>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</si>
  <si>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</si>
  <si>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</si>
  <si>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</si>
  <si>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</si>
  <si>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</si>
  <si>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</si>
  <si>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</si>
  <si>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</si>
  <si>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</si>
  <si>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</si>
  <si>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</si>
  <si>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</si>
  <si>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</si>
  <si>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</si>
  <si>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</si>
  <si>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</si>
  <si>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</si>
  <si>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</si>
  <si>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</si>
  <si>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</si>
  <si>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</si>
  <si>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</si>
  <si>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</si>
  <si>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</si>
  <si>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</si>
  <si>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</si>
  <si>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</si>
  <si>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</si>
  <si>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</si>
  <si>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</si>
  <si>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</si>
  <si>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</si>
  <si>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</si>
  <si>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</si>
  <si>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</si>
  <si>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</si>
  <si>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</si>
  <si>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</si>
  <si>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</si>
  <si>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</si>
  <si>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</si>
  <si>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</si>
  <si>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</si>
  <si>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</si>
  <si>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</si>
  <si>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</si>
  <si>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</si>
  <si>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</si>
  <si>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</si>
  <si>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</si>
  <si>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</si>
  <si>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</si>
  <si>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</si>
  <si>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</si>
  <si>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</si>
  <si>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</si>
  <si>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</si>
  <si>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</si>
  <si>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</si>
  <si>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</si>
  <si>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</si>
  <si>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</si>
  <si>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</si>
  <si>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</si>
  <si>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</si>
  <si>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</si>
  <si>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</si>
  <si>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</si>
  <si>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</si>
  <si>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</si>
  <si>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</si>
  <si>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</si>
  <si>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</si>
  <si>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</si>
  <si>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</si>
  <si>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</si>
  <si>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</si>
  <si>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</si>
  <si>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</si>
  <si>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</si>
  <si>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</si>
  <si>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</si>
  <si>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</si>
  <si>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</si>
  <si>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</si>
  <si>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</si>
  <si>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</si>
  <si>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</si>
  <si>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</si>
  <si>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</si>
  <si>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</si>
  <si>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</si>
  <si>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</si>
  <si>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</si>
  <si>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</si>
  <si>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</si>
  <si>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</si>
  <si>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</si>
  <si>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</si>
  <si>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</si>
  <si>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</si>
  <si>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</si>
  <si>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</si>
  <si>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</si>
  <si>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</si>
  <si>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</si>
  <si>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</si>
  <si>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</si>
  <si>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</si>
  <si>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</si>
  <si>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</si>
  <si>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</si>
  <si>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</si>
  <si>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</si>
  <si>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</si>
  <si>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</si>
  <si>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</si>
  <si>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</si>
  <si>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</si>
  <si>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</si>
  <si>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</si>
  <si>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</si>
  <si>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</si>
  <si>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</si>
  <si>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</si>
  <si>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</si>
  <si>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</si>
  <si>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</si>
  <si>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</si>
  <si>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</si>
  <si>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</si>
  <si>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</si>
  <si>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</si>
  <si>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</si>
  <si>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</si>
  <si>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</si>
  <si>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</si>
  <si>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</si>
  <si>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</si>
  <si>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</si>
  <si>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</si>
  <si>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</si>
  <si>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</si>
  <si>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</si>
  <si>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</si>
  <si>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</si>
  <si>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</si>
  <si>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</si>
  <si>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</si>
  <si>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</si>
  <si>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</si>
  <si>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</si>
  <si>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</si>
  <si>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</si>
  <si>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</si>
  <si>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</si>
  <si>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</si>
  <si>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</si>
  <si>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</si>
  <si>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</si>
  <si>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</si>
  <si>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</si>
  <si>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</si>
  <si>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</si>
  <si>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</si>
  <si>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</si>
  <si>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</si>
  <si>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</si>
  <si>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</si>
  <si>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</si>
  <si>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</si>
  <si>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</si>
  <si>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</si>
  <si>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</si>
  <si>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</si>
  <si>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</si>
  <si>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</si>
  <si>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</si>
  <si>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</si>
  <si>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</si>
  <si>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</si>
  <si>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</si>
  <si>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</si>
  <si>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</si>
  <si>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</si>
  <si>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</si>
  <si>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</si>
  <si>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</si>
  <si>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</si>
  <si>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</si>
  <si>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</si>
  <si>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</si>
  <si>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</si>
  <si>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</si>
  <si>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</si>
  <si>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</si>
  <si>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</si>
  <si>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</si>
  <si>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</si>
  <si>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</si>
  <si>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</si>
  <si>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</si>
  <si>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</si>
  <si>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</si>
  <si>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</si>
  <si>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</si>
  <si>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</si>
  <si>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</si>
  <si>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</si>
  <si>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</si>
  <si>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</si>
  <si>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</si>
  <si>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</si>
  <si>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</si>
  <si>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</si>
  <si>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</si>
  <si>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</si>
  <si>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</si>
  <si>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</si>
  <si>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</si>
  <si>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</si>
  <si>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</si>
  <si>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</si>
  <si>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</si>
  <si>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</si>
  <si>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</si>
  <si>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</si>
  <si>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</si>
  <si>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</si>
  <si>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</si>
  <si>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</si>
  <si>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</si>
  <si>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</si>
  <si>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</si>
  <si>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</si>
  <si>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</si>
  <si>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</si>
  <si>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</si>
  <si>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</si>
  <si>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</si>
  <si>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</si>
  <si>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</si>
  <si>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</si>
  <si>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</si>
  <si>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</si>
  <si>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</si>
  <si>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</si>
  <si>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</si>
  <si>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</si>
  <si>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</si>
  <si>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</si>
  <si>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</si>
  <si>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</si>
  <si>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</si>
  <si>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</si>
  <si>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</si>
  <si>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</si>
  <si>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</si>
  <si>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</si>
  <si>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</si>
  <si>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</si>
  <si>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</si>
  <si>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</si>
  <si>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</si>
  <si>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</si>
  <si>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</si>
  <si>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</si>
  <si>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</si>
  <si>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</si>
  <si>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</si>
  <si>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</si>
  <si>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</si>
  <si>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</si>
  <si>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</si>
  <si>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</si>
  <si>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</si>
  <si>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</si>
  <si>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</si>
  <si>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</si>
  <si>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</si>
  <si>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</si>
  <si>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</si>
  <si>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</si>
  <si>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</si>
  <si>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</si>
  <si>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</si>
  <si>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</si>
  <si>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</si>
  <si>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</si>
  <si>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</si>
  <si>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</si>
  <si>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</si>
  <si>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</si>
  <si>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</si>
  <si>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</si>
  <si>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</si>
  <si>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</si>
  <si>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</si>
  <si>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</si>
  <si>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</si>
  <si>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</si>
  <si>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</si>
  <si>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</si>
  <si>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</si>
  <si>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</si>
  <si>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</si>
  <si>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</si>
  <si>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</si>
  <si>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</si>
  <si>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</si>
  <si>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</si>
  <si>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</si>
  <si>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</si>
  <si>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</si>
  <si>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</si>
  <si>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</si>
  <si>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</si>
  <si>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</si>
  <si>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</si>
  <si>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</si>
  <si>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</si>
  <si>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</si>
  <si>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</si>
  <si>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</si>
  <si>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</si>
  <si>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</si>
  <si>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</si>
  <si>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</si>
  <si>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</si>
  <si>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</si>
  <si>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</si>
  <si>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</si>
  <si>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</si>
  <si>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</si>
  <si>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</si>
  <si>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</si>
  <si>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</si>
  <si>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</si>
  <si>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</si>
  <si>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</si>
  <si>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</si>
  <si>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</si>
  <si>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</si>
  <si>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</si>
  <si>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</si>
  <si>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</si>
  <si>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</si>
  <si>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</si>
  <si>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</si>
  <si>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</si>
  <si>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</si>
  <si>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</si>
  <si>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</si>
  <si>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</si>
  <si>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</si>
  <si>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</si>
  <si>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</si>
  <si>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</si>
  <si>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</si>
  <si>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</si>
  <si>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</si>
  <si>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</si>
  <si>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</si>
  <si>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</si>
  <si>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</si>
  <si>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</si>
  <si>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</si>
  <si>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</si>
  <si>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</si>
  <si>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</si>
  <si>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</si>
  <si>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</si>
  <si>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</si>
  <si>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</si>
  <si>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</si>
  <si>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</si>
  <si>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</si>
  <si>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</si>
  <si>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</si>
  <si>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</si>
  <si>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</si>
  <si>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</si>
  <si>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</si>
  <si>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</si>
  <si>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</si>
  <si>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</si>
  <si>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</si>
  <si>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</si>
  <si>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</si>
  <si>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</si>
  <si>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</si>
  <si>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</si>
  <si>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</si>
  <si>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</si>
  <si>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</si>
  <si>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</si>
  <si>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</si>
  <si>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</si>
  <si>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</si>
  <si>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</si>
  <si>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</si>
  <si>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</si>
  <si>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</si>
  <si>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</si>
  <si>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</si>
  <si>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</si>
  <si>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</si>
  <si>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</si>
  <si>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</si>
  <si>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</si>
  <si>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</si>
  <si>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</si>
  <si>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</si>
  <si>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</si>
  <si>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</si>
  <si>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</si>
  <si>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</si>
  <si>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</si>
  <si>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</si>
  <si>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</si>
  <si>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</si>
  <si>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</si>
  <si>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</si>
  <si>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</si>
  <si>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</si>
  <si>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</si>
  <si>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</si>
  <si>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</si>
  <si>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</si>
  <si>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</si>
  <si>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</si>
  <si>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</si>
  <si>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</si>
  <si>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</si>
  <si>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</si>
  <si>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</si>
  <si>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</si>
  <si>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</si>
  <si>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</si>
  <si>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</si>
  <si>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</si>
  <si>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</si>
  <si>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</si>
  <si>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</si>
  <si>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</si>
  <si>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</si>
  <si>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</si>
  <si>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</si>
  <si>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</si>
  <si>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</si>
  <si>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</si>
  <si>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</si>
  <si>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</si>
  <si>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</si>
  <si>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</si>
  <si>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</si>
  <si>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</si>
  <si>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</si>
  <si>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</si>
  <si>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</si>
  <si>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</si>
  <si>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</si>
  <si>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</si>
  <si>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</si>
  <si>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</si>
  <si>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</si>
  <si>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</si>
  <si>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</si>
  <si>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</si>
  <si>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</si>
  <si>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</si>
  <si>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</si>
  <si>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</si>
  <si>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</si>
  <si>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</si>
  <si>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</si>
  <si>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</si>
  <si>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</si>
  <si>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</si>
  <si>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</si>
  <si>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</si>
  <si>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</si>
  <si>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</si>
  <si>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</si>
  <si>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</si>
  <si>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</si>
  <si>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</si>
  <si>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</si>
  <si>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</si>
  <si>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</si>
  <si>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</si>
  <si>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</si>
  <si>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</si>
  <si>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</si>
  <si>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</si>
  <si>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</si>
  <si>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</si>
  <si>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</si>
  <si>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</si>
  <si>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</si>
  <si>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</si>
  <si>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</si>
  <si>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</si>
  <si>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</si>
  <si>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</si>
  <si>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</si>
  <si>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</si>
  <si>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</si>
  <si>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</si>
  <si>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</si>
  <si>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</si>
  <si>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</si>
  <si>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</si>
  <si>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</si>
  <si>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</si>
  <si>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</si>
  <si>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</si>
  <si>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</si>
  <si>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</si>
  <si>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</si>
  <si>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</si>
  <si>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</si>
  <si>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</si>
  <si>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</si>
  <si>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</si>
  <si>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</si>
  <si>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</si>
  <si>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</si>
  <si>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</si>
  <si>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</si>
  <si>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</si>
  <si>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</si>
  <si>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</si>
  <si>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</si>
  <si>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</si>
  <si>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</si>
  <si>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</si>
  <si>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</si>
  <si>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</si>
  <si>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</si>
  <si>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</si>
  <si>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</si>
  <si>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</si>
  <si>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</si>
  <si>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</si>
  <si>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</si>
  <si>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</si>
  <si>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</si>
  <si>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</si>
  <si>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</si>
  <si>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</si>
  <si>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</si>
  <si>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</si>
  <si>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</si>
  <si>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</si>
  <si>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</si>
  <si>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</si>
  <si>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</si>
  <si>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</si>
  <si>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</si>
  <si>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</si>
  <si>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</si>
  <si>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</si>
  <si>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</si>
  <si>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</si>
  <si>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</si>
  <si>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</si>
  <si>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</si>
  <si>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</si>
  <si>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</si>
  <si>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</si>
  <si>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</si>
  <si>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</si>
  <si>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</si>
  <si>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</si>
  <si>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</si>
  <si>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</si>
  <si>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</si>
  <si>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</si>
  <si>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</si>
  <si>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</si>
  <si>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</si>
  <si>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</si>
  <si>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</si>
  <si>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</si>
  <si>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</si>
  <si>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</si>
  <si>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</si>
  <si>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</si>
  <si>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</si>
  <si>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</si>
  <si>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</si>
  <si>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</si>
  <si>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</si>
  <si>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</si>
  <si>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</si>
  <si>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</si>
  <si>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</si>
  <si>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</si>
  <si>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</si>
  <si>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</si>
  <si>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</si>
  <si>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</si>
  <si>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</si>
  <si>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</si>
  <si>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</si>
  <si>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</si>
  <si>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</si>
  <si>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</si>
  <si>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</si>
  <si>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</si>
  <si>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</si>
  <si>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</si>
  <si>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</si>
  <si>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</si>
  <si>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</si>
  <si>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</si>
  <si>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</si>
  <si>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</si>
  <si>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</si>
  <si>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</si>
  <si>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</si>
  <si>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</si>
  <si>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</si>
  <si>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</si>
  <si>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</si>
  <si>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</si>
  <si>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</si>
  <si>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</si>
  <si>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</si>
  <si>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</si>
  <si>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</si>
  <si>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</si>
  <si>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</si>
  <si>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</si>
  <si>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</si>
  <si>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</si>
  <si>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</si>
  <si>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</si>
  <si>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</si>
  <si>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</si>
  <si>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</si>
  <si>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</si>
  <si>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</si>
  <si>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</si>
  <si>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</si>
  <si>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</si>
  <si>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</si>
  <si>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</si>
  <si>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</si>
  <si>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</si>
  <si>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</si>
  <si>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</si>
  <si>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</si>
  <si>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</si>
  <si>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</si>
  <si>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</si>
  <si>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</si>
  <si>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</si>
  <si>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</si>
  <si>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</si>
  <si>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</si>
  <si>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</si>
  <si>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</si>
  <si>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</si>
  <si>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</si>
  <si>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</si>
  <si>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</si>
  <si>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</si>
  <si>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</si>
  <si>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</si>
  <si>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</si>
  <si>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</si>
  <si>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</si>
  <si>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</si>
  <si>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</si>
  <si>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</si>
  <si>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</si>
  <si>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</si>
  <si>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</si>
  <si>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</si>
  <si>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</si>
  <si>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</si>
  <si>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</si>
  <si>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</si>
  <si>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</si>
  <si>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</si>
  <si>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</si>
  <si>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</si>
  <si>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</si>
  <si>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</si>
  <si>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</si>
  <si>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</si>
  <si>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</si>
  <si>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</si>
  <si>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</si>
  <si>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</si>
  <si>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</si>
  <si>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</si>
  <si>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</si>
  <si>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</si>
  <si>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</si>
  <si>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</si>
  <si>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</si>
  <si>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</si>
  <si>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</si>
  <si>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</si>
  <si>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</si>
  <si>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</si>
  <si>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</si>
  <si>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</si>
  <si>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</si>
  <si>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</si>
  <si>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</si>
  <si>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</si>
  <si>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</si>
  <si>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</si>
  <si>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</si>
  <si>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</si>
  <si>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</si>
  <si>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</si>
  <si>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</si>
  <si>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</si>
  <si>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</si>
  <si>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</si>
  <si>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</si>
  <si>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</si>
  <si>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</si>
  <si>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</si>
  <si>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</si>
  <si>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</si>
  <si>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</si>
  <si>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</si>
  <si>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</si>
  <si>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</si>
  <si>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</si>
  <si>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</si>
  <si>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</si>
  <si>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</si>
  <si>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</si>
  <si>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</si>
  <si>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</si>
  <si>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</si>
  <si>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</si>
  <si>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</si>
  <si>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</si>
  <si>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</si>
  <si>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</si>
  <si>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</si>
  <si>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</si>
  <si>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</si>
  <si>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</si>
  <si>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</si>
  <si>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</si>
  <si>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</si>
  <si>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</si>
  <si>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</si>
  <si>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</si>
  <si>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</si>
  <si>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</si>
  <si>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</si>
  <si>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</si>
  <si>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</si>
  <si>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</si>
  <si>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</si>
  <si>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</si>
  <si>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</si>
  <si>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</si>
  <si>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</si>
  <si>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</si>
  <si>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</si>
  <si>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</si>
  <si>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</si>
  <si>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</si>
  <si>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</si>
  <si>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</si>
  <si>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</si>
  <si>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</si>
  <si>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</si>
  <si>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</si>
  <si>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</si>
  <si>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</si>
  <si>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</si>
  <si>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</si>
  <si>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</si>
  <si>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</si>
  <si>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</si>
  <si>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</si>
  <si>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</si>
  <si>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</si>
  <si>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</si>
  <si>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</si>
  <si>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</si>
  <si>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</si>
  <si>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</si>
  <si>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</si>
  <si>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</si>
  <si>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</si>
  <si>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</si>
  <si>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</si>
  <si>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</si>
  <si>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</si>
  <si>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</si>
  <si>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</si>
  <si>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</si>
  <si>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</si>
  <si>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</si>
  <si>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</si>
  <si>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</si>
  <si>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</si>
  <si>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</si>
  <si>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</si>
  <si>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</si>
  <si>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</si>
  <si>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</si>
  <si>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</si>
  <si>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</si>
  <si>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</si>
  <si>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</si>
  <si>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</si>
  <si>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</si>
  <si>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</si>
  <si>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</si>
  <si>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</si>
  <si>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</si>
  <si>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</si>
  <si>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</si>
  <si>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</si>
  <si>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</si>
  <si>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</si>
  <si>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</si>
  <si>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</si>
  <si>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</si>
  <si>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</si>
  <si>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</si>
  <si>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</si>
  <si>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</si>
  <si>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</si>
  <si>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</si>
  <si>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</si>
  <si>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</si>
  <si>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</si>
  <si>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</si>
  <si>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</si>
  <si>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</si>
  <si>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</si>
  <si>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</si>
  <si>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</si>
  <si>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</si>
  <si>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</si>
  <si>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</si>
  <si>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</si>
  <si>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</si>
  <si>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</si>
  <si>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</si>
  <si>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</si>
  <si>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</si>
  <si>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</si>
  <si>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</si>
  <si>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</si>
  <si>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</si>
  <si>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</si>
  <si>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</si>
  <si>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</si>
  <si>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</si>
  <si>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</si>
  <si>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</si>
  <si>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</si>
  <si>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</si>
  <si>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</si>
  <si>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</si>
  <si>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</si>
  <si>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</si>
  <si>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</si>
  <si>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</si>
  <si>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</si>
  <si>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</si>
  <si>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</si>
  <si>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</si>
  <si>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</si>
  <si>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</si>
  <si>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</si>
  <si>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</si>
  <si>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</si>
  <si>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</si>
  <si>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</si>
  <si>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</si>
  <si>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</si>
  <si>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</si>
  <si>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</si>
  <si>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</si>
  <si>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</si>
  <si>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</si>
  <si>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</si>
  <si>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</si>
  <si>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</si>
  <si>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</si>
  <si>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</si>
  <si>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</si>
  <si>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</si>
  <si>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</si>
  <si>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</si>
  <si>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</si>
  <si>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</si>
  <si>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</si>
  <si>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</si>
  <si>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</si>
  <si>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</si>
  <si>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</si>
  <si>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</si>
  <si>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</si>
  <si>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</si>
  <si>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</si>
  <si>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</si>
  <si>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</si>
  <si>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</si>
  <si>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</si>
  <si>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</si>
  <si>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</si>
  <si>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</si>
  <si>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</si>
  <si>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</si>
  <si>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</si>
  <si>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</si>
  <si>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</si>
  <si>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</si>
  <si>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</si>
  <si>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</si>
  <si>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</si>
  <si>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</si>
  <si>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</si>
  <si>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</si>
  <si>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</si>
  <si>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</si>
  <si>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</si>
  <si>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</si>
  <si>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</si>
  <si>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</si>
  <si>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</si>
  <si>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</si>
  <si>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</si>
  <si>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</si>
  <si>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</si>
  <si>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</si>
  <si>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</si>
  <si>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</si>
  <si>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</si>
  <si>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</si>
  <si>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</si>
  <si>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</si>
  <si>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</si>
  <si>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</si>
  <si>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</si>
  <si>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</si>
  <si>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</si>
  <si>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</si>
  <si>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</si>
  <si>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</si>
  <si>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</si>
  <si>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</si>
  <si>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</si>
  <si>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</si>
  <si>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</si>
  <si>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</si>
  <si>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</si>
  <si>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</si>
  <si>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</si>
  <si>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</si>
  <si>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</si>
  <si>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</si>
  <si>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</si>
  <si>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</si>
  <si>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</si>
  <si>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</si>
  <si>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</si>
  <si>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</si>
  <si>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</si>
  <si>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</si>
  <si>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</si>
  <si>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</si>
  <si>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</si>
  <si>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</si>
  <si>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</si>
  <si>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</si>
  <si>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</si>
  <si>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</si>
  <si>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</si>
  <si>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</si>
  <si>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</si>
  <si>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</si>
  <si>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</si>
  <si>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</si>
  <si>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</si>
  <si>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</si>
  <si>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</si>
  <si>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</si>
  <si>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</si>
  <si>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</si>
  <si>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</si>
  <si>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</si>
  <si>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</si>
  <si>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</si>
  <si>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</si>
  <si>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</si>
  <si>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</si>
  <si>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</si>
  <si>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</si>
  <si>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</si>
  <si>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</si>
  <si>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</si>
  <si>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</si>
  <si>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</si>
  <si>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</si>
  <si>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</si>
  <si>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</si>
  <si>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</si>
  <si>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</si>
  <si>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</si>
  <si>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</si>
  <si>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</si>
  <si>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</si>
  <si>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</si>
  <si>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</si>
  <si>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</si>
  <si>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</si>
  <si>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</si>
  <si>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</si>
  <si>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</si>
  <si>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</si>
  <si>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</si>
  <si>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</si>
  <si>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</si>
  <si>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</si>
  <si>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</si>
  <si>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</si>
  <si>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</si>
  <si>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</si>
  <si>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</si>
  <si>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</si>
  <si>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</si>
  <si>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</si>
  <si>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</si>
  <si>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</si>
  <si>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</si>
  <si>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</si>
  <si>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</si>
  <si>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</si>
  <si>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</si>
  <si>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</si>
  <si>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</si>
  <si>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</si>
  <si>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</si>
  <si>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</si>
  <si>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</si>
  <si>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</si>
  <si>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</si>
  <si>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</si>
  <si>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</si>
  <si>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</si>
  <si>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</si>
  <si>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</si>
  <si>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</si>
  <si>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</si>
  <si>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</si>
  <si>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</si>
  <si>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</si>
  <si>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</si>
  <si>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</si>
  <si>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</si>
  <si>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</si>
  <si>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</si>
  <si>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</si>
  <si>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</si>
  <si>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</si>
  <si>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</si>
  <si>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</si>
  <si>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</si>
  <si>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</si>
  <si>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</si>
  <si>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</si>
  <si>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</si>
  <si>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</si>
  <si>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</si>
  <si>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</si>
  <si>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</si>
  <si>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</si>
  <si>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</si>
  <si>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</si>
  <si>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</si>
  <si>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</si>
  <si>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</si>
  <si>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</si>
  <si>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</si>
  <si>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</si>
  <si>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</si>
  <si>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</si>
  <si>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</si>
  <si>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</si>
  <si>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</si>
  <si>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</si>
  <si>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</si>
  <si>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</si>
  <si>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</si>
  <si>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</si>
  <si>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</si>
  <si>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</si>
  <si>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</si>
  <si>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</si>
  <si>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</si>
  <si>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</si>
  <si>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</si>
  <si>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</si>
  <si>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</si>
  <si>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</si>
  <si>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</si>
  <si>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</si>
  <si>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</si>
  <si>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</si>
  <si>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</si>
  <si>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</si>
  <si>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</si>
  <si>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</si>
  <si>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</si>
  <si>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</si>
  <si>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</si>
  <si>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</si>
  <si>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</si>
  <si>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</si>
  <si>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</si>
  <si>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</si>
  <si>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</si>
  <si>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</si>
  <si>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</si>
  <si>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</si>
  <si>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</si>
  <si>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</si>
  <si>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</si>
  <si>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</si>
  <si>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</si>
  <si>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</si>
  <si>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</si>
  <si>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</si>
  <si>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</si>
  <si>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</si>
  <si>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</si>
  <si>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</si>
  <si>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</si>
  <si>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</si>
  <si>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</si>
  <si>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</si>
  <si>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</si>
  <si>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</si>
  <si>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</si>
  <si>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</si>
  <si>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</si>
  <si>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</si>
  <si>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</si>
  <si>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</si>
  <si>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</si>
  <si>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</si>
  <si>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</si>
  <si>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</si>
  <si>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</si>
  <si>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</si>
  <si>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</si>
  <si>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</si>
  <si>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</si>
  <si>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</si>
  <si>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</si>
  <si>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</si>
  <si>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</si>
  <si>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</si>
  <si>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</si>
  <si>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</si>
  <si>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</si>
  <si>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</si>
  <si>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</si>
  <si>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</si>
  <si>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</si>
  <si>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</si>
  <si>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</si>
  <si>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</si>
  <si>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</si>
  <si>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</si>
  <si>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</si>
  <si>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</si>
  <si>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</si>
  <si>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</si>
  <si>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</si>
  <si>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</si>
  <si>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</si>
  <si>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</si>
  <si>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</si>
  <si>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</si>
  <si>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</si>
  <si>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</si>
  <si>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</si>
  <si>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</si>
  <si>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</si>
  <si>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</si>
  <si>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</si>
  <si>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</si>
  <si>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</si>
  <si>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</si>
  <si>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</si>
  <si>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</si>
  <si>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</si>
  <si>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</si>
  <si>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</si>
  <si>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</si>
  <si>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</si>
  <si>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</si>
  <si>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</si>
  <si>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</si>
  <si>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</si>
  <si>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</si>
  <si>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</si>
  <si>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</si>
  <si>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</si>
  <si>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</si>
  <si>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</si>
  <si>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</si>
  <si>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</si>
  <si>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</si>
  <si>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</si>
  <si>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</si>
  <si>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</si>
  <si>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</si>
  <si>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</si>
  <si>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</si>
  <si>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</si>
  <si>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</si>
  <si>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</si>
  <si>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</si>
  <si>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</si>
  <si>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</si>
  <si>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</si>
  <si>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</si>
  <si>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</si>
  <si>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</si>
  <si>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</si>
  <si>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</si>
  <si>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</si>
  <si>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</si>
  <si>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</si>
  <si>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</si>
  <si>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</si>
  <si>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</si>
  <si>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</si>
  <si>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</si>
  <si>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</si>
  <si>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</si>
  <si>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</si>
  <si>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</si>
  <si>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</si>
  <si>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</si>
  <si>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</si>
  <si>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</si>
  <si>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</si>
  <si>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</si>
  <si>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</si>
  <si>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</si>
  <si>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</si>
  <si>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</si>
  <si>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</si>
  <si>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</si>
  <si>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</si>
  <si>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</si>
  <si>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</si>
  <si>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</si>
  <si>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</si>
  <si>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</si>
  <si>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</si>
  <si>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</si>
  <si>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</si>
  <si>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</si>
  <si>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</si>
  <si>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</si>
  <si>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</si>
  <si>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</si>
  <si>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</si>
  <si>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</si>
  <si>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</si>
  <si>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</si>
  <si>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</si>
  <si>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</si>
  <si>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</si>
  <si>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</si>
  <si>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</si>
  <si>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</si>
  <si>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</si>
  <si>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</si>
  <si>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</si>
  <si>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</si>
  <si>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</si>
  <si>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</si>
  <si>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</si>
  <si>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</si>
  <si>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</si>
  <si>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</si>
  <si>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</si>
  <si>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</si>
  <si>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</si>
  <si>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</si>
  <si>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</si>
  <si>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</si>
  <si>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</si>
  <si>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</si>
  <si>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</si>
  <si>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</si>
  <si>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</si>
  <si>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</si>
  <si>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</si>
  <si>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</si>
  <si>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</si>
  <si>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</si>
  <si>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</si>
  <si>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</si>
  <si>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</si>
  <si>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</si>
  <si>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</si>
  <si>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</si>
  <si>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</si>
  <si>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</si>
  <si>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</si>
  <si>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</si>
  <si>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</si>
  <si>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</si>
  <si>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</si>
  <si>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</si>
  <si>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</si>
  <si>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</si>
  <si>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</si>
  <si>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</si>
  <si>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</si>
  <si>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</si>
  <si>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</si>
  <si>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</si>
  <si>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</si>
  <si>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</si>
  <si>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</si>
  <si>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</si>
  <si>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</si>
  <si>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</si>
  <si>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</si>
  <si>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</si>
  <si>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</si>
  <si>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</si>
  <si>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</si>
  <si>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</si>
  <si>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</si>
  <si>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</si>
  <si>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</si>
  <si>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</si>
  <si>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</si>
  <si>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</si>
  <si>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</si>
  <si>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</si>
  <si>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</si>
  <si>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</si>
  <si>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</si>
  <si>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</si>
  <si>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</si>
  <si>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</si>
  <si>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</si>
  <si>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</si>
  <si>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</si>
  <si>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</si>
  <si>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</si>
  <si>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</si>
  <si>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</si>
  <si>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</si>
  <si>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</si>
  <si>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</si>
  <si>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</si>
  <si>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</si>
  <si>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</si>
  <si>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</si>
  <si>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</si>
  <si>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</si>
  <si>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</si>
  <si>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</si>
  <si>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</si>
  <si>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</si>
  <si>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</si>
  <si>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</si>
  <si>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</si>
  <si>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</si>
  <si>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</si>
  <si>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</si>
  <si>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</si>
  <si>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</si>
  <si>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</si>
  <si>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</si>
  <si>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</si>
  <si>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</si>
  <si>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</si>
  <si>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</si>
  <si>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</si>
  <si>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</si>
  <si>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</si>
  <si>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</si>
  <si>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</si>
  <si>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</si>
  <si>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</si>
  <si>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</si>
  <si>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</si>
  <si>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</si>
  <si>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</si>
  <si>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</si>
  <si>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</si>
  <si>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</si>
  <si>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</si>
  <si>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</si>
  <si>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</si>
  <si>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</si>
  <si>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</si>
  <si>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</si>
  <si>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</si>
  <si>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</si>
  <si>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</si>
  <si>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</si>
  <si>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</si>
  <si>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</si>
  <si>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</si>
  <si>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</si>
  <si>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</si>
  <si>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</si>
  <si>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</si>
  <si>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</si>
  <si>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</si>
  <si>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</si>
  <si>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</si>
  <si>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</si>
  <si>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</si>
  <si>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</si>
  <si>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</si>
  <si>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</si>
  <si>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</si>
  <si>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</si>
  <si>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</si>
  <si>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</si>
  <si>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</si>
  <si>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</si>
  <si>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</si>
  <si>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</si>
  <si>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</si>
  <si>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</si>
  <si>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</si>
  <si>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</si>
  <si>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</si>
  <si>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</si>
  <si>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</si>
  <si>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</si>
  <si>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</si>
  <si>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</si>
  <si>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</si>
  <si>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</si>
  <si>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</si>
  <si>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</si>
  <si>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</si>
  <si>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</si>
  <si>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</si>
  <si>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</si>
  <si>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</si>
  <si>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</si>
  <si>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</si>
  <si>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</si>
  <si>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</si>
  <si>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</si>
  <si>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</si>
  <si>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</si>
  <si>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</si>
  <si>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</si>
  <si>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</si>
  <si>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</si>
  <si>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</si>
  <si>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</si>
  <si>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</si>
  <si>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</si>
  <si>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</si>
  <si>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</si>
  <si>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</si>
  <si>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</si>
  <si>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</si>
  <si>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</si>
  <si>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</si>
  <si>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</si>
  <si>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</si>
  <si>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</si>
  <si>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</si>
  <si>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</si>
  <si>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</si>
  <si>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</si>
  <si>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</si>
  <si>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</si>
  <si>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</si>
  <si>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</si>
  <si>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</si>
  <si>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</si>
  <si>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</si>
  <si>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</si>
  <si>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</si>
  <si>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</si>
  <si>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</si>
  <si>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</si>
  <si>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</si>
  <si>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</si>
  <si>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</si>
  <si>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</si>
  <si>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</si>
  <si>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</si>
  <si>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</si>
  <si>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</si>
  <si>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</si>
  <si>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</si>
  <si>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</si>
  <si>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</si>
  <si>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</si>
  <si>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</si>
  <si>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</si>
  <si>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</si>
  <si>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</si>
  <si>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</si>
  <si>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</si>
  <si>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</si>
  <si>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</si>
  <si>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</si>
  <si>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</si>
  <si>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</si>
  <si>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</si>
  <si>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</si>
  <si>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</si>
  <si>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</si>
  <si>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</si>
  <si>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</si>
  <si>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</si>
  <si>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</si>
  <si>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</si>
  <si>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</si>
  <si>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</si>
  <si>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</si>
  <si>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</si>
  <si>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</si>
  <si>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</si>
  <si>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</si>
  <si>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</si>
  <si>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</si>
  <si>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</si>
  <si>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</si>
  <si>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</si>
  <si>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</si>
  <si>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</si>
  <si>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</si>
  <si>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</si>
  <si>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</si>
  <si>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</si>
  <si>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</si>
  <si>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</si>
  <si>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</si>
  <si>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</si>
  <si>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</si>
  <si>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</si>
  <si>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</si>
  <si>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</si>
  <si>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</si>
  <si>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</si>
  <si>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</si>
  <si>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</si>
  <si>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</si>
  <si>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</si>
  <si>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</si>
  <si>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</si>
  <si>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</si>
  <si>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</si>
  <si>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</si>
  <si>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</si>
  <si>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</si>
  <si>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</si>
  <si>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</si>
  <si>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</si>
  <si>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</si>
  <si>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</si>
  <si>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</si>
  <si>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</si>
  <si>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</si>
  <si>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</si>
  <si>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</si>
  <si>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</si>
  <si>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</si>
  <si>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</si>
  <si>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</si>
  <si>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</si>
  <si>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</si>
  <si>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</si>
  <si>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</si>
  <si>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</si>
  <si>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</si>
  <si>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</si>
  <si>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</si>
  <si>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</si>
  <si>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</si>
  <si>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</si>
  <si>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</si>
  <si>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</si>
  <si>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</si>
  <si>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</si>
  <si>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</si>
  <si>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</si>
  <si>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</si>
  <si>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</si>
  <si>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</si>
  <si>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</si>
  <si>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</si>
  <si>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</si>
  <si>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</si>
  <si>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</si>
  <si>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</si>
  <si>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</si>
  <si>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</si>
  <si>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</si>
  <si>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</si>
  <si>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</si>
  <si>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</si>
  <si>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</si>
  <si>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</si>
  <si>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</si>
  <si>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</si>
  <si>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</si>
  <si>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</si>
  <si>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</si>
  <si>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</si>
  <si>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</si>
  <si>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</si>
  <si>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</si>
  <si>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</si>
  <si>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</si>
  <si>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</si>
  <si>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</si>
  <si>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</si>
  <si>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</si>
  <si>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</si>
  <si>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</si>
  <si>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</si>
  <si>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</si>
  <si>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</si>
  <si>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</si>
  <si>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</si>
  <si>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</si>
  <si>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</si>
  <si>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</si>
  <si>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</si>
  <si>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</si>
  <si>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</si>
  <si>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</si>
  <si>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</si>
  <si>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</si>
  <si>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</si>
  <si>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</si>
  <si>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</si>
  <si>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</si>
  <si>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</si>
  <si>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</si>
  <si>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</si>
  <si>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</si>
  <si>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</si>
  <si>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</si>
  <si>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</si>
  <si>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</si>
  <si>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</si>
  <si>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</si>
  <si>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</si>
  <si>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</si>
  <si>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</si>
  <si>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</si>
  <si>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</si>
  <si>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</si>
  <si>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</si>
  <si>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</si>
  <si>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</si>
  <si>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</si>
  <si>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</si>
  <si>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</si>
  <si>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</si>
  <si>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</si>
  <si>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</si>
  <si>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</si>
  <si>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</si>
  <si>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</si>
  <si>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</si>
  <si>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</si>
  <si>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</si>
  <si>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</si>
  <si>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</si>
  <si>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</si>
  <si>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</si>
  <si>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</si>
  <si>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</si>
  <si>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</si>
  <si>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</si>
  <si>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</si>
  <si>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</si>
  <si>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</si>
  <si>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</si>
  <si>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</si>
  <si>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</si>
  <si>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</si>
  <si>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</si>
  <si>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</si>
  <si>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</si>
  <si>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</si>
  <si>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</si>
  <si>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</si>
  <si>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</si>
  <si>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</si>
  <si>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</si>
  <si>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</si>
  <si>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</si>
  <si>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</si>
  <si>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</si>
  <si>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</si>
  <si>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</si>
  <si>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</si>
  <si>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</si>
  <si>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</si>
  <si>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</si>
  <si>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</si>
  <si>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</si>
  <si>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</si>
  <si>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</si>
  <si>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</si>
  <si>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</si>
  <si>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</si>
  <si>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</si>
  <si>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</si>
  <si>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</si>
  <si>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</si>
  <si>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</si>
  <si>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</si>
  <si>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</si>
  <si>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</si>
  <si>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</si>
  <si>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</si>
  <si>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</si>
  <si>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</si>
  <si>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</si>
  <si>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</si>
  <si>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</si>
  <si>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</si>
  <si>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</si>
  <si>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</si>
  <si>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</si>
  <si>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</si>
  <si>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</si>
  <si>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</si>
  <si>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</si>
  <si>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</si>
  <si>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</si>
  <si>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</si>
  <si>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</si>
  <si>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</si>
  <si>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</si>
  <si>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</si>
  <si>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</si>
  <si>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</si>
  <si>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</si>
  <si>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</si>
  <si>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</si>
  <si>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</si>
  <si>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</si>
  <si>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</si>
  <si>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</si>
  <si>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</si>
  <si>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</si>
  <si>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</si>
  <si>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</si>
  <si>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</si>
  <si>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</si>
  <si>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</si>
  <si>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</si>
  <si>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</si>
  <si>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</si>
  <si>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</si>
  <si>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</si>
  <si>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</si>
  <si>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</si>
  <si>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</si>
  <si>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</si>
  <si>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</si>
  <si>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</si>
  <si>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</si>
  <si>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</si>
  <si>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</si>
  <si>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</si>
  <si>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</si>
  <si>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</si>
  <si>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</si>
  <si>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</si>
  <si>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</si>
  <si>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</si>
  <si>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</si>
  <si>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</si>
  <si>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</si>
  <si>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</si>
  <si>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</si>
  <si>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</si>
  <si>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</si>
  <si>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</si>
  <si>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</si>
  <si>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</si>
  <si>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</si>
  <si>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</si>
  <si>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</si>
  <si>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</si>
  <si>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</si>
  <si>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</si>
  <si>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</si>
  <si>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</si>
  <si>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</si>
  <si>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</si>
  <si>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</si>
  <si>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</si>
  <si>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</si>
  <si>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</si>
  <si>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</si>
  <si>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</si>
  <si>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</si>
  <si>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</si>
  <si>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</si>
  <si>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</si>
  <si>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</si>
  <si>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</si>
  <si>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</si>
  <si>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</si>
  <si>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</si>
  <si>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</si>
  <si>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</si>
  <si>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</si>
  <si>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</si>
  <si>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</si>
  <si>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</si>
  <si>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</si>
  <si>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</si>
  <si>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</si>
  <si>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</si>
  <si>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</si>
  <si>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</si>
  <si>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</si>
  <si>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</si>
  <si>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</si>
  <si>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</si>
  <si>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</si>
  <si>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</si>
  <si>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</si>
  <si>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</si>
  <si>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</si>
  <si>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</si>
  <si>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</si>
  <si>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</si>
  <si>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</si>
  <si>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</si>
  <si>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</si>
  <si>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</si>
  <si>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</si>
  <si>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</si>
  <si>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</si>
  <si>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</si>
  <si>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</si>
  <si>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</si>
  <si>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</si>
  <si>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</si>
  <si>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</si>
  <si>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</si>
  <si>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</si>
  <si>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</si>
  <si>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</si>
  <si>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</si>
  <si>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</si>
  <si>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</si>
  <si>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</si>
  <si>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</si>
  <si>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</si>
  <si>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</si>
  <si>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</si>
  <si>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</si>
  <si>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</si>
  <si>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</si>
  <si>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</si>
  <si>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</si>
  <si>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</si>
  <si>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</si>
  <si>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</si>
  <si>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</si>
  <si>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</si>
  <si>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</si>
  <si>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</si>
  <si>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</si>
  <si>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</si>
  <si>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</si>
  <si>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</si>
  <si>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</si>
  <si>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</si>
  <si>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</si>
  <si>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</si>
  <si>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</si>
  <si>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</si>
  <si>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</si>
  <si>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</si>
  <si>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</si>
  <si>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</si>
  <si>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</si>
  <si>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</si>
  <si>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</si>
  <si>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</si>
  <si>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</si>
  <si>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</si>
  <si>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</si>
  <si>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</si>
  <si>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</si>
  <si>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</si>
  <si>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</si>
  <si>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</si>
  <si>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</si>
  <si>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</si>
  <si>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</si>
  <si>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</si>
  <si>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</si>
  <si>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</si>
  <si>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</si>
  <si>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</si>
  <si>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</si>
  <si>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</si>
  <si>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</si>
  <si>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</si>
  <si>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</si>
  <si>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</si>
  <si>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</si>
  <si>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</si>
  <si>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</si>
  <si>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</si>
  <si>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</si>
  <si>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</si>
  <si>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</si>
  <si>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</si>
  <si>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</si>
  <si>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</si>
  <si>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</si>
  <si>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</si>
  <si>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</si>
  <si>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</si>
  <si>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</si>
  <si>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</si>
  <si>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</si>
  <si>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</si>
  <si>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</si>
  <si>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</si>
  <si>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</si>
  <si>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</si>
  <si>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</si>
  <si>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</si>
  <si>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</si>
  <si>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</si>
  <si>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</si>
  <si>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</si>
  <si>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</si>
  <si>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</si>
  <si>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</si>
  <si>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</si>
  <si>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</si>
  <si>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</si>
  <si>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</si>
  <si>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</si>
  <si>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</si>
  <si>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</si>
  <si>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</si>
  <si>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</si>
  <si>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</si>
  <si>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</si>
  <si>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</si>
  <si>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</si>
  <si>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</si>
  <si>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</si>
  <si>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</si>
  <si>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</si>
  <si>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</si>
  <si>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</si>
  <si>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</si>
  <si>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</si>
  <si>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</si>
  <si>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</si>
  <si>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</si>
  <si>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</si>
  <si>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</si>
  <si>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</si>
  <si>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</si>
  <si>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</si>
  <si>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</si>
  <si>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</si>
  <si>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</si>
  <si>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</si>
  <si>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</si>
  <si>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</si>
  <si>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</si>
  <si>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</si>
  <si>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</si>
  <si>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</si>
  <si>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</si>
  <si>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</si>
  <si>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</si>
  <si>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</si>
  <si>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</si>
  <si>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</si>
  <si>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</si>
  <si>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</si>
  <si>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</si>
  <si>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</si>
  <si>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</si>
  <si>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</si>
  <si>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</si>
  <si>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</si>
  <si>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</si>
  <si>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</si>
  <si>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</si>
  <si>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</si>
  <si>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</si>
  <si>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</si>
  <si>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</si>
  <si>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</si>
  <si>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</si>
  <si>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</si>
  <si>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</si>
  <si>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</si>
  <si>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</si>
  <si>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</si>
  <si>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</si>
  <si>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</si>
  <si>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</si>
  <si>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</si>
  <si>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</si>
  <si>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</si>
  <si>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</si>
  <si>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</si>
  <si>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</si>
  <si>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</si>
  <si>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</si>
  <si>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</si>
  <si>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</si>
  <si>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</si>
  <si>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</si>
  <si>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</si>
  <si>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</si>
  <si>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</si>
  <si>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</si>
  <si>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</si>
  <si>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</si>
  <si>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</si>
  <si>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</si>
  <si>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</si>
  <si>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</si>
  <si>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</si>
  <si>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</si>
  <si>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</si>
  <si>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</si>
  <si>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</si>
  <si>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</si>
  <si>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</si>
  <si>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</si>
  <si>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</si>
  <si>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</si>
  <si>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</si>
  <si>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</si>
  <si>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</si>
  <si>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</si>
  <si>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</si>
  <si>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</si>
  <si>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</si>
  <si>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</si>
  <si>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</si>
  <si>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</si>
  <si>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</si>
  <si>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</si>
  <si>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</si>
  <si>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</si>
  <si>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</si>
  <si>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</si>
  <si>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</si>
  <si>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</si>
  <si>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</si>
  <si>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</si>
  <si>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</si>
  <si>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</si>
  <si>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</si>
  <si>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</si>
  <si>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</si>
  <si>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</si>
  <si>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</si>
  <si>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</si>
  <si>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</si>
  <si>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</si>
  <si>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</si>
  <si>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</si>
  <si>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</si>
  <si>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</si>
  <si>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</si>
  <si>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</si>
  <si>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</si>
  <si>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</si>
  <si>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</si>
  <si>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</si>
  <si>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</si>
  <si>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</si>
  <si>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</si>
  <si>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</si>
  <si>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</si>
  <si>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</si>
  <si>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</si>
  <si>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</si>
  <si>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</si>
  <si>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</si>
  <si>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</si>
  <si>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</si>
  <si>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</si>
  <si>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</si>
  <si>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</si>
  <si>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</si>
  <si>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</si>
  <si>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</si>
  <si>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</si>
  <si>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</si>
  <si>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</si>
  <si>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</si>
  <si>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</si>
  <si>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</si>
  <si>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</si>
  <si>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</si>
  <si>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</si>
  <si>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</si>
  <si>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</si>
  <si>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</si>
  <si>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</si>
  <si>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</si>
  <si>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</si>
  <si>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</si>
  <si>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</si>
  <si>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</si>
  <si>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</si>
  <si>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</si>
  <si>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</si>
  <si>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</si>
  <si>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</si>
  <si>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</si>
  <si>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</si>
  <si>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</si>
  <si>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</si>
  <si>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</si>
  <si>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</si>
  <si>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</si>
  <si>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</si>
  <si>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</si>
  <si>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</si>
  <si>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</si>
  <si>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</si>
  <si>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</si>
  <si>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</si>
  <si>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</si>
  <si>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</si>
  <si>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</si>
  <si>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</si>
  <si>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</si>
  <si>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</si>
  <si>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</si>
  <si>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</si>
  <si>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</si>
  <si>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</si>
  <si>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</si>
  <si>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</si>
  <si>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</si>
  <si>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</si>
  <si>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</si>
  <si>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</si>
  <si>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</si>
  <si>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</si>
  <si>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</si>
  <si>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</si>
  <si>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</si>
  <si>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</si>
  <si>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</si>
  <si>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</si>
  <si>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</si>
  <si>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</si>
  <si>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</si>
  <si>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</si>
  <si>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</si>
  <si>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</si>
  <si>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</si>
  <si>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</si>
  <si>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</si>
  <si>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</si>
  <si>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</si>
  <si>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</si>
  <si>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</si>
  <si>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</si>
  <si>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</si>
  <si>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</si>
  <si>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</si>
  <si>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</si>
  <si>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</si>
  <si>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</si>
  <si>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</si>
  <si>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</si>
  <si>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</si>
  <si>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</si>
  <si>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</si>
  <si>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</si>
  <si>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</si>
  <si>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</si>
  <si>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</si>
  <si>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</si>
  <si>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</si>
  <si>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</si>
  <si>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</si>
  <si>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</si>
  <si>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</si>
  <si>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</si>
  <si>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</si>
  <si>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</si>
  <si>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</si>
  <si>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</si>
  <si>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</si>
  <si>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</si>
  <si>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</si>
  <si>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</si>
  <si>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</si>
  <si>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</si>
  <si>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</si>
  <si>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</si>
  <si>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</si>
  <si>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</si>
  <si>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</si>
  <si>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</si>
  <si>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</si>
  <si>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</si>
  <si>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</si>
  <si>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</si>
  <si>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</si>
  <si>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</si>
  <si>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</si>
  <si>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</si>
  <si>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</si>
  <si>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</si>
  <si>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</si>
  <si>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</si>
  <si>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</si>
  <si>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</si>
  <si>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</si>
  <si>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</si>
  <si>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</si>
  <si>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</si>
  <si>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</si>
  <si>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</si>
  <si>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</si>
  <si>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</si>
  <si>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</si>
  <si>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</si>
  <si>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</si>
  <si>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</si>
  <si>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</si>
  <si>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</si>
  <si>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</si>
  <si>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</si>
  <si>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</si>
  <si>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</si>
  <si>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</si>
  <si>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</si>
  <si>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</si>
  <si>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</si>
  <si>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</si>
  <si>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</si>
  <si>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</si>
  <si>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</si>
  <si>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</si>
  <si>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</si>
  <si>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</si>
  <si>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</si>
  <si>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</si>
  <si>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</si>
  <si>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</si>
  <si>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</si>
  <si>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</si>
  <si>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</si>
  <si>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</si>
  <si>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</si>
  <si>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</si>
  <si>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</si>
  <si>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</si>
  <si>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</si>
  <si>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</si>
  <si>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</si>
  <si>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</si>
  <si>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</si>
  <si>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</si>
  <si>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</si>
  <si>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</si>
  <si>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</si>
  <si>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</si>
  <si>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</si>
  <si>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</si>
  <si>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</si>
  <si>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</si>
  <si>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</si>
  <si>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</si>
  <si>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</si>
  <si>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</si>
  <si>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</si>
  <si>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</si>
  <si>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</si>
  <si>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</si>
  <si>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</si>
  <si>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</si>
  <si>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</si>
  <si>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</si>
  <si>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</si>
  <si>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</si>
  <si>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</si>
  <si>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</si>
  <si>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</si>
  <si>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</si>
  <si>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</si>
  <si>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</si>
  <si>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</si>
  <si>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</si>
  <si>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</si>
  <si>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</si>
  <si>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</si>
  <si>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</si>
  <si>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</si>
  <si>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</si>
  <si>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</si>
  <si>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</si>
  <si>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</si>
  <si>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</si>
  <si>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</si>
  <si>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</si>
  <si>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</si>
  <si>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</si>
  <si>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</si>
  <si>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</si>
  <si>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</si>
  <si>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</si>
  <si>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</si>
  <si>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</si>
  <si>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</si>
  <si>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</si>
  <si>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</si>
  <si>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</si>
  <si>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</si>
  <si>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</si>
  <si>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</si>
  <si>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</si>
  <si>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</si>
  <si>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</si>
  <si>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</si>
  <si>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</si>
  <si>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</si>
  <si>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</si>
  <si>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</si>
  <si>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</si>
  <si>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</si>
  <si>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</si>
  <si>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</si>
  <si>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</si>
  <si>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</si>
  <si>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</si>
  <si>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</si>
  <si>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</si>
  <si>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</si>
  <si>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</si>
  <si>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</si>
  <si>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</si>
  <si>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</si>
  <si>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</si>
  <si>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</si>
  <si>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</si>
  <si>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</si>
  <si>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</si>
  <si>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</si>
  <si>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</si>
  <si>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</si>
  <si>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</si>
  <si>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</si>
  <si>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</si>
  <si>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</si>
  <si>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</si>
  <si>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</si>
  <si>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</si>
  <si>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</si>
  <si>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</si>
  <si>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</si>
  <si>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</si>
  <si>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</si>
  <si>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</si>
  <si>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</si>
  <si>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</si>
  <si>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</si>
  <si>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</si>
  <si>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</si>
  <si>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</si>
  <si>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</si>
  <si>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</si>
  <si>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</si>
  <si>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</si>
  <si>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</si>
  <si>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</si>
  <si>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</si>
  <si>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</si>
  <si>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</si>
  <si>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</si>
  <si>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</si>
  <si>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</si>
  <si>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</si>
  <si>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</si>
  <si>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</si>
  <si>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</si>
  <si>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</si>
  <si>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</si>
  <si>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</si>
  <si>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</si>
  <si>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</si>
  <si>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</si>
  <si>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</si>
  <si>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</si>
  <si>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</si>
  <si>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</si>
  <si>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</si>
  <si>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</si>
  <si>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</si>
  <si>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</si>
  <si>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</si>
  <si>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</si>
  <si>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</si>
  <si>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</si>
  <si>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</si>
  <si>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</si>
  <si>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</si>
  <si>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</si>
  <si>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</si>
  <si>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</si>
  <si>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</si>
  <si>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</si>
  <si>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</si>
  <si>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</si>
  <si>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</si>
  <si>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</si>
  <si>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</si>
  <si>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</si>
  <si>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</si>
  <si>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</si>
  <si>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</si>
  <si>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</si>
  <si>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</si>
  <si>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</si>
  <si>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</si>
  <si>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</si>
  <si>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</si>
  <si>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</si>
  <si>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</si>
  <si>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</si>
  <si>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</si>
  <si>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</si>
  <si>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</si>
  <si>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</si>
  <si>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</si>
  <si>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</si>
  <si>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</si>
  <si>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</si>
  <si>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</si>
  <si>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</si>
  <si>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</si>
  <si>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</si>
  <si>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</si>
  <si>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</si>
  <si>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</si>
  <si>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</si>
  <si>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</si>
  <si>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</si>
  <si>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</si>
  <si>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</si>
  <si>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</si>
  <si>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</si>
  <si>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</si>
  <si>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</si>
  <si>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</si>
  <si>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</si>
  <si>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</si>
  <si>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</si>
  <si>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</si>
  <si>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</si>
  <si>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</si>
  <si>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</si>
  <si>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</si>
  <si>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</si>
  <si>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</si>
  <si>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</si>
  <si>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</si>
  <si>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</si>
  <si>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</si>
  <si>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</si>
  <si>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</si>
  <si>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</si>
  <si>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</si>
  <si>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</si>
  <si>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</si>
  <si>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</si>
  <si>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</si>
  <si>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</si>
  <si>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</si>
  <si>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</si>
  <si>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</si>
  <si>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</si>
  <si>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</si>
  <si>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</si>
  <si>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</si>
  <si>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</si>
  <si>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</si>
  <si>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</si>
  <si>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</si>
  <si>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</si>
  <si>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</si>
  <si>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</si>
  <si>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</si>
  <si>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</si>
  <si>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</si>
  <si>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</si>
  <si>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</si>
  <si>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</si>
  <si>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</si>
  <si>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</si>
  <si>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</si>
  <si>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</si>
  <si>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</si>
  <si>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</si>
  <si>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</si>
  <si>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</si>
  <si>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</si>
  <si>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</si>
  <si>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</si>
  <si>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</si>
  <si>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</si>
  <si>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</si>
  <si>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</si>
  <si>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</si>
  <si>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</si>
  <si>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</si>
  <si>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</si>
  <si>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</si>
  <si>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</si>
  <si>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</si>
  <si>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</si>
  <si>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</si>
  <si>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</si>
  <si>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</si>
  <si>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</si>
  <si>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</si>
  <si>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</si>
  <si>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</si>
  <si>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</si>
  <si>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</si>
  <si>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</si>
  <si>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</si>
  <si>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</si>
  <si>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</si>
  <si>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</si>
  <si>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</si>
  <si>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</si>
  <si>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</si>
  <si>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</si>
  <si>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</si>
  <si>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</si>
  <si>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</si>
  <si>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</si>
  <si>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</si>
  <si>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</si>
  <si>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</si>
  <si>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</si>
  <si>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</si>
  <si>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</si>
  <si>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</si>
  <si>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</si>
  <si>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</si>
  <si>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</si>
  <si>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</si>
  <si>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</si>
  <si>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</si>
  <si>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</si>
  <si>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</si>
  <si>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</si>
  <si>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</si>
  <si>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</si>
  <si>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</si>
  <si>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</si>
  <si>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</si>
  <si>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</si>
  <si>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</si>
  <si>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</si>
  <si>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</si>
  <si>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</si>
  <si>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</si>
  <si>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</si>
  <si>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</si>
  <si>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</si>
  <si>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</si>
  <si>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</si>
  <si>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</si>
  <si>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</si>
  <si>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</si>
  <si>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</si>
  <si>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</si>
  <si>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</si>
  <si>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</si>
  <si>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</si>
  <si>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</si>
  <si>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</si>
  <si>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</si>
  <si>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</si>
  <si>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</si>
  <si>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</si>
  <si>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</si>
  <si>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</si>
  <si>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</si>
  <si>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</si>
  <si>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</si>
  <si>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</si>
  <si>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</si>
  <si>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</si>
  <si>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</si>
  <si>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</si>
  <si>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</si>
  <si>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</si>
  <si>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</si>
  <si>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</si>
  <si>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</si>
  <si>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</si>
  <si>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</si>
  <si>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</si>
  <si>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</si>
  <si>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</si>
  <si>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</si>
  <si>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</si>
  <si>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</si>
  <si>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</si>
  <si>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</si>
  <si>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</si>
  <si>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</si>
  <si>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</si>
  <si>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</si>
  <si>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</si>
  <si>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</si>
  <si>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</si>
  <si>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</si>
  <si>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</si>
  <si>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</si>
  <si>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</si>
  <si>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</si>
  <si>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</si>
  <si>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</si>
  <si>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</si>
  <si>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</si>
  <si>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</si>
  <si>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</si>
  <si>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</si>
  <si>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</si>
  <si>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</si>
  <si>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</si>
  <si>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</si>
  <si>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</si>
  <si>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</si>
  <si>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</si>
  <si>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</si>
  <si>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</si>
  <si>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</si>
  <si>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</si>
  <si>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</si>
  <si>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</si>
  <si>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</si>
  <si>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</si>
  <si>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</si>
  <si>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</si>
  <si>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</si>
  <si>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</si>
  <si>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</si>
  <si>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</si>
  <si>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</si>
  <si>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</si>
  <si>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</si>
  <si>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</si>
  <si>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</si>
  <si>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</si>
  <si>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</si>
  <si>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</si>
  <si>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</si>
  <si>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</si>
  <si>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</si>
  <si>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</si>
  <si>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</si>
  <si>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</si>
  <si>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</si>
  <si>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</si>
  <si>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</si>
  <si>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</si>
  <si>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</si>
  <si>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</si>
  <si>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</si>
  <si>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</si>
  <si>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</si>
  <si>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</si>
  <si>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</si>
  <si>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</si>
  <si>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</si>
  <si>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</si>
  <si>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</si>
  <si>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</si>
  <si>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</si>
  <si>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</si>
  <si>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</si>
  <si>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</si>
  <si>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</si>
  <si>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</si>
  <si>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</si>
  <si>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</si>
  <si>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</si>
  <si>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</si>
  <si>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</si>
  <si>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</si>
  <si>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</si>
  <si>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</si>
  <si>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</si>
  <si>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</si>
  <si>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</si>
  <si>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</si>
  <si>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</si>
  <si>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</si>
  <si>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</si>
  <si>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</si>
  <si>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</si>
  <si>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</si>
  <si>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</si>
  <si>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</si>
  <si>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</si>
  <si>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</si>
  <si>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</si>
  <si>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</si>
  <si>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</si>
  <si>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</si>
  <si>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</si>
  <si>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</si>
  <si>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</si>
  <si>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</si>
  <si>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</si>
  <si>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</si>
  <si>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</si>
  <si>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</si>
  <si>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</si>
  <si>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</si>
  <si>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</si>
  <si>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</si>
  <si>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</si>
  <si>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</si>
  <si>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</si>
  <si>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</si>
  <si>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</si>
  <si>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</si>
  <si>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</si>
  <si>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</si>
  <si>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</si>
  <si>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</si>
  <si>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</si>
  <si>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</si>
  <si>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</si>
  <si>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</si>
  <si>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</si>
  <si>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</si>
  <si>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</si>
  <si>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</si>
  <si>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</si>
  <si>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</si>
  <si>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</si>
  <si>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</si>
  <si>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</si>
  <si>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</si>
  <si>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</si>
  <si>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</si>
  <si>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</si>
  <si>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</si>
  <si>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</si>
  <si>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</si>
  <si>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</si>
  <si>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</si>
  <si>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</si>
  <si>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</si>
  <si>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</si>
  <si>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</si>
  <si>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</si>
  <si>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</si>
  <si>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</si>
  <si>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</si>
  <si>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</si>
  <si>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</si>
  <si>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</si>
  <si>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</si>
  <si>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</si>
  <si>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</si>
  <si>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</si>
  <si>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</si>
  <si>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</si>
  <si>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贵阳恒大未来城拓地新项目070地块设计方案经济技术指标</t>
  </si>
  <si>
    <t>用 地 指 标</t>
  </si>
  <si>
    <t>总用地面积(M2)</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</si>
  <si>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</si>
  <si>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</si>
  <si>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</si>
  <si>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</si>
  <si>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</si>
  <si>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</si>
  <si>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</si>
  <si>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</si>
  <si>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</si>
  <si>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</si>
  <si>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</si>
  <si>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</si>
  <si>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</si>
  <si>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</si>
  <si>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</si>
  <si>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</si>
  <si>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</si>
  <si>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</si>
  <si>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</si>
  <si>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</si>
  <si>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</si>
  <si>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</si>
  <si>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</si>
  <si>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</si>
  <si>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</si>
  <si>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</si>
  <si>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</si>
  <si>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</si>
  <si>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</si>
  <si>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</si>
  <si>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</si>
  <si>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</si>
  <si>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</si>
  <si>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</si>
  <si>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</si>
  <si>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</si>
  <si>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D-1~D-7#楼、地下室</t>
  </si>
  <si>
    <t>计入容积率分项建筑面积(㎡)</t>
  </si>
  <si>
    <t>建筑性质</t>
  </si>
  <si>
    <t>商品住宅</t>
  </si>
  <si>
    <t>商业设施</t>
  </si>
  <si>
    <t>公建配套</t>
  </si>
  <si>
    <t>公租房</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</si>
  <si>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</si>
  <si>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</si>
  <si>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</si>
  <si>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</si>
  <si>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</si>
  <si>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</si>
  <si>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</si>
  <si>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</si>
  <si>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</si>
  <si>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</si>
  <si>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</si>
  <si>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</si>
  <si>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</si>
  <si>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居委会办公服务用房</t>
  </si>
  <si>
    <t>D-2#、3#楼</t>
  </si>
  <si>
    <t>D-5#楼</t>
  </si>
  <si>
    <t>物业服务用房</t>
  </si>
  <si>
    <t>图书室</t>
  </si>
  <si>
    <t>垃圾收集点</t>
  </si>
  <si>
    <t>治安值班室</t>
  </si>
  <si>
    <t>D-3#楼</t>
  </si>
  <si>
    <t>公共电子阅览室</t>
  </si>
  <si>
    <t>D-2#楼</t>
  </si>
  <si>
    <t>多功能室</t>
  </si>
  <si>
    <t>文体活动室</t>
  </si>
  <si>
    <t>社区阅览栏</t>
  </si>
  <si>
    <t>社区文化墙</t>
  </si>
  <si>
    <t>快递综合服务站</t>
  </si>
  <si>
    <t>单栋建筑指标</t>
  </si>
  <si>
    <t>层数</t>
  </si>
  <si>
    <t>建筑高度（M）</t>
  </si>
  <si>
    <t>基底面积(㎡)</t>
  </si>
  <si>
    <t>±0.00标高</t>
  </si>
  <si>
    <t>建筑命名</t>
  </si>
  <si>
    <t>地下</t>
  </si>
  <si>
    <t>总面积(㎡)</t>
  </si>
  <si>
    <t>计容</t>
  </si>
  <si>
    <t>不计容</t>
  </si>
  <si>
    <t>D-1#</t>
  </si>
  <si>
    <t>D-2#</t>
  </si>
  <si>
    <t>D-3#</t>
  </si>
  <si>
    <t>D-4#</t>
  </si>
  <si>
    <t>D-5#</t>
  </si>
  <si>
    <t>D-6#</t>
  </si>
  <si>
    <t>D-7#</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</si>
  <si>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</si>
  <si>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</si>
  <si>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</si>
  <si>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</si>
  <si>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</si>
  <si>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</si>
  <si>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</si>
  <si>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</si>
  <si>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</si>
  <si>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D-5#楼</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</si>
  <si>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</si>
  <si>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</si>
  <si>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</si>
  <si>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r>
      <rPr>
        <sz val="11"/>
        <color theme="1"/>
        <rFont val="宋体"/>
        <family val="3"/>
        <charset val="134"/>
      </rPr>
      <t>不动产收益法</t>
    </r>
    <r>
      <rPr>
        <sz val="11"/>
        <color theme="1"/>
        <rFont val="Arial"/>
        <family val="2"/>
      </rPr>
      <t xml:space="preserve"> (3)</t>
    </r>
    <phoneticPr fontId="14" type="noConversion"/>
  </si>
  <si>
    <t>不动产收益法 (3)</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</si>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</sst>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00B050"/>
        <bgColor indexed="64"/>
      </patternFill>
    </fill>
  </fills>
  <borders count="17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right/>
      <top/>
      <bottom style="thick">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7" xfId="11" applyNumberFormat="1" applyFont="1" applyFill="1" applyBorder="1" applyAlignment="1">
      <alignment horizontal="center" vertical="center" wrapText="1"/>
    </xf>
    <xf numFmtId="194"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181" fontId="252" fillId="15" borderId="158" xfId="11" applyNumberFormat="1" applyFont="1" applyFill="1" applyBorder="1" applyAlignment="1">
      <alignment horizontal="center" vertical="center" wrapText="1"/>
    </xf>
    <xf numFmtId="0" fontId="144" fillId="0" borderId="157" xfId="15" applyFont="1" applyFill="1" applyBorder="1" applyAlignment="1">
      <alignment horizontal="center" vertical="center" wrapText="1"/>
    </xf>
    <xf numFmtId="1" fontId="252" fillId="0" borderId="157" xfId="15" applyNumberFormat="1"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26" fillId="18" borderId="157" xfId="15" applyFont="1" applyFill="1" applyBorder="1" applyAlignment="1">
      <alignment horizontal="center" vertical="center" wrapText="1"/>
    </xf>
    <xf numFmtId="0" fontId="226" fillId="18" borderId="157" xfId="15" quotePrefix="1" applyFont="1" applyFill="1" applyBorder="1" applyAlignment="1">
      <alignment horizontal="center" vertical="center" wrapText="1"/>
    </xf>
    <xf numFmtId="2" fontId="226" fillId="18" borderId="157" xfId="15" applyNumberFormat="1" applyFont="1" applyFill="1" applyBorder="1" applyAlignment="1">
      <alignment horizontal="center" vertical="center" wrapText="1"/>
    </xf>
    <xf numFmtId="0" fontId="226" fillId="18" borderId="157" xfId="2" quotePrefix="1" applyFont="1" applyFill="1" applyBorder="1" applyAlignment="1">
      <alignment horizontal="center" vertical="center" wrapText="1"/>
    </xf>
    <xf numFmtId="0" fontId="226" fillId="18" borderId="158"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0" fontId="252" fillId="0" borderId="157" xfId="15" applyFont="1" applyFill="1" applyBorder="1" applyAlignment="1">
      <alignment vertical="center" wrapText="1"/>
    </xf>
    <xf numFmtId="0" fontId="252" fillId="0" borderId="158" xfId="15" applyFont="1" applyFill="1" applyBorder="1" applyAlignment="1">
      <alignment horizontal="center" vertical="center" wrapText="1"/>
    </xf>
    <xf numFmtId="0" fontId="226" fillId="18" borderId="157" xfId="2" applyFont="1" applyFill="1" applyBorder="1" applyAlignment="1">
      <alignment horizontal="center" vertical="center" wrapText="1"/>
    </xf>
    <xf numFmtId="2" fontId="226" fillId="18" borderId="157" xfId="2" quotePrefix="1"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52" fillId="0" borderId="157" xfId="2" applyFont="1" applyFill="1" applyBorder="1" applyAlignment="1">
      <alignment vertical="center" wrapText="1"/>
    </xf>
    <xf numFmtId="2" fontId="252" fillId="0" borderId="157" xfId="2" applyNumberFormat="1" applyFont="1" applyFill="1" applyBorder="1" applyAlignment="1">
      <alignment horizontal="center" vertical="center" wrapText="1"/>
    </xf>
    <xf numFmtId="0" fontId="252" fillId="0" borderId="157" xfId="2"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81" fillId="0" borderId="157" xfId="15" applyFont="1" applyFill="1" applyBorder="1" applyAlignment="1">
      <alignment horizontal="center" vertical="center" wrapText="1"/>
    </xf>
    <xf numFmtId="2" fontId="81" fillId="0" borderId="157" xfId="15" applyNumberFormat="1" applyFont="1" applyFill="1" applyBorder="1" applyAlignment="1">
      <alignment horizontal="center" vertical="center" wrapText="1"/>
    </xf>
    <xf numFmtId="0" fontId="252" fillId="19" borderId="157" xfId="15" applyFont="1" applyFill="1" applyBorder="1" applyAlignment="1">
      <alignment horizontal="center" vertical="center" wrapText="1"/>
    </xf>
    <xf numFmtId="2" fontId="252" fillId="19" borderId="157" xfId="2" applyNumberFormat="1" applyFont="1" applyFill="1" applyBorder="1" applyAlignment="1">
      <alignment horizontal="center" vertical="center" wrapText="1"/>
    </xf>
    <xf numFmtId="0" fontId="252" fillId="19" borderId="157" xfId="2" applyFont="1" applyFill="1" applyBorder="1" applyAlignment="1">
      <alignment horizontal="center" vertical="center" wrapText="1"/>
    </xf>
    <xf numFmtId="2" fontId="144" fillId="0" borderId="157" xfId="2" applyNumberFormat="1" applyFont="1" applyFill="1" applyBorder="1" applyAlignment="1">
      <alignment horizontal="center" vertical="center" wrapText="1"/>
    </xf>
    <xf numFmtId="0" fontId="144" fillId="0" borderId="157" xfId="2" applyFont="1" applyFill="1" applyBorder="1" applyAlignment="1">
      <alignment horizontal="center" vertical="center" wrapText="1"/>
    </xf>
    <xf numFmtId="2" fontId="252" fillId="15" borderId="157" xfId="15" applyNumberFormat="1" applyFont="1" applyFill="1" applyBorder="1" applyAlignment="1" applyProtection="1">
      <alignment horizontal="center" vertical="center" wrapText="1"/>
      <protection hidden="1"/>
    </xf>
    <xf numFmtId="2" fontId="252" fillId="19" borderId="157"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57"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177" fontId="81" fillId="0" borderId="2" xfId="2" applyNumberFormat="1" applyFont="1" applyFill="1" applyBorder="1" applyAlignment="1" applyProtection="1">
      <alignment vertical="center"/>
      <protection locked="0"/>
    </xf>
    <xf numFmtId="0" fontId="71" fillId="21" borderId="9" xfId="0" applyNumberFormat="1" applyFont="1" applyFill="1" applyBorder="1" applyAlignment="1" applyProtection="1">
      <alignment horizontal="center" vertical="center" wrapText="1"/>
      <protection locked="0"/>
    </xf>
    <xf numFmtId="177" fontId="76" fillId="21" borderId="2" xfId="2" applyNumberFormat="1" applyFont="1" applyFill="1" applyBorder="1" applyAlignment="1" applyProtection="1">
      <alignment horizontal="center" vertical="center"/>
      <protection locked="0"/>
    </xf>
    <xf numFmtId="181" fontId="85" fillId="21" borderId="2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2" fillId="19" borderId="162"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144" fillId="0" borderId="156" xfId="15" applyFont="1" applyFill="1" applyBorder="1" applyAlignment="1">
      <alignment horizontal="center" vertical="center" wrapText="1"/>
    </xf>
    <xf numFmtId="0" fontId="252" fillId="0" borderId="157" xfId="15"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144" fillId="0" borderId="156" xfId="15" applyFont="1" applyFill="1" applyBorder="1" applyAlignment="1">
      <alignment horizontal="center" vertical="center"/>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7"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7"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0" borderId="157" xfId="2" applyFont="1" applyFill="1" applyBorder="1" applyAlignment="1">
      <alignment horizontal="center" vertical="center" wrapText="1"/>
    </xf>
    <xf numFmtId="9" fontId="252" fillId="15" borderId="157" xfId="11"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1" fontId="252" fillId="15" borderId="157" xfId="15" applyNumberFormat="1" applyFont="1" applyFill="1" applyBorder="1" applyAlignment="1">
      <alignment horizontal="center" vertical="center" wrapText="1"/>
    </xf>
    <xf numFmtId="0" fontId="252" fillId="15" borderId="157" xfId="15" applyFont="1" applyFill="1" applyBorder="1" applyAlignment="1">
      <alignment horizontal="center" vertical="center" wrapText="1"/>
    </xf>
    <xf numFmtId="2" fontId="144" fillId="0" borderId="157" xfId="15" applyNumberFormat="1" applyFont="1" applyFill="1" applyBorder="1" applyAlignment="1">
      <alignment horizontal="center" vertical="center" wrapText="1"/>
    </xf>
    <xf numFmtId="1" fontId="145" fillId="15" borderId="157" xfId="2" applyNumberFormat="1" applyFill="1" applyBorder="1" applyAlignment="1">
      <alignment horizontal="center" vertical="center"/>
    </xf>
    <xf numFmtId="0" fontId="252" fillId="8" borderId="157" xfId="15" applyFont="1" applyFill="1" applyBorder="1" applyAlignment="1">
      <alignment horizontal="center" vertical="center" wrapText="1"/>
    </xf>
    <xf numFmtId="0" fontId="277" fillId="0" borderId="156" xfId="15" applyFont="1" applyFill="1" applyBorder="1" applyAlignment="1">
      <alignment horizontal="center" vertical="center" wrapText="1"/>
    </xf>
    <xf numFmtId="179" fontId="252" fillId="0" borderId="157" xfId="15" applyNumberFormat="1" applyFont="1" applyFill="1" applyBorder="1" applyAlignment="1">
      <alignment horizontal="center" vertical="center" wrapText="1"/>
    </xf>
    <xf numFmtId="0" fontId="144" fillId="8" borderId="157" xfId="15" applyFont="1" applyFill="1" applyBorder="1" applyAlignment="1">
      <alignment horizontal="center" vertical="center" wrapText="1"/>
    </xf>
    <xf numFmtId="176" fontId="252" fillId="0" borderId="157" xfId="15" applyNumberFormat="1" applyFont="1" applyFill="1" applyBorder="1" applyAlignment="1">
      <alignment horizontal="center" vertical="center" wrapText="1"/>
    </xf>
    <xf numFmtId="9" fontId="252" fillId="0" borderId="156" xfId="11" applyFont="1" applyFill="1" applyBorder="1" applyAlignment="1">
      <alignment horizontal="center" vertical="center"/>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176" fontId="252" fillId="15" borderId="157" xfId="15" applyNumberFormat="1" applyFont="1" applyFill="1" applyBorder="1" applyAlignment="1">
      <alignment horizontal="center" vertical="center" wrapText="1"/>
    </xf>
    <xf numFmtId="194" fontId="234" fillId="15" borderId="157" xfId="2"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52" fillId="15" borderId="157" xfId="11"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2" fontId="252" fillId="0" borderId="157" xfId="15" applyNumberFormat="1" applyFont="1" applyFill="1" applyBorder="1" applyAlignment="1">
      <alignment horizontal="center" vertical="center" wrapText="1"/>
    </xf>
    <xf numFmtId="10" fontId="252" fillId="15" borderId="157" xfId="11" applyNumberFormat="1"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xf numFmtId="0" fontId="252" fillId="0" borderId="156" xfId="15" applyFont="1" applyFill="1" applyBorder="1" applyAlignment="1">
      <alignment horizontal="center" vertical="center"/>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194" fontId="252" fillId="8" borderId="157" xfId="11" applyNumberFormat="1" applyFont="1" applyFill="1" applyBorder="1" applyAlignment="1">
      <alignment horizontal="center" vertical="center" wrapText="1"/>
    </xf>
    <xf numFmtId="0" fontId="81" fillId="0" borderId="156" xfId="15" applyFont="1" applyFill="1" applyBorder="1" applyAlignment="1">
      <alignment horizontal="center" vertical="center" wrapText="1"/>
    </xf>
    <xf numFmtId="0" fontId="81" fillId="0" borderId="157"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252" fillId="18" borderId="157" xfId="2"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16" fillId="17" borderId="159" xfId="15" applyFont="1" applyFill="1" applyBorder="1" applyAlignment="1">
      <alignment horizontal="center" vertical="center"/>
    </xf>
    <xf numFmtId="0" fontId="252" fillId="0"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18" borderId="157" xfId="15" quotePrefix="1" applyFont="1" applyFill="1" applyBorder="1" applyAlignment="1">
      <alignment horizontal="center" vertical="center" wrapText="1"/>
    </xf>
    <xf numFmtId="0" fontId="252" fillId="18" borderId="157" xfId="15" applyFont="1" applyFill="1" applyBorder="1" applyAlignment="1">
      <alignment horizontal="center" vertical="center" wrapText="1"/>
    </xf>
    <xf numFmtId="181" fontId="252" fillId="15" borderId="157"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7" xfId="15" applyNumberFormat="1" applyFont="1" applyFill="1" applyBorder="1" applyAlignment="1">
      <alignment horizontal="center" vertical="center" wrapText="1"/>
    </xf>
    <xf numFmtId="0" fontId="252" fillId="0" borderId="157"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19604.2平方米。根据《建设工程规划许可证》[]、《出让合同》[]，估价对象规划建筑面积为78499.16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根据《国有土地使用证》[]，估价对象（分摊）出让国有建设用地使用权面积为19604.2平方米。根据《建设工程规划许可证》[]、《出让合同》[]，估价对象规划建筑面积为78499.16平方米。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19604.2</v>
      </c>
    </row>
    <row r="44" spans="1:2">
      <c r="A44" s="2878" t="s">
        <v>2743</v>
      </c>
      <c r="B44" s="2879" t="str">
        <f>'预评函-2'!O3</f>
        <v>规划建筑面积/㎡</v>
      </c>
    </row>
    <row r="45" spans="1:2">
      <c r="A45" s="2878" t="s">
        <v>2725</v>
      </c>
      <c r="B45" s="2879">
        <f>'预评函-2'!O5</f>
        <v>78499.16</v>
      </c>
    </row>
    <row r="46" spans="1:2">
      <c r="A46" s="2878" t="s">
        <v>2726</v>
      </c>
      <c r="B46" s="2879">
        <f ca="1">'预评函-2'!P5</f>
        <v>15832</v>
      </c>
    </row>
    <row r="47" spans="1:2">
      <c r="A47" s="2878" t="s">
        <v>2727</v>
      </c>
      <c r="B47" s="2879">
        <f ca="1">'预评函-2'!Q5</f>
        <v>3954</v>
      </c>
    </row>
    <row r="48" spans="1:2">
      <c r="A48" s="2878" t="s">
        <v>2728</v>
      </c>
      <c r="B48" s="2879">
        <f ca="1">'预评函-2'!R5</f>
        <v>31037</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37" sqref="E37"/>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66" t="str">
        <f>IF(B10="北京市","北京市",C10)&amp;F10&amp;B16&amp;"国有建设用地使用权"&amp;B9&amp;"预评估"</f>
        <v>出让国有建设用地使用权预评估</v>
      </c>
      <c r="C1" s="3267"/>
      <c r="D1" s="3267"/>
      <c r="E1" s="3267"/>
      <c r="F1" s="3267"/>
      <c r="G1" s="3267"/>
      <c r="H1" s="3267"/>
      <c r="I1" s="3268"/>
      <c r="J1" s="1693"/>
      <c r="K1" s="2455" t="str">
        <f>IF(B10="北京市","北京市",C10)&amp;F10&amp;B16&amp;"国有建设用地使用权"&amp;B9</f>
        <v>出让国有建设用地使用权</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43362</v>
      </c>
      <c r="C3" s="1662" t="s">
        <v>1998</v>
      </c>
      <c r="D3" s="1661">
        <f>B3</f>
        <v>43362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c r="C8" s="1670"/>
      <c r="D8" s="3272"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c r="C9" s="1674"/>
      <c r="D9" s="3273"/>
      <c r="E9" s="1673"/>
      <c r="F9" s="1746"/>
      <c r="G9" s="1741"/>
      <c r="H9" s="1741"/>
      <c r="I9" s="1742"/>
      <c r="J9" s="1693"/>
      <c r="K9" s="1773"/>
      <c r="L9" s="1722"/>
      <c r="M9" s="1722"/>
      <c r="N9" s="1693"/>
      <c r="O9" s="1694"/>
      <c r="P9" s="1693"/>
      <c r="Q9" s="1693"/>
      <c r="R9" s="1693"/>
      <c r="S9" s="1693"/>
      <c r="T9" s="1693"/>
      <c r="U9" s="1693"/>
    </row>
    <row r="10" spans="1:21" ht="15" thickTop="1">
      <c r="A10" s="1743" t="s">
        <v>2002</v>
      </c>
      <c r="B10" s="1718"/>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69"/>
      <c r="C12" s="3270"/>
      <c r="D12" s="3271"/>
      <c r="E12" s="1698" t="s">
        <v>2064</v>
      </c>
      <c r="F12" s="3287" t="s">
        <v>2893</v>
      </c>
      <c r="G12" s="3288"/>
      <c r="H12" s="3288"/>
      <c r="I12" s="3289"/>
      <c r="J12" s="1693"/>
      <c r="K12" s="1773"/>
      <c r="L12" s="1722"/>
      <c r="M12" s="1722"/>
      <c r="N12" s="1693"/>
      <c r="O12" s="1694"/>
      <c r="P12" s="1693"/>
      <c r="Q12" s="1693"/>
      <c r="R12" s="1693"/>
      <c r="S12" s="1693"/>
      <c r="T12" s="1693"/>
      <c r="U12" s="1693"/>
    </row>
    <row r="13" spans="1:21">
      <c r="A13" s="1686" t="s">
        <v>2062</v>
      </c>
      <c r="B13" s="3269"/>
      <c r="C13" s="3270"/>
      <c r="D13" s="3271"/>
      <c r="E13" s="1698" t="s">
        <v>2064</v>
      </c>
      <c r="F13" s="3287" t="s">
        <v>2894</v>
      </c>
      <c r="G13" s="3288"/>
      <c r="H13" s="3288"/>
      <c r="I13" s="3289"/>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2989</v>
      </c>
      <c r="C16" s="1698" t="s">
        <v>1951</v>
      </c>
      <c r="D16" s="2646" t="s">
        <v>1952</v>
      </c>
      <c r="E16" s="1721" t="s">
        <v>2990</v>
      </c>
      <c r="F16" s="1721"/>
      <c r="G16" s="1721" t="s">
        <v>35</v>
      </c>
      <c r="H16" s="1721"/>
      <c r="I16" s="1685" t="s">
        <v>1957</v>
      </c>
      <c r="J16" s="1693"/>
      <c r="K16" s="2456" t="str">
        <f>IF(D17="","",D16&amp;TEXT(D17,"yyyy年m月d日;;"))</f>
        <v>住宅2087年12月25日</v>
      </c>
      <c r="L16" s="1698" t="str">
        <f>IF(OR(K16="",M16=""),"","、")</f>
        <v>、</v>
      </c>
      <c r="M16" s="2456" t="str">
        <f>IF(E17="","",E16&amp;TEXT(E17,"yyyy年m月d日;;"))</f>
        <v>商业2057年12月25日</v>
      </c>
      <c r="N16" s="1698" t="str">
        <f>IF(OR(M16="",O16=""),"","、")</f>
        <v/>
      </c>
      <c r="O16" s="2456" t="str">
        <f>IF(F17="","",F16&amp;TEXT(F17,"yyyy年m月d日;;"))</f>
        <v/>
      </c>
      <c r="P16" s="1698" t="str">
        <f>IF(OR(O16="",Q16=""),"","、")</f>
        <v/>
      </c>
      <c r="Q16" s="2456" t="str">
        <f>IF(G17="","",G16&amp;TEXT(G17,"yyyy年m月d日;;"))</f>
        <v>地下车库2067年12月25日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68661</v>
      </c>
      <c r="E17" s="1699">
        <v>57704</v>
      </c>
      <c r="F17" s="1699"/>
      <c r="G17" s="1699">
        <v>61356</v>
      </c>
      <c r="H17" s="1699"/>
      <c r="I17" s="1699"/>
      <c r="J17" s="1693"/>
      <c r="K17" s="2455" t="str">
        <f>CONCATENATE(K16,L16,M16,N16,O16,P16,Q16,R16,S16,T16,,U16)</f>
        <v>住宅2087年12月25日、商业2057年12月25日地下车库2067年12月25日</v>
      </c>
      <c r="L17" s="1722"/>
      <c r="M17" s="1722"/>
      <c r="N17" s="1693"/>
      <c r="O17" s="1694"/>
      <c r="P17" s="1693"/>
      <c r="Q17" s="1693"/>
      <c r="R17" s="1693"/>
      <c r="S17" s="1693"/>
      <c r="T17" s="1693"/>
      <c r="U17" s="1693"/>
    </row>
    <row r="18" spans="1:21">
      <c r="A18" s="1762"/>
      <c r="B18" s="1681"/>
      <c r="C18" s="1682" t="s">
        <v>1959</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69.31</v>
      </c>
      <c r="E19" s="1684">
        <f>IF(B16="出让",IF(E17="","",ROUNDDOWN(MIN((E17-$D$3)/365,E18),2)),E18)</f>
        <v>39.29</v>
      </c>
      <c r="F19" s="1684" t="str">
        <f>IF(B16="出让",IF(F17="","",ROUNDDOWN(MIN((F17-$D$3)/365,F18),2)),F18)</f>
        <v/>
      </c>
      <c r="G19" s="1684">
        <f>IF(B16="出让",IF(G17="","",ROUNDDOWN(MIN((G17-$D$3)/365,G18),2)),G18)</f>
        <v>49.29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84"/>
      <c r="E20" s="3285"/>
      <c r="F20" s="3285"/>
      <c r="G20" s="3285"/>
      <c r="H20" s="3285"/>
      <c r="I20" s="3286"/>
      <c r="J20" s="1693"/>
      <c r="K20" s="1773"/>
      <c r="L20" s="1722"/>
      <c r="M20" s="1722"/>
      <c r="N20" s="1693"/>
      <c r="O20" s="1694"/>
      <c r="P20" s="1693"/>
      <c r="Q20" s="1693"/>
      <c r="R20" s="1693"/>
      <c r="S20" s="1693"/>
      <c r="T20" s="1693"/>
      <c r="U20" s="1693"/>
    </row>
    <row r="21" spans="1:21">
      <c r="A21" s="1762" t="s">
        <v>1961</v>
      </c>
      <c r="B21" s="1763" t="s">
        <v>1962</v>
      </c>
      <c r="C21" s="1758">
        <f>'数据-汇总表'!E3</f>
        <v>78499.16</v>
      </c>
      <c r="D21" s="1759" t="s">
        <v>1963</v>
      </c>
      <c r="E21" s="3274" t="s">
        <v>2001</v>
      </c>
      <c r="F21" s="3275"/>
      <c r="G21" s="3275"/>
      <c r="H21" s="3275"/>
      <c r="I21" s="3276"/>
      <c r="J21" s="1693"/>
      <c r="K21" s="1773"/>
      <c r="L21" s="1722"/>
      <c r="M21" s="1722"/>
      <c r="N21" s="1693"/>
      <c r="O21" s="1694"/>
      <c r="P21" s="1693"/>
      <c r="Q21" s="1693"/>
      <c r="R21" s="1693"/>
      <c r="S21" s="1693"/>
      <c r="T21" s="1693"/>
      <c r="U21" s="1693"/>
    </row>
    <row r="22" spans="1:21">
      <c r="A22" s="3149" t="s">
        <v>952</v>
      </c>
      <c r="B22" s="1660" t="s">
        <v>1964</v>
      </c>
      <c r="C22" s="1685">
        <f>'数据-汇总表'!D3</f>
        <v>19604.2</v>
      </c>
      <c r="D22" s="1686" t="s">
        <v>1963</v>
      </c>
      <c r="E22" s="3274" t="s">
        <v>2895</v>
      </c>
      <c r="F22" s="3275"/>
      <c r="G22" s="3275"/>
      <c r="H22" s="3275"/>
      <c r="I22" s="3276"/>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77" t="s">
        <v>1969</v>
      </c>
      <c r="C24" s="3278"/>
      <c r="D24" s="3279" t="s">
        <v>1970</v>
      </c>
      <c r="E24" s="3280"/>
      <c r="F24" s="1707" t="s">
        <v>1971</v>
      </c>
      <c r="G24" s="1693"/>
      <c r="H24" s="1693"/>
      <c r="I24" s="1706"/>
      <c r="J24" s="1693"/>
      <c r="K24" s="3265"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65"/>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65"/>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92" t="s">
        <v>2004</v>
      </c>
      <c r="B31" s="1763" t="s">
        <v>2005</v>
      </c>
      <c r="C31" s="3290"/>
      <c r="D31" s="3291"/>
      <c r="E31" s="1693"/>
      <c r="F31" s="1693"/>
      <c r="G31" s="1693"/>
      <c r="H31" s="1693"/>
      <c r="I31" s="1706"/>
      <c r="J31" s="1693"/>
      <c r="K31" s="2458"/>
      <c r="L31" s="1693"/>
      <c r="M31" s="1693"/>
      <c r="N31" s="1693"/>
      <c r="O31" s="1693"/>
      <c r="P31" s="1693"/>
      <c r="Q31" s="1693"/>
      <c r="R31" s="1693"/>
      <c r="S31" s="1693"/>
      <c r="T31" s="1693"/>
      <c r="U31" s="1693"/>
    </row>
    <row r="32" spans="1:21">
      <c r="A32" s="3292"/>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92"/>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93"/>
      <c r="B34" s="1660" t="s">
        <v>2008</v>
      </c>
      <c r="C34" s="3294"/>
      <c r="D34" s="3295"/>
      <c r="E34" s="1693"/>
      <c r="F34" s="1693"/>
      <c r="G34" s="1693"/>
      <c r="H34" s="1693"/>
      <c r="I34" s="1706"/>
      <c r="J34" s="1693"/>
      <c r="K34" s="2458"/>
      <c r="L34" s="1693"/>
      <c r="M34" s="1693"/>
      <c r="N34" s="1693"/>
      <c r="O34" s="1693"/>
      <c r="P34" s="1693"/>
      <c r="Q34" s="1693"/>
      <c r="R34" s="1693"/>
      <c r="S34" s="1693"/>
      <c r="T34" s="1693"/>
      <c r="U34" s="1693"/>
    </row>
    <row r="35" spans="1:21">
      <c r="A35" s="3296" t="s">
        <v>847</v>
      </c>
      <c r="B35" s="1721"/>
      <c r="C35" s="1775" t="str">
        <f>IF(B35="场地平整","——","具体情况：")</f>
        <v>具体情况：</v>
      </c>
      <c r="D35" s="3298"/>
      <c r="E35" s="3299"/>
      <c r="F35" s="3299"/>
      <c r="G35" s="3299"/>
      <c r="H35" s="3299"/>
      <c r="I35" s="3300"/>
      <c r="J35" s="1693"/>
      <c r="K35" s="1774"/>
      <c r="L35" s="1722"/>
      <c r="M35" s="1722"/>
      <c r="N35" s="1693"/>
      <c r="O35" s="1694"/>
      <c r="P35" s="1693"/>
      <c r="Q35" s="1693"/>
      <c r="R35" s="1693"/>
      <c r="S35" s="1693"/>
      <c r="T35" s="1693"/>
      <c r="U35" s="1693"/>
    </row>
    <row r="36" spans="1:21">
      <c r="A36" s="3292"/>
      <c r="B36" s="3301" t="s">
        <v>2057</v>
      </c>
      <c r="C36" s="3302"/>
      <c r="D36" s="1791"/>
      <c r="E36" s="3303"/>
      <c r="F36" s="3303"/>
      <c r="G36" s="1686" t="str">
        <f>IF(B35="场地未平整","估价结果处理","")</f>
        <v/>
      </c>
      <c r="H36" s="3304"/>
      <c r="I36" s="3304"/>
      <c r="J36" s="1693"/>
      <c r="K36" s="1774"/>
      <c r="L36" s="1722"/>
      <c r="M36" s="1722"/>
      <c r="N36" s="1693"/>
      <c r="O36" s="1694"/>
      <c r="P36" s="1693"/>
      <c r="Q36" s="1693"/>
      <c r="R36" s="1693"/>
      <c r="S36" s="1693"/>
      <c r="T36" s="1693"/>
      <c r="U36" s="1693"/>
    </row>
    <row r="37" spans="1:21" ht="28.5">
      <c r="A37" s="3292"/>
      <c r="B37" s="328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92"/>
      <c r="B38" s="3282"/>
      <c r="C38" s="1668" t="s">
        <v>850</v>
      </c>
      <c r="D38" s="1790">
        <f>ROUNDDOWN(MIN(('数据-取费表'!$B$2-D37)/365,D34),1)</f>
        <v>118.8</v>
      </c>
      <c r="E38" s="1726" t="s">
        <v>851</v>
      </c>
      <c r="F38" s="1693"/>
      <c r="G38" s="1693"/>
      <c r="H38" s="1693"/>
      <c r="I38" s="1706"/>
      <c r="J38" s="1693"/>
      <c r="K38" s="1774"/>
      <c r="L38" s="1693"/>
      <c r="M38" s="1693"/>
      <c r="N38" s="1693"/>
      <c r="O38" s="1693"/>
      <c r="P38" s="1693"/>
      <c r="Q38" s="1693"/>
      <c r="R38" s="1693"/>
      <c r="S38" s="1693"/>
      <c r="T38" s="1693"/>
      <c r="U38" s="1693"/>
    </row>
    <row r="39" spans="1:21">
      <c r="A39" s="3293"/>
      <c r="B39" s="328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64" t="s">
        <v>1988</v>
      </c>
      <c r="T40" s="1730" t="str">
        <f>NUMBERSTRING(7-K40,1)&amp;"通"</f>
        <v>七通</v>
      </c>
      <c r="U40" s="1693"/>
    </row>
    <row r="41" spans="1:21">
      <c r="A41" s="1662"/>
      <c r="B41" s="3297" t="s">
        <v>1722</v>
      </c>
      <c r="C41" s="3297"/>
      <c r="D41" s="3297"/>
      <c r="E41" s="3297"/>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6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17" sqref="B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19604.2</v>
      </c>
      <c r="B3" s="22">
        <f>IF(C3="否",G5-AT5,G5)</f>
        <v>78499.16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78499.16</v>
      </c>
      <c r="H5" s="27">
        <f t="shared" ref="H5:AT5" si="0">SUM(H13:H641)</f>
        <v>69329.16</v>
      </c>
      <c r="I5" s="27">
        <f t="shared" si="0"/>
        <v>2437.37</v>
      </c>
      <c r="J5" s="27">
        <f t="shared" si="0"/>
        <v>0</v>
      </c>
      <c r="K5" s="27">
        <f t="shared" si="0"/>
        <v>47516.1</v>
      </c>
      <c r="L5" s="27">
        <f t="shared" si="0"/>
        <v>0</v>
      </c>
      <c r="M5" s="27">
        <f t="shared" si="0"/>
        <v>0</v>
      </c>
      <c r="N5" s="27">
        <f t="shared" si="0"/>
        <v>0</v>
      </c>
      <c r="O5" s="27">
        <f t="shared" si="0"/>
        <v>19375.689999999999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9170.0000000000018</v>
      </c>
      <c r="AD5" s="27">
        <f t="shared" si="0"/>
        <v>8859.130000000001</v>
      </c>
      <c r="AE5" s="27">
        <f t="shared" si="0"/>
        <v>0</v>
      </c>
      <c r="AF5" s="27">
        <f t="shared" si="0"/>
        <v>0</v>
      </c>
      <c r="AG5" s="27">
        <f t="shared" si="0"/>
        <v>0</v>
      </c>
      <c r="AH5" s="27">
        <f t="shared" si="0"/>
        <v>0</v>
      </c>
      <c r="AI5" s="27">
        <f t="shared" si="0"/>
        <v>0</v>
      </c>
      <c r="AJ5" s="27">
        <f t="shared" si="0"/>
        <v>0</v>
      </c>
      <c r="AK5" s="27">
        <f t="shared" si="0"/>
        <v>0</v>
      </c>
      <c r="AL5" s="27">
        <f t="shared" si="0"/>
        <v>310.87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78499.16</v>
      </c>
      <c r="BA5" s="29">
        <f t="shared" si="1"/>
        <v>69329.16</v>
      </c>
      <c r="BB5" s="29">
        <f t="shared" si="1"/>
        <v>2437.37</v>
      </c>
      <c r="BC5" s="29">
        <f t="shared" si="1"/>
        <v>47516.1</v>
      </c>
      <c r="BD5" s="29">
        <f t="shared" si="1"/>
        <v>0</v>
      </c>
      <c r="BE5" s="29">
        <f t="shared" si="1"/>
        <v>19375.689999999999</v>
      </c>
      <c r="BF5" s="29">
        <f t="shared" si="1"/>
        <v>0</v>
      </c>
      <c r="BG5" s="29">
        <f t="shared" si="1"/>
        <v>0</v>
      </c>
      <c r="BH5" s="29">
        <f t="shared" si="1"/>
        <v>0</v>
      </c>
      <c r="BI5" s="29">
        <f t="shared" si="1"/>
        <v>0</v>
      </c>
      <c r="BJ5" s="29">
        <f t="shared" si="1"/>
        <v>0</v>
      </c>
      <c r="BK5" s="29">
        <f t="shared" si="1"/>
        <v>0</v>
      </c>
      <c r="BL5" s="29">
        <f t="shared" si="1"/>
        <v>9170.0000000000018</v>
      </c>
      <c r="BM5" s="29">
        <f t="shared" si="1"/>
        <v>8859.130000000001</v>
      </c>
      <c r="BN5" s="29">
        <f t="shared" si="1"/>
        <v>0</v>
      </c>
      <c r="BO5" s="29">
        <f t="shared" si="1"/>
        <v>0</v>
      </c>
      <c r="BP5" s="29">
        <f t="shared" si="1"/>
        <v>0</v>
      </c>
      <c r="BQ5" s="29">
        <f t="shared" si="1"/>
        <v>310.87</v>
      </c>
      <c r="BR5" s="29">
        <f t="shared" si="1"/>
        <v>0</v>
      </c>
      <c r="BS5" s="29">
        <f t="shared" si="1"/>
        <v>0</v>
      </c>
      <c r="BT5" s="30">
        <f t="shared" si="1"/>
        <v>0</v>
      </c>
    </row>
    <row r="6" spans="1:72" s="37" customFormat="1" ht="12.75">
      <c r="A6" s="26" t="s">
        <v>169</v>
      </c>
      <c r="B6" s="31"/>
      <c r="C6" s="31"/>
      <c r="D6" s="32"/>
      <c r="E6" s="27">
        <f>H6+AC6+AT6</f>
        <v>19604.199999999997</v>
      </c>
      <c r="F6" s="27" t="s">
        <v>1</v>
      </c>
      <c r="G6" s="27" t="s">
        <v>2</v>
      </c>
      <c r="H6" s="33">
        <f>SUMIF(I$12:AB$12,"总值",I6:AB6)</f>
        <v>17314.099999999999</v>
      </c>
      <c r="I6" s="27">
        <f t="shared" ref="I6:AB6" si="2">ROUND($A$3*I5/$B$3,2)</f>
        <v>608.70000000000005</v>
      </c>
      <c r="J6" s="27">
        <f t="shared" si="2"/>
        <v>0</v>
      </c>
      <c r="K6" s="27">
        <f t="shared" si="2"/>
        <v>11866.56</v>
      </c>
      <c r="L6" s="27">
        <f t="shared" si="2"/>
        <v>0</v>
      </c>
      <c r="M6" s="27">
        <f t="shared" si="2"/>
        <v>0</v>
      </c>
      <c r="N6" s="27">
        <f t="shared" si="2"/>
        <v>0</v>
      </c>
      <c r="O6" s="27">
        <f t="shared" si="2"/>
        <v>4838.84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2290.1</v>
      </c>
      <c r="AD6" s="27">
        <f t="shared" ref="AD6:AS6" si="3">ROUND($A$3*AD5/$B$3,2)</f>
        <v>2212.46</v>
      </c>
      <c r="AE6" s="27">
        <f t="shared" si="3"/>
        <v>0</v>
      </c>
      <c r="AF6" s="27">
        <f t="shared" si="3"/>
        <v>0</v>
      </c>
      <c r="AG6" s="27">
        <f t="shared" si="3"/>
        <v>0</v>
      </c>
      <c r="AH6" s="27">
        <f t="shared" si="3"/>
        <v>0</v>
      </c>
      <c r="AI6" s="27">
        <f t="shared" si="3"/>
        <v>0</v>
      </c>
      <c r="AJ6" s="27">
        <f t="shared" si="3"/>
        <v>0</v>
      </c>
      <c r="AK6" s="27">
        <f t="shared" si="3"/>
        <v>0</v>
      </c>
      <c r="AL6" s="27">
        <f t="shared" si="3"/>
        <v>77.64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19604.2</v>
      </c>
      <c r="AZ6" s="27" t="s">
        <v>3</v>
      </c>
      <c r="BA6" s="27">
        <f>ROUND($AY$6*BA5/$AZ$5,2)</f>
        <v>17314.11</v>
      </c>
      <c r="BB6" s="27">
        <f>ROUND($AY$6*BB5/$AZ$5,2)</f>
        <v>608.70000000000005</v>
      </c>
      <c r="BC6" s="27">
        <f t="shared" ref="BC6:BH6" si="4">ROUND($AY$6*BC5/$AZ$5,2)</f>
        <v>11866.56</v>
      </c>
      <c r="BD6" s="27">
        <f t="shared" si="4"/>
        <v>0</v>
      </c>
      <c r="BE6" s="27">
        <f t="shared" si="4"/>
        <v>4838.84</v>
      </c>
      <c r="BF6" s="27">
        <f t="shared" si="4"/>
        <v>0</v>
      </c>
      <c r="BG6" s="27">
        <f t="shared" si="4"/>
        <v>0</v>
      </c>
      <c r="BH6" s="27">
        <f t="shared" si="4"/>
        <v>0</v>
      </c>
      <c r="BI6" s="27">
        <f t="shared" ref="BI6:BT6" si="5">ROUND($AY$6*BI5/$AZ$5,2)</f>
        <v>0</v>
      </c>
      <c r="BJ6" s="27">
        <f t="shared" si="5"/>
        <v>0</v>
      </c>
      <c r="BK6" s="27">
        <f t="shared" si="5"/>
        <v>0</v>
      </c>
      <c r="BL6" s="27">
        <f t="shared" si="5"/>
        <v>2290.09</v>
      </c>
      <c r="BM6" s="27">
        <f t="shared" si="5"/>
        <v>2212.46</v>
      </c>
      <c r="BN6" s="27">
        <f t="shared" si="5"/>
        <v>0</v>
      </c>
      <c r="BO6" s="27">
        <f t="shared" si="5"/>
        <v>0</v>
      </c>
      <c r="BP6" s="27">
        <f t="shared" si="5"/>
        <v>0</v>
      </c>
      <c r="BQ6" s="27">
        <f t="shared" si="5"/>
        <v>77.64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c r="N9" s="51"/>
      <c r="O9" s="59" t="s">
        <v>3239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c r="N10" s="51"/>
      <c r="O10" s="66" t="s">
        <v>3260</v>
      </c>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f>M10</f>
        <v>0</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19604.2</v>
      </c>
      <c r="F16" s="81"/>
      <c r="G16" s="82">
        <f t="shared" si="7"/>
        <v>78499.16</v>
      </c>
      <c r="H16" s="33">
        <f t="shared" si="8"/>
        <v>69329.16</v>
      </c>
      <c r="I16" s="3018">
        <f>Sheet2!D25</f>
        <v>2437.37</v>
      </c>
      <c r="J16" s="3018"/>
      <c r="K16" s="3018">
        <f>Sheet2!C25</f>
        <v>47516.1</v>
      </c>
      <c r="L16" s="3018"/>
      <c r="M16" s="3018"/>
      <c r="N16" s="83"/>
      <c r="O16" s="83">
        <f>Sheet2!D28</f>
        <v>19375.689999999999</v>
      </c>
      <c r="P16" s="83"/>
      <c r="Q16" s="83"/>
      <c r="R16" s="83"/>
      <c r="S16" s="83"/>
      <c r="T16" s="83"/>
      <c r="U16" s="83"/>
      <c r="V16" s="83"/>
      <c r="W16" s="83"/>
      <c r="X16" s="83"/>
      <c r="Y16" s="83"/>
      <c r="Z16" s="83"/>
      <c r="AA16" s="83"/>
      <c r="AB16" s="83"/>
      <c r="AC16" s="27">
        <f t="shared" si="9"/>
        <v>9170.0000000000018</v>
      </c>
      <c r="AD16" s="3022">
        <f>Sheet2!E25+Sheet2!F25</f>
        <v>8859.130000000001</v>
      </c>
      <c r="AE16" s="3022"/>
      <c r="AF16" s="3022"/>
      <c r="AG16" s="3022"/>
      <c r="AH16" s="3022"/>
      <c r="AI16" s="3022"/>
      <c r="AJ16" s="3022"/>
      <c r="AK16" s="3022"/>
      <c r="AL16" s="3022">
        <f>Sheet2!C28</f>
        <v>310.87</v>
      </c>
      <c r="AM16" s="3022"/>
      <c r="AN16" s="3022"/>
      <c r="AO16" s="3022"/>
      <c r="AP16" s="3022"/>
      <c r="AQ16" s="3022"/>
      <c r="AR16" s="3022"/>
      <c r="AS16" s="3022"/>
      <c r="AT16" s="3023"/>
      <c r="AU16" s="3024"/>
      <c r="AV16" s="17">
        <f t="shared" si="10"/>
        <v>0</v>
      </c>
      <c r="AW16" s="17">
        <f t="shared" si="10"/>
        <v>0</v>
      </c>
      <c r="AX16" s="17">
        <f t="shared" si="10"/>
        <v>0</v>
      </c>
      <c r="AY16" s="996">
        <f t="shared" si="11"/>
        <v>19604.2</v>
      </c>
      <c r="AZ16" s="27">
        <f t="shared" si="12"/>
        <v>78499.16</v>
      </c>
      <c r="BA16" s="27">
        <f t="shared" si="13"/>
        <v>69329.16</v>
      </c>
      <c r="BB16" s="27">
        <f t="shared" si="14"/>
        <v>2437.37</v>
      </c>
      <c r="BC16" s="27">
        <f t="shared" si="15"/>
        <v>47516.1</v>
      </c>
      <c r="BD16" s="27">
        <f t="shared" si="16"/>
        <v>0</v>
      </c>
      <c r="BE16" s="27">
        <f t="shared" si="17"/>
        <v>19375.689999999999</v>
      </c>
      <c r="BF16" s="27">
        <f t="shared" si="18"/>
        <v>0</v>
      </c>
      <c r="BG16" s="27">
        <f t="shared" si="19"/>
        <v>0</v>
      </c>
      <c r="BH16" s="27">
        <f t="shared" si="20"/>
        <v>0</v>
      </c>
      <c r="BI16" s="27">
        <f t="shared" si="21"/>
        <v>0</v>
      </c>
      <c r="BJ16" s="27">
        <f t="shared" si="22"/>
        <v>0</v>
      </c>
      <c r="BK16" s="27">
        <f t="shared" si="23"/>
        <v>0</v>
      </c>
      <c r="BL16" s="27">
        <f t="shared" si="24"/>
        <v>9170.0000000000018</v>
      </c>
      <c r="BM16" s="27">
        <f t="shared" si="25"/>
        <v>8859.130000000001</v>
      </c>
      <c r="BN16" s="27">
        <f t="shared" si="26"/>
        <v>0</v>
      </c>
      <c r="BO16" s="27">
        <f t="shared" si="27"/>
        <v>0</v>
      </c>
      <c r="BP16" s="27">
        <f t="shared" si="28"/>
        <v>0</v>
      </c>
      <c r="BQ16" s="27">
        <f t="shared" si="29"/>
        <v>310.87</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5" t="s">
        <v>0</v>
      </c>
      <c r="B1" s="3305" t="s">
        <v>4</v>
      </c>
      <c r="C1" s="3305" t="s">
        <v>5</v>
      </c>
      <c r="D1" s="3306" t="s">
        <v>40</v>
      </c>
      <c r="E1" s="3306" t="s">
        <v>41</v>
      </c>
      <c r="F1" s="3306"/>
      <c r="G1" s="3306"/>
      <c r="H1" s="3306"/>
      <c r="I1" s="3306"/>
      <c r="J1" s="3306"/>
      <c r="K1" s="3306"/>
      <c r="L1" s="3306"/>
      <c r="M1" s="3306"/>
    </row>
    <row r="2" spans="1:13" ht="27" customHeight="1">
      <c r="A2" s="3305"/>
      <c r="B2" s="3305"/>
      <c r="C2" s="3305"/>
      <c r="D2" s="3306"/>
      <c r="E2" s="3306" t="s">
        <v>24</v>
      </c>
      <c r="F2" s="3306" t="s">
        <v>25</v>
      </c>
      <c r="G2" s="3306"/>
      <c r="H2" s="3306"/>
      <c r="I2" s="3306"/>
      <c r="J2" s="3306" t="s">
        <v>26</v>
      </c>
      <c r="K2" s="3306"/>
      <c r="L2" s="3306"/>
      <c r="M2" s="3306"/>
    </row>
    <row r="3" spans="1:13" ht="28.5">
      <c r="A3" s="3305"/>
      <c r="B3" s="3305"/>
      <c r="C3" s="3305"/>
      <c r="D3" s="3306"/>
      <c r="E3" s="33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6" t="s">
        <v>42</v>
      </c>
      <c r="B9" s="3306"/>
      <c r="C9" s="33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H22" activeCellId="1" sqref="D22 H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16" t="s">
        <v>203</v>
      </c>
      <c r="B2" s="3316"/>
      <c r="C2" s="3316"/>
      <c r="D2" s="1975" t="s">
        <v>204</v>
      </c>
      <c r="E2" s="106" t="s">
        <v>205</v>
      </c>
      <c r="F2" s="1984"/>
      <c r="G2" s="1198"/>
      <c r="H2" s="1199"/>
      <c r="I2" s="1200" t="s">
        <v>857</v>
      </c>
      <c r="J2" s="1984"/>
      <c r="K2" s="1984"/>
      <c r="L2" s="1984"/>
    </row>
    <row r="3" spans="1:16" ht="15.75" thickBot="1">
      <c r="A3" s="3317" t="s">
        <v>206</v>
      </c>
      <c r="B3" s="3317"/>
      <c r="C3" s="3317"/>
      <c r="D3" s="107">
        <f>'数据-基础表'!AY6</f>
        <v>19604.2</v>
      </c>
      <c r="E3" s="107">
        <f>'数据-基础表'!AZ5</f>
        <v>78499.16</v>
      </c>
      <c r="F3" s="1984"/>
      <c r="G3" s="280" t="s">
        <v>858</v>
      </c>
      <c r="H3" s="275" t="s">
        <v>859</v>
      </c>
      <c r="I3" s="1976">
        <f>ROUND('数据-基础表'!B3/'数据-基础表'!A3,2)</f>
        <v>4</v>
      </c>
      <c r="J3" s="1984"/>
      <c r="K3" s="1984"/>
      <c r="L3" s="1984"/>
    </row>
    <row r="4" spans="1:16" ht="15">
      <c r="A4" s="3318"/>
      <c r="B4" s="3319"/>
      <c r="C4" s="3320"/>
      <c r="D4" s="108" t="s">
        <v>204</v>
      </c>
      <c r="E4" s="109" t="s">
        <v>205</v>
      </c>
      <c r="F4" s="1984"/>
      <c r="G4" s="1201"/>
      <c r="H4" s="275" t="s">
        <v>860</v>
      </c>
      <c r="I4" s="1976">
        <f>ROUND(SUMIF('数据-基础表'!I9:AS9,"地上",'数据-基础表'!I5:AS5)/'数据-基础表'!A3,2)</f>
        <v>3.02</v>
      </c>
      <c r="J4" s="1984"/>
      <c r="K4" s="1984"/>
      <c r="L4" s="1984"/>
    </row>
    <row r="5" spans="1:16">
      <c r="A5" s="110" t="s">
        <v>207</v>
      </c>
      <c r="B5" s="3321" t="s">
        <v>230</v>
      </c>
      <c r="C5" s="3321"/>
      <c r="D5" s="111">
        <f>ROUND($D$3*E5/$E$3,2)</f>
        <v>11866.56</v>
      </c>
      <c r="E5" s="112">
        <f>SUMIF('数据-基础表'!$11:$11,"住宅",'数据-基础表'!$5:$5)</f>
        <v>47516.1</v>
      </c>
      <c r="F5" s="1984"/>
      <c r="G5" s="280" t="s">
        <v>861</v>
      </c>
      <c r="H5" s="275" t="s">
        <v>859</v>
      </c>
      <c r="I5" s="1976">
        <f>ROUND(E31/D31,2)</f>
        <v>4</v>
      </c>
      <c r="J5" s="1984"/>
      <c r="K5" s="1984"/>
      <c r="L5" s="1984"/>
    </row>
    <row r="6" spans="1:16" ht="15" thickBot="1">
      <c r="A6" s="113"/>
      <c r="B6" s="3321" t="s">
        <v>208</v>
      </c>
      <c r="C6" s="3321"/>
      <c r="D6" s="111">
        <f>ROUND($D$3*E6/$E$3,2)</f>
        <v>7737.64</v>
      </c>
      <c r="E6" s="112">
        <f>E3-E5</f>
        <v>30983.060000000005</v>
      </c>
      <c r="F6" s="1984"/>
      <c r="G6" s="1201"/>
      <c r="H6" s="275" t="s">
        <v>860</v>
      </c>
      <c r="I6" s="1976">
        <f>ROUND(F31/D31,2)</f>
        <v>3.02</v>
      </c>
      <c r="J6" s="1984"/>
      <c r="K6" s="1984"/>
      <c r="L6" s="1984"/>
    </row>
    <row r="7" spans="1:16" ht="15">
      <c r="A7" s="3313"/>
      <c r="B7" s="3314"/>
      <c r="C7" s="3315"/>
      <c r="D7" s="108" t="s">
        <v>204</v>
      </c>
      <c r="E7" s="114" t="s">
        <v>231</v>
      </c>
      <c r="F7" s="1984"/>
      <c r="G7" s="1156" t="s">
        <v>1646</v>
      </c>
      <c r="H7" s="1157"/>
      <c r="I7" s="1846"/>
      <c r="J7" s="1984"/>
      <c r="K7" s="1984"/>
      <c r="L7" s="1984"/>
    </row>
    <row r="8" spans="1:16">
      <c r="A8" s="110" t="s">
        <v>209</v>
      </c>
      <c r="B8" s="115" t="s">
        <v>210</v>
      </c>
      <c r="C8" s="111" t="s">
        <v>211</v>
      </c>
      <c r="D8" s="111">
        <f t="shared" ref="D8:D15" si="0">ROUND($D$3*E8/$E$3,2)</f>
        <v>12475.26</v>
      </c>
      <c r="E8" s="116">
        <f>SUMIF('数据-基础表'!BB10:BK10,"地上",'数据-基础表'!BB5:BK5)</f>
        <v>49953.47</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4838.84</v>
      </c>
      <c r="E13" s="116">
        <f>SUMPRODUCT(('数据-基础表'!BB10:BK10="地下")*('数据-基础表'!BB11:BK11="车库")*('数据-基础表'!BB5:BK5))</f>
        <v>19375.689999999999</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17314.099999999999</v>
      </c>
      <c r="E16" s="120">
        <f>SUM(E8:E15)</f>
        <v>69329.16</v>
      </c>
      <c r="F16" s="1984"/>
      <c r="G16" s="1986"/>
      <c r="H16" s="968" t="s">
        <v>219</v>
      </c>
      <c r="I16" s="969"/>
      <c r="J16" s="1984"/>
      <c r="K16" s="3307" t="s">
        <v>2569</v>
      </c>
      <c r="L16" s="3308"/>
      <c r="M16" s="3308"/>
      <c r="N16" s="3308"/>
      <c r="O16" s="3308"/>
      <c r="P16" s="3309"/>
    </row>
    <row r="17" spans="1:19" ht="15">
      <c r="A17" s="121" t="s">
        <v>216</v>
      </c>
      <c r="B17" s="122" t="s">
        <v>217</v>
      </c>
      <c r="C17" s="2298" t="s">
        <v>2316</v>
      </c>
      <c r="D17" s="108" t="s">
        <v>204</v>
      </c>
      <c r="E17" s="124" t="s">
        <v>205</v>
      </c>
      <c r="F17" s="125"/>
      <c r="G17" s="1365"/>
      <c r="H17" s="970" t="s">
        <v>218</v>
      </c>
      <c r="I17" s="971" t="s">
        <v>2315</v>
      </c>
      <c r="J17" s="1984"/>
      <c r="K17" s="3310" t="s">
        <v>2570</v>
      </c>
      <c r="L17" s="3311"/>
      <c r="M17" s="3312"/>
      <c r="N17" s="3310" t="s">
        <v>2571</v>
      </c>
      <c r="O17" s="3311"/>
      <c r="P17" s="3312"/>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2992</v>
      </c>
      <c r="D19" s="111">
        <f t="shared" ref="D19:D26" si="1">ROUND($D$3*E19/$E$3,2)</f>
        <v>11866.56</v>
      </c>
      <c r="E19" s="134">
        <f t="shared" ref="E19:E26" si="2">SUM(F19:G19)</f>
        <v>47516.1</v>
      </c>
      <c r="F19" s="135">
        <f>'数据-基础表'!K16</f>
        <v>47516.1</v>
      </c>
      <c r="G19" s="1367"/>
      <c r="H19" s="974">
        <f>ROUND($D$3*I19/$E$3,2)</f>
        <v>2265.67</v>
      </c>
      <c r="I19" s="116">
        <f>IF($I$17="自定义",P19,M19)</f>
        <v>9072.1899999999987</v>
      </c>
      <c r="J19" s="1984"/>
      <c r="K19" s="2608">
        <f t="shared" ref="K19:K26" si="3">ROUND(E$28*E19/E$27,2)</f>
        <v>213.06</v>
      </c>
      <c r="L19" s="275">
        <f t="shared" ref="L19:L26" si="4">ROUND(IF(COUNTIF(C19,"*住宅*")&gt;0,E$29*E19/E$32,0),2)</f>
        <v>8859.1299999999992</v>
      </c>
      <c r="M19" s="2609">
        <f>K19+L19</f>
        <v>9072.1899999999987</v>
      </c>
      <c r="N19" s="2610"/>
      <c r="O19" s="2611"/>
      <c r="P19" s="2612">
        <f>N19+O19</f>
        <v>0</v>
      </c>
      <c r="R19" s="275">
        <f t="shared" ref="R19:S26" si="5">D19+H19</f>
        <v>14132.23</v>
      </c>
      <c r="S19" s="2301">
        <f t="shared" si="5"/>
        <v>56588.289999999994</v>
      </c>
    </row>
    <row r="20" spans="1:19">
      <c r="A20" s="138"/>
      <c r="B20" s="115" t="s">
        <v>226</v>
      </c>
      <c r="C20" s="3025" t="s">
        <v>2993</v>
      </c>
      <c r="D20" s="111">
        <f t="shared" si="1"/>
        <v>608.70000000000005</v>
      </c>
      <c r="E20" s="134">
        <f t="shared" si="2"/>
        <v>2437.37</v>
      </c>
      <c r="F20" s="135">
        <f>'数据-基础表'!I16</f>
        <v>2437.37</v>
      </c>
      <c r="G20" s="1367"/>
      <c r="H20" s="974">
        <f t="shared" ref="H20:H26" si="6">ROUND($D$3*I20/$E$3,2)</f>
        <v>2.73</v>
      </c>
      <c r="I20" s="116">
        <f t="shared" ref="I20:I26" si="7">IF($I$17="自定义",P20,M20)</f>
        <v>10.93</v>
      </c>
      <c r="J20" s="1984"/>
      <c r="K20" s="2608">
        <f t="shared" si="3"/>
        <v>10.93</v>
      </c>
      <c r="L20" s="275">
        <f t="shared" si="4"/>
        <v>0</v>
      </c>
      <c r="M20" s="2609">
        <f t="shared" ref="M20:M26" si="8">K20+L20</f>
        <v>10.93</v>
      </c>
      <c r="N20" s="2610"/>
      <c r="O20" s="2611"/>
      <c r="P20" s="2612">
        <f t="shared" ref="P20:P26" si="9">N20+O20</f>
        <v>0</v>
      </c>
      <c r="R20" s="275">
        <f t="shared" si="5"/>
        <v>611.43000000000006</v>
      </c>
      <c r="S20" s="2301">
        <f t="shared" si="5"/>
        <v>2448.2999999999997</v>
      </c>
    </row>
    <row r="21" spans="1:19">
      <c r="A21" s="138"/>
      <c r="B21" s="115" t="s">
        <v>226</v>
      </c>
      <c r="C21" s="3025"/>
      <c r="D21" s="111">
        <f t="shared" si="1"/>
        <v>0</v>
      </c>
      <c r="E21" s="134">
        <f t="shared" si="2"/>
        <v>0</v>
      </c>
      <c r="F21" s="135"/>
      <c r="G21" s="1367"/>
      <c r="H21" s="974">
        <f t="shared" si="6"/>
        <v>0</v>
      </c>
      <c r="I21" s="116">
        <f t="shared" si="7"/>
        <v>0</v>
      </c>
      <c r="J21" s="1984"/>
      <c r="K21" s="2608">
        <f t="shared" si="3"/>
        <v>0</v>
      </c>
      <c r="L21" s="275">
        <f t="shared" si="4"/>
        <v>0</v>
      </c>
      <c r="M21" s="2609">
        <f t="shared" si="8"/>
        <v>0</v>
      </c>
      <c r="N21" s="2610"/>
      <c r="O21" s="2611"/>
      <c r="P21" s="2612">
        <f t="shared" si="9"/>
        <v>0</v>
      </c>
      <c r="R21" s="275">
        <f t="shared" si="5"/>
        <v>0</v>
      </c>
      <c r="S21" s="2301">
        <f t="shared" si="5"/>
        <v>0</v>
      </c>
    </row>
    <row r="22" spans="1:19">
      <c r="A22" s="138"/>
      <c r="B22" s="115" t="s">
        <v>226</v>
      </c>
      <c r="C22" s="3232" t="s">
        <v>3261</v>
      </c>
      <c r="D22" s="111">
        <f t="shared" si="1"/>
        <v>4838.84</v>
      </c>
      <c r="E22" s="134">
        <f t="shared" si="2"/>
        <v>19375.689999999999</v>
      </c>
      <c r="F22" s="140"/>
      <c r="G22" s="1368">
        <f>'数据-基础表'!O16</f>
        <v>19375.689999999999</v>
      </c>
      <c r="H22" s="974">
        <f t="shared" si="6"/>
        <v>21.7</v>
      </c>
      <c r="I22" s="116">
        <f t="shared" si="7"/>
        <v>86.88</v>
      </c>
      <c r="J22" s="1984"/>
      <c r="K22" s="2608">
        <f t="shared" si="3"/>
        <v>86.88</v>
      </c>
      <c r="L22" s="275">
        <f t="shared" si="4"/>
        <v>0</v>
      </c>
      <c r="M22" s="2609">
        <f t="shared" si="8"/>
        <v>86.88</v>
      </c>
      <c r="N22" s="2610"/>
      <c r="O22" s="2611"/>
      <c r="P22" s="2612">
        <f t="shared" si="9"/>
        <v>0</v>
      </c>
      <c r="R22" s="275">
        <f t="shared" si="5"/>
        <v>4860.54</v>
      </c>
      <c r="S22" s="2301">
        <f t="shared" si="5"/>
        <v>19462.57</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17314.099999999999</v>
      </c>
      <c r="E27" s="143">
        <f>IF(SUM(E19:E26)='数据-基础表'!BA5,SUM(E19:E26),IF(F27="地上面积有误","面积有误","地下面积有误"))</f>
        <v>69329.16</v>
      </c>
      <c r="F27" s="134">
        <f>IF(SUM(F19:F26)=E8,SUM(F19:F26),"地上面积有误")</f>
        <v>49953.47</v>
      </c>
      <c r="G27" s="112">
        <f>SUM(G19:G26)</f>
        <v>19375.689999999999</v>
      </c>
      <c r="H27" s="975">
        <f>SUM(H19:H26)</f>
        <v>2290.1</v>
      </c>
      <c r="I27" s="976">
        <f>SUM(I19:I26)</f>
        <v>9169.9999999999982</v>
      </c>
      <c r="J27" s="1984"/>
      <c r="K27" s="2617">
        <f>SUM(K19:K26)</f>
        <v>310.87</v>
      </c>
      <c r="L27" s="2618">
        <f>SUM(L19:L26)</f>
        <v>8859.1299999999992</v>
      </c>
      <c r="M27" s="2619">
        <f>SUM(M19:M26)</f>
        <v>9169.9999999999982</v>
      </c>
      <c r="N27" s="2617">
        <f t="shared" ref="N27:O27" si="10">SUM(N19:N26)</f>
        <v>0</v>
      </c>
      <c r="O27" s="2618">
        <f t="shared" si="10"/>
        <v>0</v>
      </c>
      <c r="P27" s="2620">
        <f>SUM(P19:P26)</f>
        <v>0</v>
      </c>
      <c r="R27" s="2305">
        <f>IF(SUM(R19:R26)=$D$3,SUM(R19:R26),SUM(R19:R26)&amp;"误差"&amp;ROUND(SUM(R19:R26)-$D$3,2))</f>
        <v>19604.2</v>
      </c>
      <c r="S27" s="275">
        <f>IF(SUM(S19:S26)=$E$3,SUM(S19:S26),SUM(S19:S26)&amp;"误差"&amp;ROUND(SUM(S19:S26)-E3,2))</f>
        <v>78499.16</v>
      </c>
    </row>
    <row r="28" spans="1:19">
      <c r="A28" s="138"/>
      <c r="B28" s="115" t="s">
        <v>227</v>
      </c>
      <c r="C28" s="136" t="s">
        <v>228</v>
      </c>
      <c r="D28" s="111">
        <f>ROUND($D$3*E28/$E$3,2)</f>
        <v>77.64</v>
      </c>
      <c r="E28" s="134">
        <f>SUM(F28:G28)</f>
        <v>310.87</v>
      </c>
      <c r="F28" s="144">
        <f>'数据-基础表'!BQ5+'数据-基础表'!BS5</f>
        <v>310.87</v>
      </c>
      <c r="G28" s="145">
        <f>'数据-基础表'!BR5+'数据-基础表'!BT5</f>
        <v>0</v>
      </c>
      <c r="H28" s="1984"/>
      <c r="I28" s="1984"/>
      <c r="J28" s="1984"/>
      <c r="K28" s="1984"/>
      <c r="L28" s="1984"/>
    </row>
    <row r="29" spans="1:19">
      <c r="A29" s="138"/>
      <c r="B29" s="115" t="s">
        <v>227</v>
      </c>
      <c r="C29" s="2313" t="s">
        <v>2323</v>
      </c>
      <c r="D29" s="111">
        <f>ROUND($D$3*E29/$E$3,2)</f>
        <v>2212.46</v>
      </c>
      <c r="E29" s="134">
        <f>SUM(F29:G29)</f>
        <v>8859.130000000001</v>
      </c>
      <c r="F29" s="144">
        <f>'数据-基础表'!BM5+'数据-基础表'!BO5</f>
        <v>8859.130000000001</v>
      </c>
      <c r="G29" s="146">
        <f>'数据-基础表'!BN5+'数据-基础表'!BP5</f>
        <v>0</v>
      </c>
      <c r="H29" s="1984"/>
      <c r="I29" s="1984"/>
      <c r="J29" s="1984"/>
      <c r="K29" s="1984"/>
      <c r="L29" s="1984"/>
    </row>
    <row r="30" spans="1:19">
      <c r="A30" s="138"/>
      <c r="B30" s="111"/>
      <c r="C30" s="147" t="s">
        <v>215</v>
      </c>
      <c r="D30" s="134">
        <f>SUM(D28:D29)</f>
        <v>2290.1</v>
      </c>
      <c r="E30" s="134">
        <f>SUM(E28:E29)</f>
        <v>9170.0000000000018</v>
      </c>
      <c r="F30" s="134">
        <f>SUM(F28:F29)</f>
        <v>9170.0000000000018</v>
      </c>
      <c r="G30" s="112">
        <f>SUM(G28:G29)</f>
        <v>0</v>
      </c>
      <c r="H30" s="1984"/>
      <c r="I30" s="1984"/>
      <c r="J30" s="1984"/>
      <c r="K30" s="1984"/>
      <c r="L30" s="1984"/>
    </row>
    <row r="31" spans="1:19" ht="32.25" customHeight="1" thickBot="1">
      <c r="A31" s="1369"/>
      <c r="B31" s="1370" t="s">
        <v>229</v>
      </c>
      <c r="C31" s="2330" t="s">
        <v>2325</v>
      </c>
      <c r="D31" s="1371">
        <f>D27+D30</f>
        <v>19604.199999999997</v>
      </c>
      <c r="E31" s="1371">
        <f>E27+E30</f>
        <v>78499.16</v>
      </c>
      <c r="F31" s="1372">
        <f>F27+F30</f>
        <v>59123.47</v>
      </c>
      <c r="G31" s="1373">
        <f>G27+G30</f>
        <v>19375.689999999999</v>
      </c>
      <c r="H31" s="1984"/>
      <c r="I31" s="1984"/>
      <c r="J31" s="1984"/>
      <c r="K31" s="1984"/>
      <c r="L31" s="1984"/>
    </row>
    <row r="32" spans="1:19">
      <c r="A32" s="1984"/>
      <c r="B32" s="2363" t="s">
        <v>2324</v>
      </c>
      <c r="C32" s="2647"/>
      <c r="D32" s="1201"/>
      <c r="E32" s="1201">
        <f>SUMIF(C19:C26,"*住宅*",E19:E26)</f>
        <v>47516.1</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2" sqref="F22"/>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22" t="s">
        <v>1664</v>
      </c>
      <c r="B1" s="3323"/>
      <c r="C1" s="3323"/>
      <c r="D1" s="3323"/>
      <c r="E1" s="3323"/>
      <c r="F1" s="3323"/>
      <c r="G1" s="332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2926</v>
      </c>
      <c r="D3" s="2009"/>
      <c r="E3" s="1229" t="s">
        <v>1667</v>
      </c>
      <c r="F3" s="1230" t="s">
        <v>1655</v>
      </c>
      <c r="G3" s="3086" t="s">
        <v>2925</v>
      </c>
      <c r="H3" s="2008"/>
      <c r="I3" s="2008"/>
      <c r="J3" s="2008"/>
      <c r="K3" s="2008"/>
      <c r="L3" s="2008"/>
      <c r="M3" s="2008"/>
      <c r="N3" s="2008"/>
      <c r="O3" s="2008"/>
      <c r="P3" s="2008"/>
      <c r="Q3" s="2008"/>
      <c r="R3" s="2008"/>
    </row>
    <row r="4" spans="1:18" ht="41.25">
      <c r="A4" s="1229"/>
      <c r="B4" s="1231" t="s">
        <v>1668</v>
      </c>
      <c r="C4" s="3083" t="s">
        <v>2927</v>
      </c>
      <c r="D4" s="2009"/>
      <c r="E4" s="1232"/>
      <c r="F4" s="1233" t="s">
        <v>1669</v>
      </c>
      <c r="G4" s="3084" t="s">
        <v>2922</v>
      </c>
      <c r="H4" s="2008"/>
      <c r="I4" s="2008"/>
      <c r="J4" s="2008"/>
      <c r="K4" s="2008"/>
      <c r="L4" s="2008"/>
      <c r="M4" s="2008"/>
      <c r="N4" s="2008"/>
      <c r="O4" s="2008"/>
      <c r="P4" s="2008"/>
      <c r="Q4" s="2008"/>
      <c r="R4" s="2008"/>
    </row>
    <row r="5" spans="1:18" ht="41.25">
      <c r="A5" s="1229"/>
      <c r="B5" s="1231" t="s">
        <v>1670</v>
      </c>
      <c r="C5" s="3083" t="s">
        <v>2928</v>
      </c>
      <c r="D5" s="2009"/>
      <c r="E5" s="1232"/>
      <c r="F5" s="1231" t="s">
        <v>2549</v>
      </c>
      <c r="G5" s="3084" t="s">
        <v>2923</v>
      </c>
      <c r="H5" s="2008"/>
      <c r="I5" s="2008"/>
      <c r="J5" s="2008"/>
      <c r="K5" s="2008"/>
      <c r="L5" s="2008"/>
      <c r="M5" s="2008"/>
      <c r="N5" s="2008"/>
      <c r="O5" s="2008"/>
      <c r="P5" s="2008"/>
      <c r="Q5" s="2008"/>
      <c r="R5" s="2008"/>
    </row>
    <row r="6" spans="1:18" ht="54">
      <c r="A6" s="1229"/>
      <c r="B6" s="1231" t="s">
        <v>1656</v>
      </c>
      <c r="C6" s="3084" t="s">
        <v>2922</v>
      </c>
      <c r="D6" s="2009"/>
      <c r="E6" s="1232"/>
      <c r="F6" s="1231" t="s">
        <v>2550</v>
      </c>
      <c r="G6" s="3084" t="s">
        <v>2920</v>
      </c>
      <c r="H6" s="2008"/>
      <c r="I6" s="2008"/>
      <c r="J6" s="2008"/>
      <c r="K6" s="2008"/>
      <c r="L6" s="2008"/>
      <c r="M6" s="2008"/>
      <c r="N6" s="2008"/>
      <c r="O6" s="2008"/>
      <c r="P6" s="2008"/>
      <c r="Q6" s="2008"/>
      <c r="R6" s="2008"/>
    </row>
    <row r="7" spans="1:18" ht="41.25" thickBot="1">
      <c r="A7" s="1229"/>
      <c r="B7" s="1231" t="s">
        <v>2549</v>
      </c>
      <c r="C7" s="3084" t="s">
        <v>2923</v>
      </c>
      <c r="D7" s="2010"/>
      <c r="E7" s="1234"/>
      <c r="F7" s="1235" t="s">
        <v>1671</v>
      </c>
      <c r="G7" s="3087" t="s">
        <v>2924</v>
      </c>
      <c r="H7" s="2008"/>
      <c r="I7" s="2008"/>
      <c r="J7" s="2008"/>
      <c r="K7" s="2008"/>
      <c r="L7" s="2008"/>
      <c r="M7" s="2008"/>
      <c r="N7" s="2008"/>
      <c r="O7" s="2008"/>
      <c r="P7" s="2008"/>
      <c r="Q7" s="2008"/>
      <c r="R7" s="2008"/>
    </row>
    <row r="8" spans="1:18" ht="27">
      <c r="A8" s="1229"/>
      <c r="B8" s="1231" t="s">
        <v>2550</v>
      </c>
      <c r="C8" s="3084" t="s">
        <v>2920</v>
      </c>
      <c r="D8" s="2010"/>
      <c r="E8" s="2010"/>
      <c r="F8" s="1553"/>
      <c r="G8" s="1553"/>
      <c r="H8" s="2008"/>
      <c r="I8" s="2008"/>
      <c r="J8" s="2008"/>
      <c r="K8" s="2008"/>
      <c r="L8" s="2008"/>
      <c r="M8" s="2008"/>
      <c r="N8" s="2008"/>
      <c r="O8" s="2008"/>
      <c r="P8" s="2008"/>
      <c r="Q8" s="2008"/>
      <c r="R8" s="2008"/>
    </row>
    <row r="9" spans="1:18" ht="40.5">
      <c r="A9" s="1229"/>
      <c r="B9" s="1231" t="s">
        <v>1657</v>
      </c>
      <c r="C9" s="3083"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9" activePane="bottomRight" state="frozen"/>
      <selection pane="topRight" activeCell="D1" sqref="D1"/>
      <selection pane="bottomLeft" activeCell="A4" sqref="A4"/>
      <selection pane="bottomRight" activeCell="K14" sqref="K1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43362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68661</v>
      </c>
      <c r="F6" s="174">
        <f>SUMIF(项目基本情况!D$15:I$15,C6,项目基本情况!D$19:I$19)</f>
        <v>69.31</v>
      </c>
      <c r="G6" s="175">
        <f>IF(ISERROR(ROUND(POWER(1+H6,D6-F6)*(POWER(1+H6,F6)-1)/(POWER(1+H6,D6)-1),3)),0,ROUND(POWER(1+H6,D6-F6)*(POWER(1+H6,F6)-1)/(POWER(1+H6,D6)-1),3))</f>
        <v>0.999</v>
      </c>
      <c r="H6" s="3026">
        <v>4.4999999999999998E-2</v>
      </c>
      <c r="I6" s="3026">
        <v>0.05</v>
      </c>
      <c r="J6" s="176">
        <v>8.5000000000000006E-2</v>
      </c>
      <c r="K6" s="179">
        <f>SUMIF('数据-汇总表'!C$19:C$33,'数据-取费表'!A6,'数据-汇总表'!E$19:E$33)</f>
        <v>47516.1</v>
      </c>
      <c r="L6" s="3027">
        <v>2600</v>
      </c>
      <c r="M6" s="177">
        <f t="shared" ref="M6:M14" si="0">ROUND(K6*L6/10000,0)</f>
        <v>12354</v>
      </c>
      <c r="N6" s="3028">
        <v>0</v>
      </c>
      <c r="O6" s="177">
        <f>IF($N$5="成新度","——",ROUND(M6*N6,0))</f>
        <v>0</v>
      </c>
      <c r="P6" s="178">
        <f>IF($N$5="成新度","——",M6-O6)</f>
        <v>12354</v>
      </c>
      <c r="Q6" s="3029">
        <v>0.15</v>
      </c>
      <c r="R6" s="179">
        <f>SUMIF('数据-汇总表'!C$19:C$33,A6,'数据-汇总表'!R$19:R$33)</f>
        <v>14132.23</v>
      </c>
      <c r="S6" s="132">
        <f>IF('数据-汇总表'!$I$17="按面积比例",SUMIF('数据-汇总表'!C$19:C$33,A6,'数据-汇总表'!K$19:K$33),SUMIF('数据-汇总表'!C$19:C$33,A6,'数据-汇总表'!N$19:N$33))</f>
        <v>213.06</v>
      </c>
      <c r="T6" s="2234">
        <f>IF($T$4="按面积比例",IF(ISERROR(ROUND($M$14*S6/S$16,0)),"0",ROUND($M$14*S6/S$16,0)),"需自行计算录入")</f>
        <v>38</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0.95299999999999996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2990</v>
      </c>
      <c r="D7" s="2308">
        <f>SUMIF(项目基本情况!D$15:I$15,C7,项目基本情况!D$18:I$18)</f>
        <v>40</v>
      </c>
      <c r="E7" s="2309">
        <f>IF(B7="","",SUMIF(项目基本情况!D$15:I$15,C7,项目基本情况!D$17:I$17))</f>
        <v>57704</v>
      </c>
      <c r="F7" s="174">
        <f>SUMIF(项目基本情况!D$15:I$15,C7,项目基本情况!D$19:I$19)</f>
        <v>39.29</v>
      </c>
      <c r="G7" s="175">
        <f t="shared" ref="G7:G11" si="2">IF(ISERROR(ROUND(POWER(1+H7,D7-F7)*(POWER(1+H7,F7)-1)/(POWER(1+H7,D7)-1),3)),0,ROUND(POWER(1+H7,D7-F7)*(POWER(1+H7,F7)-1)/(POWER(1+H7,D7)-1),3))</f>
        <v>0.99399999999999999</v>
      </c>
      <c r="H7" s="3026">
        <v>0.05</v>
      </c>
      <c r="I7" s="3026">
        <v>5.5E-2</v>
      </c>
      <c r="J7" s="176">
        <v>8.5000000000000006E-2</v>
      </c>
      <c r="K7" s="179">
        <f>SUMIF('数据-汇总表'!C$19:C$33,'数据-取费表'!A7,'数据-汇总表'!E$19:E$33)</f>
        <v>2437.37</v>
      </c>
      <c r="L7" s="3027">
        <v>2800</v>
      </c>
      <c r="M7" s="177">
        <f t="shared" si="0"/>
        <v>682</v>
      </c>
      <c r="N7" s="3028">
        <v>0</v>
      </c>
      <c r="O7" s="177">
        <f t="shared" ref="O7:O14" si="3">IF($N$5="成新度","——",ROUND(M7*N7,0))</f>
        <v>0</v>
      </c>
      <c r="P7" s="178">
        <f t="shared" ref="P7:P14" si="4">IF($N$5="成新度","——",M7-O7)</f>
        <v>682</v>
      </c>
      <c r="Q7" s="3029">
        <v>0.2</v>
      </c>
      <c r="R7" s="179">
        <f>SUMIF('数据-汇总表'!C$19:C$33,A7,'数据-汇总表'!R$19:R$33)</f>
        <v>611.43000000000006</v>
      </c>
      <c r="S7" s="132">
        <f>IF('数据-汇总表'!$I$17="按面积比例",SUMIF('数据-汇总表'!C$19:C$33,A7,'数据-汇总表'!K$19:K$33),SUMIF('数据-汇总表'!C$19:C$33,A7,'数据-汇总表'!N$19:N$33))</f>
        <v>10.93</v>
      </c>
      <c r="T7" s="2234">
        <f t="shared" ref="T7:T13" si="5">IF($T$4="按面积比例",IF(ISERROR(ROUND($M$14*S7/S$16,0)),"0",ROUND($M$14*S7/S$16,0)),"需自行计算录入")</f>
        <v>2</v>
      </c>
      <c r="U7" s="180">
        <v>3.5</v>
      </c>
      <c r="V7" s="181">
        <v>0.03</v>
      </c>
      <c r="W7" s="181">
        <v>0.1</v>
      </c>
      <c r="X7" s="2321"/>
      <c r="Y7" s="182">
        <v>1</v>
      </c>
      <c r="Z7" s="183"/>
      <c r="AA7" s="176"/>
      <c r="AB7" s="176"/>
      <c r="AC7" s="2324"/>
      <c r="AD7" s="184"/>
      <c r="AE7" s="972">
        <f t="shared" ref="AE7:AE13" ca="1" si="6">IF(AN7="",0,SUMIF(INDIRECT("'"&amp;AN7&amp;"'"&amp;"!E:E"),$AE$5,INDIRECT("'"&amp;AN7&amp;"'"&amp;"!F:F")))</f>
        <v>37.79</v>
      </c>
      <c r="AF7" s="141"/>
      <c r="AG7" s="1213">
        <f t="shared" ref="AG7:AG13" si="7">IF(AF7="",0,AE7-AF7)</f>
        <v>0</v>
      </c>
      <c r="AH7" s="141"/>
      <c r="AI7" s="187">
        <v>365</v>
      </c>
      <c r="AJ7" s="188"/>
      <c r="AK7" s="189">
        <v>1.4999999999999999E-2</v>
      </c>
      <c r="AL7" s="190">
        <v>1.5E-3</v>
      </c>
      <c r="AM7" s="2390">
        <v>0.01</v>
      </c>
      <c r="AN7" s="2392" t="s">
        <v>3075</v>
      </c>
      <c r="AO7" s="2000"/>
      <c r="AP7" s="1204">
        <f t="shared" ref="AP7:AP13" si="8">ROUND(1-1/(1+H7)^F7,3)</f>
        <v>0.85299999999999998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234"/>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地下车库</v>
      </c>
      <c r="B9" s="2337" t="str">
        <f t="shared" si="1"/>
        <v>经营性</v>
      </c>
      <c r="C9" s="173" t="s">
        <v>3260</v>
      </c>
      <c r="D9" s="2308">
        <f>SUMIF(项目基本情况!D$15:I$15,C9,项目基本情况!D$18:I$18)</f>
        <v>50</v>
      </c>
      <c r="E9" s="2309">
        <f>IF(B9="","",SUMIF(项目基本情况!D$15:I$15,C9,项目基本情况!D$17:I$17))</f>
        <v>61356</v>
      </c>
      <c r="F9" s="174">
        <f>SUMIF(项目基本情况!D$15:I$15,C9,项目基本情况!D$19:I$19)</f>
        <v>49.29</v>
      </c>
      <c r="G9" s="175">
        <f t="shared" si="2"/>
        <v>0.995</v>
      </c>
      <c r="H9" s="176">
        <v>0.04</v>
      </c>
      <c r="I9" s="176">
        <v>4.4999999999999998E-2</v>
      </c>
      <c r="J9" s="176">
        <v>8.5000000000000006E-2</v>
      </c>
      <c r="K9" s="179">
        <f>SUMIF('数据-汇总表'!C$19:C$33,'数据-取费表'!A9,'数据-汇总表'!E$19:E$33)</f>
        <v>19375.689999999999</v>
      </c>
      <c r="L9" s="193">
        <v>2000</v>
      </c>
      <c r="M9" s="177">
        <f t="shared" si="0"/>
        <v>3875</v>
      </c>
      <c r="N9" s="194">
        <v>0</v>
      </c>
      <c r="O9" s="177">
        <f t="shared" si="3"/>
        <v>0</v>
      </c>
      <c r="P9" s="178">
        <f t="shared" si="4"/>
        <v>3875</v>
      </c>
      <c r="Q9" s="192">
        <v>0.05</v>
      </c>
      <c r="R9" s="179">
        <f>SUMIF('数据-汇总表'!C$19:C$33,A9,'数据-汇总表'!R$19:R$33)</f>
        <v>4860.54</v>
      </c>
      <c r="S9" s="132">
        <f>IF('数据-汇总表'!$I$17="按面积比例",SUMIF('数据-汇总表'!C$19:C$33,A9,'数据-汇总表'!K$19:K$33),SUMIF('数据-汇总表'!C$19:C$33,A9,'数据-汇总表'!N$19:N$33))</f>
        <v>86.88</v>
      </c>
      <c r="T9" s="2234">
        <f t="shared" si="5"/>
        <v>16</v>
      </c>
      <c r="U9" s="180">
        <v>0.4</v>
      </c>
      <c r="V9" s="181">
        <v>1.4999999999999999E-2</v>
      </c>
      <c r="W9" s="181">
        <v>0.1</v>
      </c>
      <c r="X9" s="2321"/>
      <c r="Y9" s="182">
        <v>1</v>
      </c>
      <c r="Z9" s="183"/>
      <c r="AA9" s="176"/>
      <c r="AB9" s="176"/>
      <c r="AC9" s="2324"/>
      <c r="AD9" s="184"/>
      <c r="AE9" s="972">
        <f t="shared" ca="1" si="6"/>
        <v>47.79</v>
      </c>
      <c r="AF9" s="141"/>
      <c r="AG9" s="1213">
        <f t="shared" si="7"/>
        <v>0</v>
      </c>
      <c r="AH9" s="141"/>
      <c r="AI9" s="187">
        <v>365</v>
      </c>
      <c r="AJ9" s="188"/>
      <c r="AK9" s="189">
        <v>1.4999999999999999E-2</v>
      </c>
      <c r="AL9" s="190">
        <v>1.5E-3</v>
      </c>
      <c r="AM9" s="2390">
        <v>0.01</v>
      </c>
      <c r="AN9" s="2392" t="s">
        <v>3264</v>
      </c>
      <c r="AO9" s="2000"/>
      <c r="AP9" s="1204">
        <f t="shared" si="8"/>
        <v>0.85499999999999998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310.87</v>
      </c>
      <c r="L14" s="193">
        <v>1800</v>
      </c>
      <c r="M14" s="177">
        <f t="shared" si="0"/>
        <v>56</v>
      </c>
      <c r="N14" s="194"/>
      <c r="O14" s="177">
        <f t="shared" si="3"/>
        <v>0</v>
      </c>
      <c r="P14" s="178">
        <f t="shared" si="4"/>
        <v>56</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8859.130000000001</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0.998</v>
      </c>
      <c r="H16" s="203">
        <f>ROUND(SUMPRODUCT(H6:H13,K6:K13)/SUMPRODUCT((H6:H13&gt;0)*(K6:K13)),3)</f>
        <v>4.3999999999999997E-2</v>
      </c>
      <c r="I16" s="204"/>
      <c r="J16" s="204"/>
      <c r="K16" s="205">
        <f>SUM(K6:K15)</f>
        <v>78499.16</v>
      </c>
      <c r="L16" s="206">
        <f>ROUND(M16*10000/SUM(K6:K14),0)</f>
        <v>2436</v>
      </c>
      <c r="M16" s="206">
        <f>SUM(M6:M14)</f>
        <v>16967</v>
      </c>
      <c r="N16" s="207">
        <f>ROUND(SUMPRODUCT(M6:M14,N6:N14)/M16,3)</f>
        <v>0</v>
      </c>
      <c r="O16" s="206">
        <f>SUM(O6:O14)</f>
        <v>0</v>
      </c>
      <c r="P16" s="206">
        <f>SUM(P6:P14)</f>
        <v>16967</v>
      </c>
      <c r="Q16" s="208">
        <f>ROUND(SUMPRODUCT(Q6:Q13,K6:K13)/SUMPRODUCT((Q6:Q13&gt;0)*(K6:K13)),2)</f>
        <v>0.12</v>
      </c>
      <c r="R16" s="2311">
        <f>SUM(R6:R13)</f>
        <v>19604.2</v>
      </c>
      <c r="S16" s="209">
        <f>SUM(S6:S13)</f>
        <v>310.87</v>
      </c>
      <c r="T16" s="210">
        <f>IF(SUMIF(T6:T13,"&lt;9E307")=M14,SUMIF(T6:T13,"&lt;9E307"),"有误，请检查")</f>
        <v>56</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0.92200000000000004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50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90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90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110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65" t="s">
        <v>2898</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77" t="s">
        <v>2908</v>
      </c>
      <c r="D53" s="3078"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2910</v>
      </c>
      <c r="B54" s="186">
        <v>10</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2911</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2912</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2913</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2914</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2915</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5" sqref="C35"/>
    </sheetView>
  </sheetViews>
  <sheetFormatPr defaultColWidth="14.625" defaultRowHeight="13.5"/>
  <cols>
    <col min="1" max="1" width="24.375" customWidth="1"/>
  </cols>
  <sheetData>
    <row r="1" spans="1:9" ht="16.5">
      <c r="A1" s="3046" t="s">
        <v>2847</v>
      </c>
      <c r="B1" s="3046">
        <f>SUM(B14:B23)</f>
        <v>78499.16</v>
      </c>
      <c r="C1" s="3047"/>
      <c r="D1" s="3047"/>
      <c r="E1" s="3047"/>
      <c r="F1" s="3047"/>
    </row>
    <row r="2" spans="1:9" ht="16.5">
      <c r="A2" s="3046" t="s">
        <v>2848</v>
      </c>
      <c r="B2" s="3046">
        <f>SUM(C14:C23)</f>
        <v>19604.2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31037</v>
      </c>
      <c r="C5" s="3046">
        <f ca="1">ROUND(B5*10000/$B$1,0)</f>
        <v>3954</v>
      </c>
      <c r="D5" s="3046">
        <f ca="1">ROUND(B5*10000/$B$2,0)</f>
        <v>15832</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78499.16</v>
      </c>
      <c r="C14" s="3050">
        <f>结果表!K38</f>
        <v>19604.2</v>
      </c>
      <c r="D14" s="3050">
        <f ca="1">结果表!C42</f>
        <v>31037</v>
      </c>
      <c r="E14" s="3050">
        <f ca="1">ROUND(D14*10000/B14,0)</f>
        <v>3954</v>
      </c>
      <c r="F14" s="3050">
        <f ca="1">ROUND(D14*10000/C14,0)</f>
        <v>15832</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369" t="str">
        <f>项目基本情况!K2</f>
        <v>出让国有建设用地使用权</v>
      </c>
      <c r="B2" s="3370"/>
      <c r="C2" s="3371"/>
      <c r="D2" s="3371"/>
      <c r="E2" s="3371"/>
      <c r="F2" s="3371"/>
      <c r="G2" s="3370"/>
      <c r="H2" s="3370"/>
      <c r="I2" s="3372"/>
      <c r="J2" s="2030"/>
      <c r="K2" s="2029"/>
      <c r="L2" s="2029"/>
      <c r="M2" s="2029"/>
      <c r="N2" s="2029"/>
      <c r="O2" s="2029"/>
      <c r="P2" s="2029"/>
      <c r="Q2" s="2029"/>
      <c r="R2" s="2029"/>
      <c r="S2" s="2029"/>
      <c r="T2" s="2029"/>
      <c r="U2" s="2029"/>
      <c r="V2" s="2029"/>
    </row>
    <row r="3" spans="1:22" ht="14.25">
      <c r="A3" s="3380" t="s">
        <v>298</v>
      </c>
      <c r="B3" s="3381"/>
      <c r="C3" s="3381"/>
      <c r="D3" s="3381"/>
      <c r="E3" s="3381"/>
      <c r="F3" s="3381"/>
      <c r="G3" s="3381"/>
      <c r="H3" s="3381"/>
      <c r="I3" s="3381"/>
      <c r="J3" s="2030"/>
      <c r="K3" s="2029"/>
      <c r="L3" s="2029"/>
      <c r="M3" s="2029"/>
      <c r="N3" s="2029"/>
      <c r="O3" s="2029"/>
      <c r="P3" s="2029"/>
      <c r="Q3" s="2029"/>
      <c r="R3" s="2029"/>
      <c r="S3" s="2029"/>
      <c r="T3" s="2029"/>
      <c r="U3" s="2029"/>
      <c r="V3" s="2029"/>
    </row>
    <row r="4" spans="1:22" ht="14.25">
      <c r="A4" s="258" t="s">
        <v>299</v>
      </c>
      <c r="B4" s="259" t="s">
        <v>300</v>
      </c>
      <c r="C4" s="260" t="s">
        <v>3048</v>
      </c>
      <c r="D4" s="260" t="s">
        <v>3049</v>
      </c>
      <c r="E4" s="3344" t="s">
        <v>301</v>
      </c>
      <c r="F4" s="3386"/>
      <c r="G4" s="3386"/>
      <c r="H4" s="3386"/>
      <c r="I4" s="3345"/>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73" t="s">
        <v>302</v>
      </c>
      <c r="B5" s="3374">
        <v>25</v>
      </c>
      <c r="C5" s="3382"/>
      <c r="D5" s="3385"/>
      <c r="E5" s="261" t="s">
        <v>303</v>
      </c>
      <c r="F5" s="262"/>
      <c r="G5" s="262"/>
      <c r="H5" s="262"/>
      <c r="I5" s="263"/>
      <c r="J5" s="2030"/>
      <c r="K5" s="2029"/>
      <c r="L5" s="2029"/>
      <c r="M5" s="2029"/>
      <c r="N5" s="2029"/>
      <c r="O5" s="2029"/>
      <c r="P5" s="2029"/>
      <c r="Q5" s="2029"/>
      <c r="R5" s="2029"/>
      <c r="S5" s="2029"/>
      <c r="T5" s="2029"/>
      <c r="U5" s="2029"/>
      <c r="V5" s="2029"/>
    </row>
    <row r="6" spans="1:22" ht="14.25">
      <c r="A6" s="3373"/>
      <c r="B6" s="3374"/>
      <c r="C6" s="3383"/>
      <c r="D6" s="3385"/>
      <c r="E6" s="261" t="s">
        <v>304</v>
      </c>
      <c r="F6" s="262"/>
      <c r="G6" s="262"/>
      <c r="H6" s="262"/>
      <c r="I6" s="263"/>
      <c r="J6" s="2030"/>
      <c r="K6" s="2029"/>
      <c r="L6" s="2029"/>
      <c r="M6" s="2029"/>
      <c r="N6" s="2029"/>
      <c r="O6" s="2029"/>
      <c r="P6" s="2029"/>
      <c r="Q6" s="2029"/>
      <c r="R6" s="2029"/>
      <c r="S6" s="2029"/>
      <c r="T6" s="2029"/>
      <c r="U6" s="2029"/>
      <c r="V6" s="2029"/>
    </row>
    <row r="7" spans="1:22" ht="14.25">
      <c r="A7" s="3373"/>
      <c r="B7" s="3374"/>
      <c r="C7" s="3384"/>
      <c r="D7" s="3385"/>
      <c r="E7" s="261" t="s">
        <v>305</v>
      </c>
      <c r="F7" s="262"/>
      <c r="G7" s="262"/>
      <c r="H7" s="262"/>
      <c r="I7" s="263"/>
      <c r="J7" s="2030"/>
      <c r="K7" s="2029"/>
      <c r="L7" s="2029"/>
      <c r="M7" s="2029"/>
      <c r="N7" s="2029"/>
      <c r="O7" s="2029"/>
      <c r="P7" s="2029"/>
      <c r="Q7" s="2029"/>
      <c r="R7" s="2029"/>
      <c r="S7" s="2029"/>
      <c r="T7" s="2029"/>
      <c r="U7" s="2029"/>
      <c r="V7" s="2029"/>
    </row>
    <row r="8" spans="1:22" ht="14.25">
      <c r="A8" s="3373" t="s">
        <v>306</v>
      </c>
      <c r="B8" s="3374">
        <v>15</v>
      </c>
      <c r="C8" s="3382"/>
      <c r="D8" s="3385"/>
      <c r="E8" s="261" t="s">
        <v>307</v>
      </c>
      <c r="F8" s="262"/>
      <c r="G8" s="262"/>
      <c r="H8" s="262"/>
      <c r="I8" s="263"/>
      <c r="J8" s="2030"/>
      <c r="K8" s="2029"/>
      <c r="L8" s="2029"/>
      <c r="M8" s="2029"/>
      <c r="N8" s="2029"/>
      <c r="O8" s="2029"/>
      <c r="P8" s="2029"/>
      <c r="Q8" s="2029"/>
      <c r="R8" s="2029"/>
      <c r="S8" s="2029"/>
      <c r="T8" s="2029"/>
      <c r="U8" s="2029"/>
      <c r="V8" s="2029"/>
    </row>
    <row r="9" spans="1:22" ht="14.25">
      <c r="A9" s="3373"/>
      <c r="B9" s="3374"/>
      <c r="C9" s="3384"/>
      <c r="D9" s="3385"/>
      <c r="E9" s="261" t="s">
        <v>308</v>
      </c>
      <c r="F9" s="262"/>
      <c r="G9" s="262"/>
      <c r="H9" s="262"/>
      <c r="I9" s="263"/>
      <c r="J9" s="2030"/>
      <c r="K9" s="2029"/>
      <c r="L9" s="2029"/>
      <c r="M9" s="2029"/>
      <c r="N9" s="2029"/>
      <c r="O9" s="2029"/>
      <c r="P9" s="2029"/>
      <c r="Q9" s="2029"/>
      <c r="R9" s="2029"/>
      <c r="S9" s="2029"/>
      <c r="T9" s="2029"/>
      <c r="U9" s="2029"/>
      <c r="V9" s="2029"/>
    </row>
    <row r="10" spans="1:22" ht="14.25">
      <c r="A10" s="3373" t="s">
        <v>309</v>
      </c>
      <c r="B10" s="3374">
        <v>15</v>
      </c>
      <c r="C10" s="3382"/>
      <c r="D10" s="3385"/>
      <c r="E10" s="261" t="s">
        <v>310</v>
      </c>
      <c r="F10" s="262"/>
      <c r="G10" s="262"/>
      <c r="H10" s="262"/>
      <c r="I10" s="263"/>
      <c r="J10" s="2030"/>
      <c r="K10" s="2029"/>
      <c r="L10" s="2029"/>
      <c r="M10" s="2029"/>
      <c r="N10" s="2029"/>
      <c r="O10" s="2029"/>
      <c r="P10" s="2029"/>
      <c r="Q10" s="2029"/>
      <c r="R10" s="2029"/>
      <c r="S10" s="2029"/>
      <c r="T10" s="2029"/>
      <c r="U10" s="2029"/>
      <c r="V10" s="2029"/>
    </row>
    <row r="11" spans="1:22" ht="14.25">
      <c r="A11" s="3373"/>
      <c r="B11" s="3374"/>
      <c r="C11" s="3384"/>
      <c r="D11" s="3385"/>
      <c r="E11" s="261" t="s">
        <v>311</v>
      </c>
      <c r="F11" s="262"/>
      <c r="G11" s="262"/>
      <c r="H11" s="262"/>
      <c r="I11" s="263"/>
      <c r="J11" s="2030"/>
      <c r="K11" s="2029"/>
      <c r="L11" s="2029"/>
      <c r="M11" s="2029"/>
      <c r="N11" s="2029"/>
      <c r="O11" s="2029"/>
      <c r="P11" s="2029"/>
      <c r="Q11" s="2029"/>
      <c r="R11" s="2029"/>
      <c r="S11" s="2029"/>
      <c r="T11" s="2029"/>
      <c r="U11" s="2029"/>
      <c r="V11" s="2029"/>
    </row>
    <row r="12" spans="1:22" ht="14.25">
      <c r="A12" s="3373" t="s">
        <v>312</v>
      </c>
      <c r="B12" s="3374">
        <v>15</v>
      </c>
      <c r="C12" s="3382"/>
      <c r="D12" s="3385"/>
      <c r="E12" s="261" t="s">
        <v>313</v>
      </c>
      <c r="F12" s="262"/>
      <c r="G12" s="262"/>
      <c r="H12" s="262"/>
      <c r="I12" s="263"/>
      <c r="J12" s="2030"/>
      <c r="K12" s="2029"/>
      <c r="L12" s="2029"/>
      <c r="M12" s="2029"/>
      <c r="N12" s="2029"/>
      <c r="O12" s="2029"/>
      <c r="P12" s="2029"/>
      <c r="Q12" s="2029"/>
      <c r="R12" s="2029"/>
      <c r="S12" s="2029"/>
      <c r="T12" s="2029"/>
      <c r="U12" s="2029"/>
      <c r="V12" s="2029"/>
    </row>
    <row r="13" spans="1:22" ht="14.25">
      <c r="A13" s="3373"/>
      <c r="B13" s="3374"/>
      <c r="C13" s="3384"/>
      <c r="D13" s="3385"/>
      <c r="E13" s="261" t="s">
        <v>314</v>
      </c>
      <c r="F13" s="262"/>
      <c r="G13" s="262"/>
      <c r="H13" s="262"/>
      <c r="I13" s="263"/>
      <c r="J13" s="2030"/>
      <c r="K13" s="2029"/>
      <c r="L13" s="2029"/>
      <c r="M13" s="2029"/>
      <c r="N13" s="2029"/>
      <c r="O13" s="2029"/>
      <c r="P13" s="2029"/>
      <c r="Q13" s="2029"/>
      <c r="R13" s="2029"/>
      <c r="S13" s="2029"/>
      <c r="T13" s="2029"/>
      <c r="U13" s="2029"/>
      <c r="V13" s="2029"/>
    </row>
    <row r="14" spans="1:22" ht="14.25">
      <c r="A14" s="3373" t="s">
        <v>315</v>
      </c>
      <c r="B14" s="3374">
        <v>30</v>
      </c>
      <c r="C14" s="3382">
        <v>4</v>
      </c>
      <c r="D14" s="3385">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73"/>
      <c r="B15" s="3374"/>
      <c r="C15" s="3383"/>
      <c r="D15" s="3385"/>
      <c r="E15" s="261" t="s">
        <v>317</v>
      </c>
      <c r="F15" s="262"/>
      <c r="G15" s="262"/>
      <c r="H15" s="262"/>
      <c r="I15" s="263"/>
      <c r="J15" s="2030"/>
      <c r="K15" s="2029"/>
      <c r="L15" s="2029"/>
      <c r="M15" s="2029"/>
      <c r="N15" s="2029"/>
      <c r="O15" s="2029"/>
      <c r="P15" s="2029"/>
      <c r="Q15" s="2029"/>
      <c r="R15" s="2029"/>
      <c r="S15" s="2029"/>
      <c r="T15" s="2029"/>
      <c r="U15" s="2029"/>
      <c r="V15" s="2029"/>
    </row>
    <row r="16" spans="1:22" ht="14.25">
      <c r="A16" s="3373"/>
      <c r="B16" s="3374"/>
      <c r="C16" s="3384"/>
      <c r="D16" s="3385"/>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40411</v>
      </c>
      <c r="D19" s="271">
        <f ca="1">SUMIF(INDIRECT("'"&amp;D4&amp;"'"&amp;"!A:A"),结果表!B19,INDIRECT("'"&amp;D4&amp;"'"&amp;"!B:B"))</f>
        <v>24787</v>
      </c>
      <c r="E19" s="268" t="s">
        <v>323</v>
      </c>
      <c r="F19" s="269" t="s">
        <v>322</v>
      </c>
      <c r="G19" s="272">
        <f ca="1">ROUND(C19*$C$18+D19*$D$18,0)</f>
        <v>31037</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5148</v>
      </c>
      <c r="D20" s="277">
        <f ca="1">SUMIF(INDIRECT("'"&amp;D4&amp;"'"&amp;"!A:A"),结果表!B20,INDIRECT("'"&amp;D4&amp;"'"&amp;"!B:B"))</f>
        <v>3158</v>
      </c>
      <c r="E20" s="274"/>
      <c r="F20" s="275" t="s">
        <v>325</v>
      </c>
      <c r="G20" s="278">
        <f ca="1">ROUND(C20*$C$18+D20*$D$18,0)</f>
        <v>3954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20613</v>
      </c>
      <c r="D21" s="151">
        <f ca="1">SUMIF(INDIRECT("'"&amp;D4&amp;"'"&amp;"!A:A"),结果表!B21,INDIRECT("'"&amp;D4&amp;"'"&amp;"!B:B"))</f>
        <v>12644</v>
      </c>
      <c r="E21" s="274"/>
      <c r="F21" s="280" t="s">
        <v>327</v>
      </c>
      <c r="G21" s="282">
        <f ca="1">ROUND(C21*$C$18+D21*$D$18,0)</f>
        <v>15832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0.63033041513696686</v>
      </c>
      <c r="E22" s="284"/>
      <c r="F22" s="285"/>
      <c r="G22" s="286">
        <f ca="1">ROUND(G19/('数据-汇总表'!D3/666.67),0)</f>
        <v>1055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4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88"/>
      <c r="B25" s="1321" t="s">
        <v>331</v>
      </c>
      <c r="C25" s="290">
        <f>IF(B30=0,0,C30)</f>
        <v>0</v>
      </c>
      <c r="D25" s="291"/>
      <c r="E25" s="311"/>
      <c r="F25" s="311"/>
      <c r="G25" s="311"/>
      <c r="H25" s="311"/>
      <c r="I25" s="311"/>
      <c r="J25" s="2029"/>
      <c r="K25" s="1255" t="str">
        <f ca="1">项目基本情况!B16&amp;"国有建设用地使用权价格："&amp;O38&amp;"万元"</f>
        <v>出让国有建设用地使用权价格：31037万元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大写金额：人民币叁亿壹仟零叁拾柒万元整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单位面积地价：15832元/平方米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楼面地价：3954元/平方米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2975</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31037</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3954</v>
      </c>
      <c r="D33" s="1385" t="s">
        <v>1692</v>
      </c>
      <c r="E33" s="3346"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15832</v>
      </c>
      <c r="D34" s="1387" t="s">
        <v>1692</v>
      </c>
      <c r="E34" s="3347"/>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1055</v>
      </c>
      <c r="D35" s="1390" t="s">
        <v>1694</v>
      </c>
      <c r="E35" s="3348"/>
      <c r="F35" s="301" t="s">
        <v>342</v>
      </c>
      <c r="G35" s="982"/>
      <c r="H35" s="981" t="s">
        <v>343</v>
      </c>
      <c r="I35" s="311"/>
      <c r="J35" s="2029"/>
      <c r="K35" s="3352" t="s">
        <v>350</v>
      </c>
      <c r="L35" s="3352" t="s">
        <v>351</v>
      </c>
      <c r="M35" s="1264" t="s">
        <v>352</v>
      </c>
      <c r="N35" s="3352" t="s">
        <v>353</v>
      </c>
      <c r="O35" s="3352" t="s">
        <v>354</v>
      </c>
      <c r="P35" s="2029"/>
      <c r="V35" s="2029"/>
    </row>
    <row r="36" spans="1:26" ht="16.5" customHeight="1">
      <c r="A36" s="303" t="s">
        <v>344</v>
      </c>
      <c r="B36" s="304" t="s">
        <v>333</v>
      </c>
      <c r="C36" s="305" t="s">
        <v>345</v>
      </c>
      <c r="D36" s="305" t="s">
        <v>346</v>
      </c>
      <c r="E36" s="306" t="s">
        <v>347</v>
      </c>
      <c r="F36" s="311"/>
      <c r="G36" s="311"/>
      <c r="H36" s="311"/>
      <c r="I36" s="311"/>
      <c r="J36" s="2031"/>
      <c r="K36" s="3353"/>
      <c r="L36" s="3353"/>
      <c r="M36" s="1266" t="s">
        <v>355</v>
      </c>
      <c r="N36" s="3353"/>
      <c r="O36" s="3353"/>
      <c r="P36" s="2029"/>
      <c r="V36" s="2029"/>
    </row>
    <row r="37" spans="1:26" ht="16.5" customHeight="1" thickBot="1">
      <c r="A37" s="1260" t="s">
        <v>348</v>
      </c>
      <c r="B37" s="307"/>
      <c r="C37" s="294"/>
      <c r="D37" s="294"/>
      <c r="E37" s="295"/>
      <c r="F37" s="311"/>
      <c r="G37" s="311"/>
      <c r="H37" s="311"/>
      <c r="I37" s="311"/>
      <c r="J37" s="2031"/>
      <c r="K37" s="3354"/>
      <c r="L37" s="3354"/>
      <c r="M37" s="1267"/>
      <c r="N37" s="3354"/>
      <c r="O37" s="3354"/>
      <c r="P37" s="2029"/>
      <c r="V37" s="2029"/>
    </row>
    <row r="38" spans="1:26" ht="16.5" customHeight="1" thickBot="1">
      <c r="A38" s="1260" t="s">
        <v>349</v>
      </c>
      <c r="B38" s="307"/>
      <c r="C38" s="294"/>
      <c r="D38" s="294"/>
      <c r="E38" s="295"/>
      <c r="F38" s="311"/>
      <c r="G38" s="311"/>
      <c r="H38" s="311"/>
      <c r="I38" s="311"/>
      <c r="J38" s="2031"/>
      <c r="K38" s="1268">
        <f>'数据-汇总表'!D3</f>
        <v>19604.2</v>
      </c>
      <c r="L38" s="1269">
        <f>'数据-汇总表'!E3</f>
        <v>78499.16</v>
      </c>
      <c r="M38" s="1269">
        <f ca="1">C34</f>
        <v>15832</v>
      </c>
      <c r="N38" s="1269">
        <f ca="1">C33</f>
        <v>3954</v>
      </c>
      <c r="O38" s="1270">
        <f ca="1">C32</f>
        <v>31037</v>
      </c>
      <c r="P38" s="2029"/>
      <c r="V38" s="2029"/>
    </row>
    <row r="39" spans="1:26" ht="16.5" customHeight="1" thickBot="1">
      <c r="A39" s="1265"/>
      <c r="B39" s="308"/>
      <c r="C39" s="309"/>
      <c r="D39" s="309"/>
      <c r="E39" s="310"/>
      <c r="F39" s="311"/>
      <c r="G39" s="311"/>
      <c r="H39" s="311"/>
      <c r="I39" s="311"/>
      <c r="J39" s="2031"/>
      <c r="K39" s="3329" t="str">
        <f>MID(A44,3,LEN(A44)-2)</f>
        <v/>
      </c>
      <c r="L39" s="3330"/>
      <c r="M39" s="3330"/>
      <c r="N39" s="3331"/>
      <c r="O39" s="1392" t="str">
        <f>C44</f>
        <v>——</v>
      </c>
      <c r="P39" s="2029"/>
      <c r="V39" s="2029"/>
    </row>
    <row r="40" spans="1:26" ht="19.5" thickBot="1">
      <c r="A40" s="104" t="s">
        <v>873</v>
      </c>
      <c r="B40" s="311"/>
      <c r="C40" s="311"/>
      <c r="D40" s="311"/>
      <c r="E40" s="311"/>
      <c r="F40" s="311"/>
      <c r="G40" s="311"/>
      <c r="H40" s="311"/>
      <c r="I40" s="311"/>
      <c r="J40" s="2031"/>
      <c r="K40" s="3329" t="str">
        <f t="shared" ref="K40:K41" si="0">MID(A45,3,LEN(A45)-2)</f>
        <v/>
      </c>
      <c r="L40" s="3330"/>
      <c r="M40" s="3330"/>
      <c r="N40" s="3331"/>
      <c r="O40" s="1392" t="str">
        <f>C45</f>
        <v>——</v>
      </c>
      <c r="P40" s="2029"/>
      <c r="V40" s="2029"/>
    </row>
    <row r="41" spans="1:26" ht="16.5" thickBot="1">
      <c r="A41" s="312" t="s">
        <v>356</v>
      </c>
      <c r="B41" s="313"/>
      <c r="C41" s="314" t="s">
        <v>357</v>
      </c>
      <c r="D41" s="315" t="s">
        <v>358</v>
      </c>
      <c r="E41" s="315" t="s">
        <v>359</v>
      </c>
      <c r="F41" s="316" t="s">
        <v>360</v>
      </c>
      <c r="G41" s="311"/>
      <c r="H41" s="311"/>
      <c r="I41" s="311"/>
      <c r="J41" s="2031"/>
      <c r="K41" s="3329" t="str">
        <f t="shared" si="0"/>
        <v/>
      </c>
      <c r="L41" s="3330"/>
      <c r="M41" s="3330"/>
      <c r="N41" s="3331"/>
      <c r="O41" s="1392" t="str">
        <f>C46</f>
        <v>——</v>
      </c>
      <c r="P41" s="2029"/>
      <c r="V41" s="2029"/>
    </row>
    <row r="42" spans="1:26" ht="29.25">
      <c r="A42" s="3389" t="s">
        <v>2070</v>
      </c>
      <c r="B42" s="3390"/>
      <c r="C42" s="264">
        <f ca="1">C32</f>
        <v>31037</v>
      </c>
      <c r="D42" s="317">
        <f ca="1">C33</f>
        <v>3954</v>
      </c>
      <c r="E42" s="317">
        <f ca="1">C34</f>
        <v>15832</v>
      </c>
      <c r="F42" s="318">
        <f ca="1">C35</f>
        <v>1055</v>
      </c>
      <c r="G42" s="311"/>
      <c r="H42" s="311"/>
      <c r="I42" s="319"/>
      <c r="J42" s="2031"/>
      <c r="K42" s="1271" t="s">
        <v>361</v>
      </c>
      <c r="L42" s="2048" t="s">
        <v>362</v>
      </c>
      <c r="M42" s="1272" t="s">
        <v>363</v>
      </c>
      <c r="N42" s="2049" t="s">
        <v>364</v>
      </c>
      <c r="O42" s="2050" t="s">
        <v>365</v>
      </c>
      <c r="P42" s="2029"/>
      <c r="V42" s="2029"/>
    </row>
    <row r="43" spans="1:26" ht="30">
      <c r="A43" s="3399" t="s">
        <v>2733</v>
      </c>
      <c r="B43" s="3400"/>
      <c r="C43" s="264">
        <f>IF(H33="正常操作",G33+G34+G35,G34+G35)</f>
        <v>0</v>
      </c>
      <c r="D43" s="317" t="s">
        <v>43</v>
      </c>
      <c r="E43" s="317" t="s">
        <v>44</v>
      </c>
      <c r="F43" s="318" t="s">
        <v>44</v>
      </c>
      <c r="G43" s="2867" t="s">
        <v>952</v>
      </c>
      <c r="H43" s="311"/>
      <c r="I43" s="319"/>
      <c r="J43" s="2031"/>
      <c r="K43" s="1273" t="str">
        <f>C4</f>
        <v>剩余法-待开发</v>
      </c>
      <c r="L43" s="1274">
        <f ca="1">IF(L42="估价结果/万元",C19,C20)</f>
        <v>40411</v>
      </c>
      <c r="M43" s="1275">
        <f>C18</f>
        <v>0.4</v>
      </c>
      <c r="N43" s="1276">
        <f ca="1">IF(N42="测算结果/万元",G19,G20)</f>
        <v>31037</v>
      </c>
      <c r="O43" s="1277">
        <f ca="1">IF(O42="最终结果/万元",C32,C33)</f>
        <v>31037</v>
      </c>
      <c r="P43" s="2029"/>
      <c r="V43" s="2029"/>
    </row>
    <row r="44" spans="1:26" ht="30.75" thickBot="1">
      <c r="A44" s="3389" t="str">
        <f>IF(OR(项目基本情况!E8="抵押价格",项目基本情况!E8="已注销及未注销"),"3.抵押价格","——")</f>
        <v>——</v>
      </c>
      <c r="B44" s="339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比较法-住宅、综合</v>
      </c>
      <c r="L44" s="1279">
        <f ca="1">IF(L42="估价结果/万元",D19,D20)</f>
        <v>24787</v>
      </c>
      <c r="M44" s="1280">
        <f>D18</f>
        <v>0.6</v>
      </c>
      <c r="N44" s="1281"/>
      <c r="O44" s="1282"/>
      <c r="P44" s="2029"/>
      <c r="V44" s="2029"/>
    </row>
    <row r="45" spans="1:26" ht="15">
      <c r="A45" s="3394" t="str">
        <f>IF(项目基本情况!E8="已注销及未注销","4.抵押担保权已注销时的抵押价格",IF(项目基本情况!E8="已注销","3.抵押担保权已注销时的抵押价格","——"))</f>
        <v>——</v>
      </c>
      <c r="B45" s="339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91" t="str">
        <f>IF(项目基本情况!E9="抵押净值",IF(A45="——","4.抵押净值","5.抵押净值"),"——")</f>
        <v>——</v>
      </c>
      <c r="B46" s="339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7" t="s">
        <v>374</v>
      </c>
      <c r="B63" s="3358"/>
      <c r="C63" s="3359"/>
      <c r="D63" s="341">
        <f ca="1">ROUND(C42*F63,0)</f>
        <v>18622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96" t="s">
        <v>378</v>
      </c>
      <c r="B64" s="3397"/>
      <c r="C64" s="3397"/>
      <c r="D64" s="3397"/>
      <c r="E64" s="3397"/>
      <c r="F64" s="3397"/>
      <c r="G64" s="3398"/>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93" t="s">
        <v>386</v>
      </c>
      <c r="B66" s="3364"/>
      <c r="C66" s="3364"/>
      <c r="D66" s="261">
        <f ca="1">IF(H66="情况1",0,IF(H66="情况2",D70,IF(H66="情况3",D71,IF(H66="情况4",D72))))</f>
        <v>993</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33" t="s">
        <v>385</v>
      </c>
      <c r="M66" s="3334"/>
      <c r="N66" s="2459"/>
      <c r="O66" s="2460"/>
      <c r="P66" s="2461"/>
      <c r="Q66" s="2029"/>
      <c r="R66" s="2029"/>
      <c r="S66" s="2029"/>
      <c r="T66" s="2029"/>
      <c r="U66" s="2029"/>
      <c r="V66" s="2029"/>
    </row>
    <row r="67" spans="1:22" ht="25.5" customHeight="1">
      <c r="A67" s="352" t="s">
        <v>390</v>
      </c>
      <c r="B67" s="3376" t="s">
        <v>391</v>
      </c>
      <c r="C67" s="3376"/>
      <c r="D67" s="353">
        <v>0</v>
      </c>
      <c r="E67" s="41" t="s">
        <v>392</v>
      </c>
      <c r="F67" s="62" t="s">
        <v>21</v>
      </c>
      <c r="G67" s="3360"/>
      <c r="H67" s="311"/>
      <c r="I67" s="1292"/>
      <c r="J67" s="2036"/>
      <c r="K67" s="1977">
        <v>2</v>
      </c>
      <c r="L67" s="3332" t="s">
        <v>389</v>
      </c>
      <c r="M67" s="3332"/>
      <c r="N67" s="1325">
        <f>'数据-取费表'!B2</f>
        <v>43362</v>
      </c>
      <c r="O67" s="1325"/>
      <c r="P67" s="1325"/>
      <c r="Q67" s="2029"/>
      <c r="R67" s="2029"/>
      <c r="S67" s="2029"/>
      <c r="T67" s="2029"/>
      <c r="U67" s="2029"/>
      <c r="V67" s="2029"/>
    </row>
    <row r="68" spans="1:22" ht="25.5" customHeight="1">
      <c r="A68" s="354"/>
      <c r="B68" s="3376" t="s">
        <v>394</v>
      </c>
      <c r="C68" s="3376"/>
      <c r="D68" s="355"/>
      <c r="E68" s="77"/>
      <c r="F68" s="356"/>
      <c r="G68" s="3361"/>
      <c r="H68" s="311"/>
      <c r="I68" s="1292"/>
      <c r="J68" s="2036"/>
      <c r="K68" s="1977">
        <v>3</v>
      </c>
      <c r="L68" s="3332" t="s">
        <v>393</v>
      </c>
      <c r="M68" s="3332"/>
      <c r="N68" s="1293">
        <f ca="1">C42</f>
        <v>31037</v>
      </c>
      <c r="O68" s="1293"/>
      <c r="P68" s="1293"/>
      <c r="Q68" s="2029"/>
      <c r="R68" s="2029"/>
      <c r="S68" s="2029"/>
      <c r="T68" s="2029"/>
      <c r="U68" s="2029"/>
      <c r="V68" s="2029"/>
    </row>
    <row r="69" spans="1:22" ht="12" customHeight="1">
      <c r="A69" s="357"/>
      <c r="B69" s="3376" t="s">
        <v>395</v>
      </c>
      <c r="C69" s="3376"/>
      <c r="D69" s="358"/>
      <c r="E69" s="73"/>
      <c r="F69" s="356"/>
      <c r="G69" s="3362"/>
      <c r="H69" s="311"/>
      <c r="I69" s="1292"/>
      <c r="J69" s="2036"/>
      <c r="K69" s="1294">
        <v>4</v>
      </c>
      <c r="L69" s="3338" t="s">
        <v>2886</v>
      </c>
      <c r="M69" s="3339"/>
      <c r="N69" s="1295" t="str">
        <f>C44</f>
        <v>——</v>
      </c>
      <c r="O69" s="1295"/>
      <c r="P69" s="1295"/>
      <c r="Q69" s="2029"/>
      <c r="R69" s="2029"/>
      <c r="S69" s="2029"/>
      <c r="T69" s="2029"/>
      <c r="U69" s="2029"/>
      <c r="V69" s="2029"/>
    </row>
    <row r="70" spans="1:22" ht="24" customHeight="1">
      <c r="A70" s="359" t="s">
        <v>396</v>
      </c>
      <c r="B70" s="3376" t="s">
        <v>397</v>
      </c>
      <c r="C70" s="3376"/>
      <c r="D70" s="358">
        <f ca="1">ROUND(D63*'数据-取费表'!B41/(1+'数据-取费表'!C42),0)</f>
        <v>993</v>
      </c>
      <c r="E70" s="17" t="s">
        <v>398</v>
      </c>
      <c r="F70" s="360">
        <f>'数据-取费表'!B41</f>
        <v>5.6000000000000001E-2</v>
      </c>
      <c r="G70" s="361"/>
      <c r="H70" s="311"/>
      <c r="I70" s="1292"/>
      <c r="J70" s="2036"/>
      <c r="K70" s="3063"/>
      <c r="L70" s="3064"/>
      <c r="M70" s="3064"/>
      <c r="N70" s="3065" t="s">
        <v>2891</v>
      </c>
      <c r="O70" s="3064"/>
      <c r="P70" s="3066"/>
      <c r="Q70" s="2029"/>
      <c r="R70" s="2029"/>
      <c r="S70" s="2029"/>
      <c r="T70" s="2029"/>
      <c r="U70" s="2029"/>
      <c r="V70" s="2029"/>
    </row>
    <row r="71" spans="1:22" ht="12" customHeight="1">
      <c r="A71" s="359" t="s">
        <v>404</v>
      </c>
      <c r="B71" s="3375" t="s">
        <v>405</v>
      </c>
      <c r="C71" s="3387"/>
      <c r="D71" s="358">
        <f ca="1">ROUND(D63*'数据-取费表'!B41/(1+'数据-取费表'!C42),0)</f>
        <v>993</v>
      </c>
      <c r="E71" s="17" t="s">
        <v>398</v>
      </c>
      <c r="F71" s="360">
        <f>'数据-取费表'!B41</f>
        <v>5.6000000000000001E-2</v>
      </c>
      <c r="G71" s="361"/>
      <c r="H71" s="311"/>
      <c r="I71" s="1292"/>
      <c r="J71" s="2036"/>
      <c r="K71" s="3062" t="s">
        <v>399</v>
      </c>
      <c r="L71" s="3340" t="s">
        <v>400</v>
      </c>
      <c r="M71" s="3340"/>
      <c r="N71" s="3062" t="s">
        <v>401</v>
      </c>
      <c r="O71" s="3062" t="s">
        <v>402</v>
      </c>
      <c r="P71" s="3062" t="s">
        <v>403</v>
      </c>
      <c r="Q71" s="2029"/>
      <c r="R71" s="2029"/>
      <c r="S71" s="2029"/>
      <c r="T71" s="2029"/>
      <c r="U71" s="2029"/>
      <c r="V71" s="2029"/>
    </row>
    <row r="72" spans="1:22" ht="12" customHeight="1">
      <c r="A72" s="359" t="s">
        <v>407</v>
      </c>
      <c r="B72" s="3375" t="s">
        <v>408</v>
      </c>
      <c r="C72" s="3387"/>
      <c r="D72" s="358">
        <f ca="1">C86</f>
        <v>881</v>
      </c>
      <c r="E72" s="73" t="s">
        <v>409</v>
      </c>
      <c r="F72" s="360">
        <f>'数据-取费表'!B41</f>
        <v>5.6000000000000001E-2</v>
      </c>
      <c r="G72" s="361"/>
      <c r="H72" s="1298"/>
      <c r="I72" s="1292"/>
      <c r="J72" s="2036"/>
      <c r="K72" s="1977">
        <v>1</v>
      </c>
      <c r="L72" s="3337" t="s">
        <v>406</v>
      </c>
      <c r="M72" s="3337"/>
      <c r="N72" s="1296">
        <f ca="1">D66</f>
        <v>993</v>
      </c>
      <c r="O72" s="1860" t="str">
        <f>E66</f>
        <v>销售额×税（费）率</v>
      </c>
      <c r="P72" s="1297">
        <f>F66</f>
        <v>5.6000000000000001E-2</v>
      </c>
      <c r="Q72" s="2029"/>
      <c r="R72" s="2029"/>
      <c r="S72" s="2029"/>
      <c r="T72" s="2029"/>
      <c r="U72" s="2029"/>
      <c r="V72" s="2029"/>
    </row>
    <row r="73" spans="1:22" ht="24" customHeight="1">
      <c r="A73" s="3363" t="s">
        <v>411</v>
      </c>
      <c r="B73" s="3364"/>
      <c r="C73" s="3364"/>
      <c r="D73" s="362">
        <f>IF(H73="个人住宅",0,ROUND(D63*I73,0))</f>
        <v>0</v>
      </c>
      <c r="E73" s="17" t="s">
        <v>412</v>
      </c>
      <c r="F73" s="360" t="str">
        <f>IF(H73="正常",I73,"免征")</f>
        <v>免征</v>
      </c>
      <c r="G73" s="361"/>
      <c r="H73" s="191" t="s">
        <v>2458</v>
      </c>
      <c r="I73" s="360">
        <f>'数据-取费表'!B49</f>
        <v>5.0000000000000001E-4</v>
      </c>
      <c r="J73" s="2036"/>
      <c r="K73" s="1977">
        <v>2</v>
      </c>
      <c r="L73" s="3337" t="s">
        <v>410</v>
      </c>
      <c r="M73" s="3337"/>
      <c r="N73" s="1296">
        <f t="shared" ref="N73:P74" si="1">D73</f>
        <v>0</v>
      </c>
      <c r="O73" s="1860" t="str">
        <f t="shared" si="1"/>
        <v>销售额×税（费）率</v>
      </c>
      <c r="P73" s="1297" t="str">
        <f t="shared" si="1"/>
        <v>免征</v>
      </c>
      <c r="Q73" s="2029"/>
      <c r="R73" s="2029"/>
      <c r="S73" s="2029"/>
      <c r="T73" s="2029"/>
      <c r="U73" s="2029"/>
      <c r="V73" s="2029"/>
    </row>
    <row r="74" spans="1:22" ht="24.75">
      <c r="A74" s="3363" t="s">
        <v>415</v>
      </c>
      <c r="B74" s="3364"/>
      <c r="C74" s="3364"/>
      <c r="D74" s="362">
        <f ca="1">IF(H74="个人住宅",D75,D76)</f>
        <v>9885</v>
      </c>
      <c r="E74" s="17" t="s">
        <v>416</v>
      </c>
      <c r="F74" s="360" t="str">
        <f>IF(H74="正常",F76,"免征")</f>
        <v>——</v>
      </c>
      <c r="G74" s="983" t="s">
        <v>417</v>
      </c>
      <c r="H74" s="363" t="s">
        <v>413</v>
      </c>
      <c r="I74" s="42"/>
      <c r="J74" s="2036"/>
      <c r="K74" s="1977">
        <v>3</v>
      </c>
      <c r="L74" s="3337" t="s">
        <v>414</v>
      </c>
      <c r="M74" s="3337"/>
      <c r="N74" s="1296">
        <f t="shared" ca="1" si="1"/>
        <v>9885</v>
      </c>
      <c r="O74" s="1860" t="str">
        <f t="shared" si="1"/>
        <v>增值额×税（费）率</v>
      </c>
      <c r="P74" s="1299" t="str">
        <f t="shared" si="1"/>
        <v>——</v>
      </c>
      <c r="Q74" s="2029"/>
      <c r="R74" s="2029"/>
      <c r="S74" s="2029"/>
      <c r="T74" s="2029"/>
      <c r="U74" s="2029"/>
      <c r="V74" s="2029"/>
    </row>
    <row r="75" spans="1:22" ht="24">
      <c r="A75" s="359" t="s">
        <v>418</v>
      </c>
      <c r="B75" s="3344" t="s">
        <v>419</v>
      </c>
      <c r="C75" s="3345"/>
      <c r="D75" s="364">
        <v>0</v>
      </c>
      <c r="E75" s="41" t="s">
        <v>420</v>
      </c>
      <c r="F75" s="365"/>
      <c r="G75" s="361"/>
      <c r="H75" s="42"/>
      <c r="I75" s="42"/>
      <c r="J75" s="2036"/>
      <c r="K75" s="3055">
        <f>IF(H77="非个人房产","",4)</f>
        <v>4</v>
      </c>
      <c r="L75" s="3337" t="str">
        <f>IF(H77="非个人房产","——","个人所得税")</f>
        <v>个人所得税</v>
      </c>
      <c r="M75" s="3337"/>
      <c r="N75" s="1300">
        <f ca="1">D77</f>
        <v>186</v>
      </c>
      <c r="O75" s="1873" t="str">
        <f>E77</f>
        <v>销售额×税（费）率</v>
      </c>
      <c r="P75" s="1301">
        <f>F77</f>
        <v>0.01</v>
      </c>
      <c r="Q75" s="2029"/>
      <c r="R75" s="2029"/>
      <c r="S75" s="2029"/>
      <c r="T75" s="2029"/>
      <c r="U75" s="2029"/>
      <c r="V75" s="2029"/>
    </row>
    <row r="76" spans="1:22" ht="24.75">
      <c r="A76" s="359" t="s">
        <v>396</v>
      </c>
      <c r="B76" s="3344" t="s">
        <v>422</v>
      </c>
      <c r="C76" s="3386"/>
      <c r="D76" s="362">
        <f ca="1">IF(H76="转让取得",C99,C115)</f>
        <v>9885</v>
      </c>
      <c r="E76" s="17" t="s">
        <v>423</v>
      </c>
      <c r="F76" s="53" t="s">
        <v>21</v>
      </c>
      <c r="G76" s="361"/>
      <c r="H76" s="363" t="s">
        <v>424</v>
      </c>
      <c r="I76" s="42"/>
      <c r="J76" s="2036"/>
      <c r="K76" s="3055" t="str">
        <f>IF(项目基本情况!K6="上海银行",IF(K75="",4,K75+1),"")</f>
        <v/>
      </c>
      <c r="L76" s="3325" t="str">
        <f>IF(项目基本情况!K6="上海银行","其他处置费用","")</f>
        <v/>
      </c>
      <c r="M76" s="3326"/>
      <c r="N76" s="1296" t="str">
        <f>IF(项目基本情况!K6="上海银行",N89,"")</f>
        <v/>
      </c>
      <c r="O76" s="3327" t="str">
        <f>IF(项目基本情况!K6="上海银行","包含处置中涉及的律师、诉讼、拍卖、评估等费用","")</f>
        <v/>
      </c>
      <c r="P76" s="3328"/>
      <c r="Q76" s="2029"/>
      <c r="R76" s="2029"/>
      <c r="S76" s="2029"/>
      <c r="T76" s="2029"/>
      <c r="U76" s="2029"/>
      <c r="V76" s="2029"/>
    </row>
    <row r="77" spans="1:22" ht="26.25" thickBot="1">
      <c r="A77" s="3355" t="s">
        <v>426</v>
      </c>
      <c r="B77" s="3356"/>
      <c r="C77" s="3356"/>
      <c r="D77" s="366">
        <f ca="1">IF(H77="非个人房产","——",IF(H77="个人住宅",0,ROUND(D63*I77,0)))</f>
        <v>186</v>
      </c>
      <c r="E77" s="367" t="str">
        <f>IF(H77="非个人房产","——","销售额×税（费）率")</f>
        <v>销售额×税（费）率</v>
      </c>
      <c r="F77" s="368">
        <f>IF(H77="非个人房产","——",IF(H77="个人住宅","免征",I77))</f>
        <v>0.01</v>
      </c>
      <c r="G77" s="984" t="s">
        <v>417</v>
      </c>
      <c r="H77" s="363" t="s">
        <v>2887</v>
      </c>
      <c r="I77" s="369">
        <v>0.01</v>
      </c>
      <c r="J77" s="2036"/>
      <c r="K77" s="3351">
        <f>IF(AND(K75="",K76=""),4,IF(项目基本情况!K6="上海银行",K76+1,K75+1))</f>
        <v>5</v>
      </c>
      <c r="L77" s="3337" t="s">
        <v>2888</v>
      </c>
      <c r="M77" s="3061" t="s">
        <v>421</v>
      </c>
      <c r="N77" s="1302"/>
      <c r="O77" s="1303">
        <f ca="1">SUMIF(N72:N76,"&lt;9e307")</f>
        <v>11064</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351"/>
      <c r="L78" s="3337"/>
      <c r="M78" s="3061" t="s">
        <v>425</v>
      </c>
      <c r="N78" s="1302"/>
      <c r="O78" s="1303" t="str">
        <f ca="1">NUMBERSTRING(INT(O77*10000),2)&amp;"元整"</f>
        <v>壹亿壹仟零陆拾肆万元整</v>
      </c>
      <c r="P78" s="1304"/>
      <c r="Q78" s="2029"/>
      <c r="R78" s="2029"/>
      <c r="S78" s="2029"/>
      <c r="T78" s="2029"/>
      <c r="U78" s="2029"/>
      <c r="V78" s="2029"/>
    </row>
    <row r="79" spans="1:22" ht="13.5" thickBot="1">
      <c r="A79" s="3341" t="s">
        <v>427</v>
      </c>
      <c r="B79" s="3341"/>
      <c r="C79" s="3341"/>
      <c r="D79" s="3341"/>
      <c r="E79" s="3341"/>
      <c r="F79" s="42"/>
      <c r="G79" s="42"/>
      <c r="H79" s="1003"/>
      <c r="I79" s="311"/>
      <c r="J79" s="2036"/>
      <c r="K79" s="3335">
        <f>K77+1</f>
        <v>6</v>
      </c>
      <c r="L79" s="3337" t="s">
        <v>2889</v>
      </c>
      <c r="M79" s="3061" t="s">
        <v>421</v>
      </c>
      <c r="N79" s="1302"/>
      <c r="O79" s="1303" t="e">
        <f ca="1">N69-O77</f>
        <v>#VALUE!</v>
      </c>
      <c r="P79" s="1304"/>
      <c r="Q79" s="2029"/>
      <c r="R79" s="2029"/>
      <c r="S79" s="2029"/>
      <c r="T79" s="2029"/>
      <c r="U79" s="2029"/>
      <c r="V79" s="2029"/>
    </row>
    <row r="80" spans="1:22" ht="12.75">
      <c r="A80" s="3342" t="s">
        <v>428</v>
      </c>
      <c r="B80" s="3343"/>
      <c r="C80" s="994"/>
      <c r="D80" s="994" t="s">
        <v>429</v>
      </c>
      <c r="E80" s="370" t="s">
        <v>430</v>
      </c>
      <c r="F80" s="42"/>
      <c r="G80" s="42"/>
      <c r="H80" s="1003"/>
      <c r="I80" s="311"/>
      <c r="J80" s="2029"/>
      <c r="K80" s="3336"/>
      <c r="L80" s="3337"/>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17735</v>
      </c>
      <c r="D81" s="373"/>
      <c r="E81" s="374"/>
      <c r="F81" s="42"/>
      <c r="G81" s="42"/>
      <c r="H81" s="1003"/>
      <c r="I81" s="311"/>
      <c r="J81" s="2029"/>
      <c r="K81" s="3055">
        <f>K79+1</f>
        <v>7</v>
      </c>
      <c r="L81" s="3349" t="s">
        <v>2890</v>
      </c>
      <c r="M81" s="3350"/>
      <c r="N81" s="1306"/>
      <c r="O81" s="1307" t="e">
        <f ca="1">ROUND(O79*10000/'数据-汇总表'!E3,0)</f>
        <v>#VALUE!</v>
      </c>
      <c r="P81" s="1308"/>
      <c r="Q81" s="2029"/>
      <c r="R81" s="2029"/>
      <c r="S81" s="2029"/>
      <c r="T81" s="2029"/>
      <c r="U81" s="2029"/>
      <c r="V81" s="2029"/>
    </row>
    <row r="82" spans="1:26" ht="13.5" thickTop="1">
      <c r="A82" s="375" t="s">
        <v>1825</v>
      </c>
      <c r="B82" s="376" t="s">
        <v>432</v>
      </c>
      <c r="C82" s="377">
        <f ca="1">D63</f>
        <v>18622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24" t="s">
        <v>2877</v>
      </c>
      <c r="L83" s="3067" t="s">
        <v>2878</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2947</v>
      </c>
      <c r="F84" s="42"/>
      <c r="G84" s="42"/>
      <c r="H84" s="1003"/>
      <c r="I84" s="311"/>
      <c r="J84" s="2029"/>
      <c r="K84" s="3324"/>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2880</v>
      </c>
      <c r="P84" s="2029"/>
      <c r="Q84" s="2029"/>
      <c r="R84" s="2029"/>
      <c r="S84" s="2029"/>
      <c r="T84" s="2029"/>
      <c r="U84" s="2029"/>
      <c r="V84" s="2029"/>
    </row>
    <row r="85" spans="1:26" ht="12.75">
      <c r="A85" s="381" t="s">
        <v>1828</v>
      </c>
      <c r="B85" s="382" t="s">
        <v>435</v>
      </c>
      <c r="C85" s="385">
        <f ca="1">C81-C84</f>
        <v>15735</v>
      </c>
      <c r="D85" s="378" t="s">
        <v>19</v>
      </c>
      <c r="E85" s="379"/>
      <c r="F85" s="42"/>
      <c r="G85" s="42"/>
      <c r="H85" s="1003"/>
      <c r="I85" s="311"/>
      <c r="J85" s="2029"/>
      <c r="K85" s="3324"/>
      <c r="L85" s="3067" t="s">
        <v>2881</v>
      </c>
      <c r="M85" s="3057" t="e">
        <f>IF(N69&gt;1000,N69*0.1%,IF(AND(N69&gt;500,N69&lt;=1000),N69*0.5%,IF(AND(N69&gt;50,N69&lt;=500),N69*1%,IF(AND(N69&gt;1,N69&lt;=50),N69*1.5%))))</f>
        <v>#VALUE!</v>
      </c>
      <c r="N85" s="53" t="e">
        <f t="shared" si="2"/>
        <v>#VALUE!</v>
      </c>
      <c r="O85" s="2029" t="s">
        <v>2880</v>
      </c>
      <c r="P85" s="2029"/>
      <c r="Q85" s="2029"/>
      <c r="R85" s="2029"/>
      <c r="S85" s="2029"/>
      <c r="T85" s="2029"/>
      <c r="U85" s="2029"/>
      <c r="V85" s="2029"/>
    </row>
    <row r="86" spans="1:26" ht="13.5" thickBot="1">
      <c r="A86" s="386" t="s">
        <v>1829</v>
      </c>
      <c r="B86" s="387" t="s">
        <v>436</v>
      </c>
      <c r="C86" s="388">
        <f ca="1">IF(C85&lt;=0,0,ROUND(C85*D86,0))</f>
        <v>881</v>
      </c>
      <c r="D86" s="389">
        <f>'数据-取费表'!B41</f>
        <v>5.6000000000000001E-2</v>
      </c>
      <c r="E86" s="390"/>
      <c r="F86" s="42"/>
      <c r="G86" s="42"/>
      <c r="H86" s="1003"/>
      <c r="I86" s="311"/>
      <c r="J86" s="2029"/>
      <c r="K86" s="3324"/>
      <c r="L86" s="3067" t="s">
        <v>2882</v>
      </c>
      <c r="M86" s="3057" t="e">
        <f>N69*0.5%</f>
        <v>#VALUE!</v>
      </c>
      <c r="N86" s="53" t="e">
        <f>IF(M86&gt;0.5,0.5,ROUND(M86,0))</f>
        <v>#VALUE!</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24"/>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378" t="s">
        <v>437</v>
      </c>
      <c r="B88" s="3379"/>
      <c r="C88" s="3379"/>
      <c r="D88" s="3379"/>
      <c r="E88" s="3379"/>
      <c r="F88" s="3379"/>
      <c r="G88" s="3379"/>
      <c r="H88" s="3379"/>
      <c r="I88" s="1315"/>
      <c r="J88" s="2037"/>
      <c r="K88" s="3324"/>
      <c r="L88" s="3067" t="s">
        <v>2885</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42" t="s">
        <v>428</v>
      </c>
      <c r="B89" s="3343"/>
      <c r="C89" s="994"/>
      <c r="D89" s="994" t="s">
        <v>429</v>
      </c>
      <c r="E89" s="391" t="s">
        <v>438</v>
      </c>
      <c r="F89" s="392"/>
      <c r="G89" s="392"/>
      <c r="H89" s="393"/>
      <c r="I89" s="1316"/>
      <c r="J89" s="2039"/>
      <c r="K89" s="3324"/>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17735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2667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75" t="s">
        <v>447</v>
      </c>
      <c r="F94" s="3376"/>
      <c r="G94" s="3376"/>
      <c r="H94" s="337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106</v>
      </c>
      <c r="D96" s="406">
        <f>'数据-取费表'!B43</f>
        <v>6.000000000000001E-3</v>
      </c>
      <c r="E96" s="3365" t="s">
        <v>2431</v>
      </c>
      <c r="F96" s="3366"/>
      <c r="G96" s="3366"/>
      <c r="H96" s="336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15068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5.6497937757780274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8107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78" t="s">
        <v>454</v>
      </c>
      <c r="B101" s="3379"/>
      <c r="C101" s="3379"/>
      <c r="D101" s="3379"/>
      <c r="E101" s="3379"/>
      <c r="F101" s="3379"/>
      <c r="G101" s="3379"/>
      <c r="H101" s="3379"/>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2" t="s">
        <v>428</v>
      </c>
      <c r="B102" s="334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17735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68" t="s">
        <v>462</v>
      </c>
      <c r="F109" s="3366"/>
      <c r="G109" s="3366"/>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68" t="s">
        <v>464</v>
      </c>
      <c r="F110" s="3366"/>
      <c r="G110" s="3366"/>
      <c r="H110" s="336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106</v>
      </c>
      <c r="D111" s="406">
        <f>'数据-取费表'!B43</f>
        <v>6.000000000000001E-3</v>
      </c>
      <c r="E111" s="3365" t="s">
        <v>2431</v>
      </c>
      <c r="F111" s="3366"/>
      <c r="G111" s="3366"/>
      <c r="H111" s="336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68" t="s">
        <v>2456</v>
      </c>
      <c r="F112" s="3366"/>
      <c r="G112" s="3366"/>
      <c r="H112" s="336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16939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21.280150753768844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9885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24787</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3158</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12644</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843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23" t="s">
        <v>522</v>
      </c>
      <c r="D6" s="3424"/>
      <c r="E6" s="3423" t="s">
        <v>523</v>
      </c>
      <c r="F6" s="3424"/>
      <c r="G6" s="3423" t="s">
        <v>524</v>
      </c>
      <c r="H6" s="3424"/>
      <c r="I6" s="3423" t="s">
        <v>525</v>
      </c>
      <c r="J6" s="3424"/>
      <c r="K6" s="514" t="s">
        <v>526</v>
      </c>
      <c r="L6" s="2134"/>
      <c r="M6" s="2133"/>
      <c r="N6" s="2133"/>
      <c r="O6" s="2135"/>
      <c r="P6" s="3425" t="s">
        <v>527</v>
      </c>
      <c r="Q6" s="3426"/>
      <c r="R6" s="3411" t="s">
        <v>523</v>
      </c>
      <c r="S6" s="3412"/>
      <c r="T6" s="3411" t="s">
        <v>524</v>
      </c>
      <c r="U6" s="3412"/>
      <c r="V6" s="3431" t="s">
        <v>525</v>
      </c>
      <c r="W6" s="3431"/>
      <c r="X6" s="1567"/>
      <c r="Y6" s="3411" t="s">
        <v>527</v>
      </c>
      <c r="Z6" s="3412"/>
      <c r="AA6" s="3406" t="s">
        <v>523</v>
      </c>
      <c r="AB6" s="3407" t="s">
        <v>524</v>
      </c>
      <c r="AC6" s="3406" t="s">
        <v>525</v>
      </c>
    </row>
    <row r="7" spans="1:30" ht="20.25">
      <c r="A7" s="515"/>
      <c r="B7" s="516"/>
      <c r="C7" s="3434" t="s">
        <v>2934</v>
      </c>
      <c r="D7" s="3435"/>
      <c r="E7" s="3434" t="str">
        <f>Sheet1!A11</f>
        <v>白云区龚家寨</v>
      </c>
      <c r="F7" s="3435"/>
      <c r="G7" s="3434" t="str">
        <f>Sheet1!A12</f>
        <v>白云区龚家寨</v>
      </c>
      <c r="H7" s="3435"/>
      <c r="I7" s="3434" t="str">
        <f>Sheet1!A10</f>
        <v>白云区龚家寨</v>
      </c>
      <c r="J7" s="3435"/>
      <c r="K7" s="514"/>
      <c r="L7" s="2134"/>
      <c r="M7" s="2133"/>
      <c r="N7" s="2133"/>
      <c r="O7" s="2135"/>
      <c r="P7" s="3427"/>
      <c r="Q7" s="3428"/>
      <c r="R7" s="3413"/>
      <c r="S7" s="3414"/>
      <c r="T7" s="3413"/>
      <c r="U7" s="3414"/>
      <c r="V7" s="3431"/>
      <c r="W7" s="3431"/>
      <c r="X7" s="1567"/>
      <c r="Y7" s="3413"/>
      <c r="Z7" s="3414"/>
      <c r="AA7" s="3407"/>
      <c r="AB7" s="3407"/>
      <c r="AC7" s="3407"/>
    </row>
    <row r="8" spans="1:30" ht="21" thickBot="1">
      <c r="A8" s="515"/>
      <c r="B8" s="516"/>
      <c r="C8" s="3436" t="s">
        <v>2938</v>
      </c>
      <c r="D8" s="3437"/>
      <c r="E8" s="3436" t="s">
        <v>2938</v>
      </c>
      <c r="F8" s="3437"/>
      <c r="G8" s="3432" t="s">
        <v>2938</v>
      </c>
      <c r="H8" s="3433"/>
      <c r="I8" s="3432" t="s">
        <v>2938</v>
      </c>
      <c r="J8" s="3433"/>
      <c r="K8" s="514" t="s">
        <v>528</v>
      </c>
      <c r="L8" s="2134"/>
      <c r="M8" s="2133"/>
      <c r="N8" s="2133"/>
      <c r="O8" s="2135"/>
      <c r="P8" s="3429"/>
      <c r="Q8" s="3430"/>
      <c r="R8" s="3413"/>
      <c r="S8" s="3414"/>
      <c r="T8" s="3415"/>
      <c r="U8" s="3416"/>
      <c r="V8" s="3431"/>
      <c r="W8" s="3431"/>
      <c r="X8" s="1567"/>
      <c r="Y8" s="3415"/>
      <c r="Z8" s="3416"/>
      <c r="AA8" s="3408"/>
      <c r="AB8" s="3408"/>
      <c r="AC8" s="3408"/>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6"/>
      <c r="M9" s="2133"/>
      <c r="N9" s="2133"/>
      <c r="O9" s="2137"/>
      <c r="P9" s="3409" t="s">
        <v>530</v>
      </c>
      <c r="Q9" s="3418"/>
      <c r="R9" s="1568" t="s">
        <v>8</v>
      </c>
      <c r="S9" s="1569">
        <f t="shared" ref="S9:S17" si="0">F9</f>
        <v>92</v>
      </c>
      <c r="T9" s="1568" t="s">
        <v>8</v>
      </c>
      <c r="U9" s="1569">
        <f t="shared" ref="U9:U17" si="1">H9</f>
        <v>92</v>
      </c>
      <c r="V9" s="1568" t="s">
        <v>8</v>
      </c>
      <c r="W9" s="1569">
        <f t="shared" ref="W9:W17" si="2">J9</f>
        <v>92</v>
      </c>
      <c r="X9" s="1570"/>
      <c r="Y9" s="3409" t="s">
        <v>530</v>
      </c>
      <c r="Z9" s="3410"/>
      <c r="AA9" s="1571">
        <f>D9/F9</f>
        <v>1.0869565217391304</v>
      </c>
      <c r="AB9" s="1571">
        <f>D9/H9</f>
        <v>1.0869565217391304</v>
      </c>
      <c r="AC9" s="1571">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6"/>
      <c r="M10" s="2133"/>
      <c r="N10" s="2133"/>
      <c r="O10" s="2137"/>
      <c r="P10" s="3409" t="s">
        <v>533</v>
      </c>
      <c r="Q10" s="3410"/>
      <c r="R10" s="1568" t="s">
        <v>8</v>
      </c>
      <c r="S10" s="1569">
        <f t="shared" si="0"/>
        <v>100</v>
      </c>
      <c r="T10" s="1568" t="s">
        <v>8</v>
      </c>
      <c r="U10" s="1569">
        <f t="shared" si="1"/>
        <v>100</v>
      </c>
      <c r="V10" s="1568" t="s">
        <v>8</v>
      </c>
      <c r="W10" s="1569">
        <f t="shared" si="2"/>
        <v>100</v>
      </c>
      <c r="X10" s="1570"/>
      <c r="Y10" s="3409" t="s">
        <v>533</v>
      </c>
      <c r="Z10" s="3410"/>
      <c r="AA10" s="1571">
        <f t="shared" ref="AA10:AA47" si="3">D10/F10</f>
        <v>1</v>
      </c>
      <c r="AB10" s="1571">
        <f t="shared" ref="AB10:AB47" si="4">D10/H10</f>
        <v>1</v>
      </c>
      <c r="AC10" s="1571">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6"/>
      <c r="M11" s="2133"/>
      <c r="N11" s="2133"/>
      <c r="O11" s="2138"/>
      <c r="P11" s="3417" t="s">
        <v>535</v>
      </c>
      <c r="Q11" s="1151" t="str">
        <f t="shared" ref="Q11:Q17" si="6">B11</f>
        <v>用途</v>
      </c>
      <c r="R11" s="1568" t="s">
        <v>8</v>
      </c>
      <c r="S11" s="1569">
        <f t="shared" si="0"/>
        <v>93</v>
      </c>
      <c r="T11" s="1568" t="s">
        <v>8</v>
      </c>
      <c r="U11" s="1569">
        <f t="shared" si="1"/>
        <v>93</v>
      </c>
      <c r="V11" s="1568" t="s">
        <v>8</v>
      </c>
      <c r="W11" s="1569">
        <f t="shared" si="2"/>
        <v>93</v>
      </c>
      <c r="X11" s="1570"/>
      <c r="Y11" s="3374" t="s">
        <v>536</v>
      </c>
      <c r="Z11" s="1150" t="str">
        <f t="shared" ref="Z11:Z17" si="7">Q11</f>
        <v>用途</v>
      </c>
      <c r="AA11" s="1571">
        <f t="shared" si="3"/>
        <v>1.075268817204301</v>
      </c>
      <c r="AB11" s="1571">
        <f t="shared" si="4"/>
        <v>1.075268817204301</v>
      </c>
      <c r="AC11" s="1571">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17"/>
      <c r="Q12" s="1151" t="str">
        <f t="shared" si="6"/>
        <v>土地使用年限（年）</v>
      </c>
      <c r="R12" s="1568" t="s">
        <v>8</v>
      </c>
      <c r="S12" s="1569">
        <f t="shared" si="0"/>
        <v>100</v>
      </c>
      <c r="T12" s="1568" t="s">
        <v>8</v>
      </c>
      <c r="U12" s="1569">
        <f t="shared" si="1"/>
        <v>100</v>
      </c>
      <c r="V12" s="1568" t="s">
        <v>8</v>
      </c>
      <c r="W12" s="1569">
        <f t="shared" si="2"/>
        <v>100</v>
      </c>
      <c r="X12" s="1570"/>
      <c r="Y12" s="3374"/>
      <c r="Z12" s="1150" t="str">
        <f t="shared" si="7"/>
        <v>土地使用年限（年）</v>
      </c>
      <c r="AA12" s="1571">
        <f t="shared" si="3"/>
        <v>1</v>
      </c>
      <c r="AB12" s="1571">
        <f t="shared" si="4"/>
        <v>1</v>
      </c>
      <c r="AC12" s="1571">
        <f t="shared" si="5"/>
        <v>1</v>
      </c>
    </row>
    <row r="13" spans="1:30" ht="20.25">
      <c r="A13" s="2917"/>
      <c r="B13" s="2921" t="s">
        <v>2761</v>
      </c>
      <c r="C13" s="3233">
        <f>'数据-汇总表'!I6</f>
        <v>3.02</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1"/>
      <c r="M13" s="2133"/>
      <c r="N13" s="2133"/>
      <c r="O13" s="2142"/>
      <c r="P13" s="3417"/>
      <c r="Q13" s="1151" t="str">
        <f t="shared" si="6"/>
        <v>容积率</v>
      </c>
      <c r="R13" s="1568" t="s">
        <v>8</v>
      </c>
      <c r="S13" s="1569">
        <f t="shared" si="0"/>
        <v>100</v>
      </c>
      <c r="T13" s="1568" t="s">
        <v>8</v>
      </c>
      <c r="U13" s="1569">
        <f t="shared" si="1"/>
        <v>100</v>
      </c>
      <c r="V13" s="1568" t="s">
        <v>8</v>
      </c>
      <c r="W13" s="1569">
        <f t="shared" si="2"/>
        <v>100</v>
      </c>
      <c r="X13" s="1570"/>
      <c r="Y13" s="3374"/>
      <c r="Z13" s="1150" t="str">
        <f t="shared" si="7"/>
        <v>容积率</v>
      </c>
      <c r="AA13" s="1571">
        <f t="shared" si="3"/>
        <v>1</v>
      </c>
      <c r="AB13" s="1571">
        <f t="shared" si="4"/>
        <v>1</v>
      </c>
      <c r="AC13" s="1571">
        <f t="shared" si="5"/>
        <v>1</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17"/>
      <c r="Q14" s="1151" t="str">
        <f t="shared" si="6"/>
        <v>配建</v>
      </c>
      <c r="R14" s="1568" t="s">
        <v>8</v>
      </c>
      <c r="S14" s="1569">
        <f t="shared" si="0"/>
        <v>100</v>
      </c>
      <c r="T14" s="1568" t="s">
        <v>8</v>
      </c>
      <c r="U14" s="1569">
        <f t="shared" si="1"/>
        <v>100</v>
      </c>
      <c r="V14" s="1568" t="s">
        <v>8</v>
      </c>
      <c r="W14" s="1569">
        <f t="shared" si="2"/>
        <v>100</v>
      </c>
      <c r="X14" s="1570"/>
      <c r="Y14" s="3374"/>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17"/>
      <c r="Q15" s="1151">
        <f t="shared" si="6"/>
        <v>111</v>
      </c>
      <c r="R15" s="1568" t="s">
        <v>8</v>
      </c>
      <c r="S15" s="1569">
        <f t="shared" si="0"/>
        <v>100</v>
      </c>
      <c r="T15" s="1568" t="s">
        <v>8</v>
      </c>
      <c r="U15" s="1569">
        <f t="shared" si="1"/>
        <v>100</v>
      </c>
      <c r="V15" s="1568" t="s">
        <v>8</v>
      </c>
      <c r="W15" s="1569">
        <f t="shared" si="2"/>
        <v>100</v>
      </c>
      <c r="X15" s="1570"/>
      <c r="Y15" s="3374"/>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17"/>
      <c r="Q16" s="1151">
        <f t="shared" si="6"/>
        <v>111</v>
      </c>
      <c r="R16" s="1568" t="s">
        <v>8</v>
      </c>
      <c r="S16" s="1569">
        <f t="shared" si="0"/>
        <v>100</v>
      </c>
      <c r="T16" s="1568" t="s">
        <v>8</v>
      </c>
      <c r="U16" s="1569">
        <f t="shared" si="1"/>
        <v>100</v>
      </c>
      <c r="V16" s="1568" t="s">
        <v>8</v>
      </c>
      <c r="W16" s="1569">
        <f t="shared" si="2"/>
        <v>100</v>
      </c>
      <c r="X16" s="1570"/>
      <c r="Y16" s="3374"/>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19" t="s">
        <v>540</v>
      </c>
      <c r="Q17" s="1572" t="str">
        <f t="shared" si="6"/>
        <v>居住社区成熟度</v>
      </c>
      <c r="R17" s="1573" t="s">
        <v>8</v>
      </c>
      <c r="S17" s="1574">
        <f t="shared" si="0"/>
        <v>100</v>
      </c>
      <c r="T17" s="1573" t="s">
        <v>8</v>
      </c>
      <c r="U17" s="1574">
        <f t="shared" si="1"/>
        <v>100</v>
      </c>
      <c r="V17" s="1573" t="s">
        <v>8</v>
      </c>
      <c r="W17" s="1574">
        <f t="shared" si="2"/>
        <v>100</v>
      </c>
      <c r="X17" s="1567"/>
      <c r="Y17" s="3419" t="s">
        <v>540</v>
      </c>
      <c r="Z17" s="1575" t="str">
        <f t="shared" si="7"/>
        <v>居住社区成熟度</v>
      </c>
      <c r="AA17" s="1576">
        <f t="shared" si="3"/>
        <v>1</v>
      </c>
      <c r="AB17" s="1576">
        <f t="shared" si="4"/>
        <v>1</v>
      </c>
      <c r="AC17" s="1576">
        <f t="shared" si="5"/>
        <v>1</v>
      </c>
    </row>
    <row r="18" spans="1:29" ht="20.25">
      <c r="A18" s="532"/>
      <c r="B18" s="553"/>
      <c r="C18" s="554" t="s">
        <v>3053</v>
      </c>
      <c r="D18" s="557"/>
      <c r="E18" s="558" t="s">
        <v>3053</v>
      </c>
      <c r="F18" s="555"/>
      <c r="G18" s="556" t="s">
        <v>3053</v>
      </c>
      <c r="H18" s="559"/>
      <c r="I18" s="558" t="s">
        <v>3053</v>
      </c>
      <c r="J18" s="555"/>
      <c r="K18" s="531"/>
      <c r="L18" s="2143"/>
      <c r="M18" s="2133"/>
      <c r="N18" s="2133"/>
      <c r="O18" s="2142"/>
      <c r="P18" s="3420"/>
      <c r="Q18" s="1572"/>
      <c r="R18" s="1573"/>
      <c r="S18" s="1574"/>
      <c r="T18" s="1573"/>
      <c r="U18" s="1574"/>
      <c r="V18" s="1573"/>
      <c r="W18" s="1574"/>
      <c r="X18" s="1567"/>
      <c r="Y18" s="342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3"/>
      <c r="M19" s="2133"/>
      <c r="N19" s="2133"/>
      <c r="O19" s="2142"/>
      <c r="P19" s="3420"/>
      <c r="Q19" s="1572" t="str">
        <f>B19</f>
        <v>商业繁华度</v>
      </c>
      <c r="R19" s="1573" t="s">
        <v>8</v>
      </c>
      <c r="S19" s="1574">
        <f>F19</f>
        <v>100</v>
      </c>
      <c r="T19" s="1573" t="s">
        <v>8</v>
      </c>
      <c r="U19" s="1574">
        <f>H19</f>
        <v>100</v>
      </c>
      <c r="V19" s="1573" t="s">
        <v>8</v>
      </c>
      <c r="W19" s="1574">
        <f>J19</f>
        <v>100</v>
      </c>
      <c r="X19" s="1567"/>
      <c r="Y19" s="342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20"/>
      <c r="Q20" s="1572"/>
      <c r="R20" s="1573"/>
      <c r="S20" s="1574"/>
      <c r="T20" s="1573"/>
      <c r="U20" s="1574"/>
      <c r="V20" s="1573"/>
      <c r="W20" s="1574"/>
      <c r="X20" s="1567"/>
      <c r="Y20" s="3420"/>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3"/>
      <c r="M21" s="2133"/>
      <c r="N21" s="2133"/>
      <c r="O21" s="2142"/>
      <c r="P21" s="3420"/>
      <c r="Q21" s="1572" t="str">
        <f>B21</f>
        <v>办公集聚程度</v>
      </c>
      <c r="R21" s="1573" t="s">
        <v>8</v>
      </c>
      <c r="S21" s="1574">
        <f>F21</f>
        <v>100</v>
      </c>
      <c r="T21" s="1573" t="s">
        <v>8</v>
      </c>
      <c r="U21" s="1574">
        <f>H21</f>
        <v>100</v>
      </c>
      <c r="V21" s="1573" t="s">
        <v>8</v>
      </c>
      <c r="W21" s="1574">
        <f>J21</f>
        <v>100</v>
      </c>
      <c r="X21" s="1567"/>
      <c r="Y21" s="342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20"/>
      <c r="Q22" s="1572"/>
      <c r="R22" s="1573"/>
      <c r="S22" s="1574"/>
      <c r="T22" s="1573"/>
      <c r="U22" s="1574"/>
      <c r="V22" s="1573"/>
      <c r="W22" s="1574"/>
      <c r="X22" s="1567"/>
      <c r="Y22" s="3420"/>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20"/>
      <c r="Q23" s="1572" t="str">
        <f>B23</f>
        <v>交通便捷度</v>
      </c>
      <c r="R23" s="1573" t="s">
        <v>8</v>
      </c>
      <c r="S23" s="1574">
        <f>F23</f>
        <v>100</v>
      </c>
      <c r="T23" s="1573" t="s">
        <v>8</v>
      </c>
      <c r="U23" s="1574">
        <f>H23</f>
        <v>100</v>
      </c>
      <c r="V23" s="1573" t="s">
        <v>8</v>
      </c>
      <c r="W23" s="1574">
        <f>J23</f>
        <v>100</v>
      </c>
      <c r="X23" s="1567"/>
      <c r="Y23" s="3420"/>
      <c r="Z23" s="1575" t="str">
        <f>Q23</f>
        <v>交通便捷度</v>
      </c>
      <c r="AA23" s="1576">
        <f t="shared" si="3"/>
        <v>1</v>
      </c>
      <c r="AB23" s="1576">
        <f t="shared" si="4"/>
        <v>1</v>
      </c>
      <c r="AC23" s="1576">
        <f t="shared" si="5"/>
        <v>1</v>
      </c>
    </row>
    <row r="24" spans="1:29" ht="20.25">
      <c r="A24" s="532"/>
      <c r="B24" s="578"/>
      <c r="C24" s="554" t="s">
        <v>3053</v>
      </c>
      <c r="D24" s="557"/>
      <c r="E24" s="558" t="s">
        <v>3053</v>
      </c>
      <c r="F24" s="555"/>
      <c r="G24" s="556" t="s">
        <v>3053</v>
      </c>
      <c r="H24" s="555"/>
      <c r="I24" s="558" t="s">
        <v>3053</v>
      </c>
      <c r="J24" s="555"/>
      <c r="K24" s="531"/>
      <c r="L24" s="2143"/>
      <c r="M24" s="2133"/>
      <c r="N24" s="2133"/>
      <c r="O24" s="2142"/>
      <c r="P24" s="3420"/>
      <c r="Q24" s="1572"/>
      <c r="R24" s="1573"/>
      <c r="S24" s="1574"/>
      <c r="T24" s="1573"/>
      <c r="U24" s="1574"/>
      <c r="V24" s="1573"/>
      <c r="W24" s="1574"/>
      <c r="X24" s="1567"/>
      <c r="Y24" s="3420"/>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0"/>
      <c r="Q25" s="1572" t="str">
        <f t="shared" ref="Q25:Q39" si="8">B25</f>
        <v>区域土地利用方向</v>
      </c>
      <c r="R25" s="1573" t="s">
        <v>8</v>
      </c>
      <c r="S25" s="1574">
        <f>F25</f>
        <v>100</v>
      </c>
      <c r="T25" s="1573" t="s">
        <v>8</v>
      </c>
      <c r="U25" s="1574">
        <f>H25</f>
        <v>100</v>
      </c>
      <c r="V25" s="1573" t="s">
        <v>8</v>
      </c>
      <c r="W25" s="1574">
        <f>J25</f>
        <v>100</v>
      </c>
      <c r="X25" s="1567"/>
      <c r="Y25" s="3420"/>
      <c r="Z25" s="1575" t="str">
        <f>Q25</f>
        <v>区域土地利用方向</v>
      </c>
      <c r="AA25" s="1576">
        <f t="shared" si="3"/>
        <v>1</v>
      </c>
      <c r="AB25" s="1576">
        <f t="shared" si="4"/>
        <v>1</v>
      </c>
      <c r="AC25" s="1576">
        <f t="shared" si="5"/>
        <v>1</v>
      </c>
    </row>
    <row r="26" spans="1:29" ht="20.25">
      <c r="A26" s="515"/>
      <c r="B26" s="1007"/>
      <c r="C26" s="554" t="s">
        <v>3053</v>
      </c>
      <c r="D26" s="557"/>
      <c r="E26" s="558" t="s">
        <v>3053</v>
      </c>
      <c r="F26" s="555"/>
      <c r="G26" s="556" t="s">
        <v>3053</v>
      </c>
      <c r="H26" s="555"/>
      <c r="I26" s="558" t="s">
        <v>3053</v>
      </c>
      <c r="J26" s="555"/>
      <c r="K26" s="531"/>
      <c r="L26" s="2143"/>
      <c r="M26" s="2133"/>
      <c r="N26" s="2133"/>
      <c r="O26" s="2142"/>
      <c r="P26" s="3420"/>
      <c r="Q26" s="1572"/>
      <c r="R26" s="1573"/>
      <c r="S26" s="1574"/>
      <c r="T26" s="1573"/>
      <c r="U26" s="1574"/>
      <c r="V26" s="1573"/>
      <c r="W26" s="1574"/>
      <c r="X26" s="1567"/>
      <c r="Y26" s="3420"/>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3"/>
      <c r="M27" s="2133"/>
      <c r="N27" s="2133"/>
      <c r="O27" s="2142"/>
      <c r="P27" s="3420"/>
      <c r="Q27" s="1572" t="str">
        <f t="shared" si="8"/>
        <v>自然及人文环境状况</v>
      </c>
      <c r="R27" s="1573" t="s">
        <v>8</v>
      </c>
      <c r="S27" s="1574">
        <f>F27</f>
        <v>100</v>
      </c>
      <c r="T27" s="1573" t="s">
        <v>8</v>
      </c>
      <c r="U27" s="1574">
        <f>H27</f>
        <v>90</v>
      </c>
      <c r="V27" s="1573" t="s">
        <v>8</v>
      </c>
      <c r="W27" s="1574">
        <f>J27</f>
        <v>90</v>
      </c>
      <c r="X27" s="1567"/>
      <c r="Y27" s="3420"/>
      <c r="Z27" s="1575" t="str">
        <f>Q27</f>
        <v>自然及人文环境状况</v>
      </c>
      <c r="AA27" s="1576">
        <f t="shared" si="3"/>
        <v>1</v>
      </c>
      <c r="AB27" s="1576">
        <f t="shared" si="4"/>
        <v>1.1111111111111112</v>
      </c>
      <c r="AC27" s="1576">
        <f t="shared" si="5"/>
        <v>1.1111111111111112</v>
      </c>
    </row>
    <row r="28" spans="1:29" ht="20.25">
      <c r="A28" s="515"/>
      <c r="B28" s="566"/>
      <c r="C28" s="554" t="s">
        <v>3055</v>
      </c>
      <c r="D28" s="557"/>
      <c r="E28" s="576" t="s">
        <v>3055</v>
      </c>
      <c r="F28" s="555"/>
      <c r="G28" s="554" t="s">
        <v>3054</v>
      </c>
      <c r="H28" s="555"/>
      <c r="I28" s="576" t="s">
        <v>3054</v>
      </c>
      <c r="J28" s="555"/>
      <c r="K28" s="531"/>
      <c r="L28" s="2143"/>
      <c r="M28" s="2133"/>
      <c r="N28" s="2133"/>
      <c r="O28" s="2142"/>
      <c r="P28" s="3420"/>
      <c r="Q28" s="1572"/>
      <c r="R28" s="1573"/>
      <c r="S28" s="1574"/>
      <c r="T28" s="1573"/>
      <c r="U28" s="1574"/>
      <c r="V28" s="1573"/>
      <c r="W28" s="1574"/>
      <c r="X28" s="1567"/>
      <c r="Y28" s="3420"/>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20"/>
      <c r="Q29" s="1151" t="str">
        <f t="shared" si="8"/>
        <v>公共配套设施</v>
      </c>
      <c r="R29" s="1568" t="s">
        <v>8</v>
      </c>
      <c r="S29" s="1569">
        <f>F29</f>
        <v>100</v>
      </c>
      <c r="T29" s="1568" t="s">
        <v>8</v>
      </c>
      <c r="U29" s="1569">
        <f>H29</f>
        <v>100</v>
      </c>
      <c r="V29" s="1568" t="s">
        <v>8</v>
      </c>
      <c r="W29" s="1569">
        <f>J29</f>
        <v>100</v>
      </c>
      <c r="X29" s="1570"/>
      <c r="Y29" s="3420"/>
      <c r="Z29" s="1150" t="str">
        <f>Q29</f>
        <v>公共配套设施</v>
      </c>
      <c r="AA29" s="1576">
        <f>D29/F29</f>
        <v>1</v>
      </c>
      <c r="AB29" s="1576">
        <f>D29/H29</f>
        <v>1</v>
      </c>
      <c r="AC29" s="1576">
        <f>D29/J29</f>
        <v>1</v>
      </c>
    </row>
    <row r="30" spans="1:29" s="1220" customFormat="1" ht="20.25">
      <c r="A30" s="577"/>
      <c r="B30" s="566"/>
      <c r="C30" s="579" t="s">
        <v>3053</v>
      </c>
      <c r="D30" s="557"/>
      <c r="E30" s="576" t="s">
        <v>3053</v>
      </c>
      <c r="F30" s="555"/>
      <c r="G30" s="554" t="s">
        <v>3053</v>
      </c>
      <c r="H30" s="555"/>
      <c r="I30" s="576" t="s">
        <v>3053</v>
      </c>
      <c r="J30" s="555"/>
      <c r="K30" s="531"/>
      <c r="L30" s="2136"/>
      <c r="M30" s="2133"/>
      <c r="N30" s="2133"/>
      <c r="O30" s="2138"/>
      <c r="P30" s="3420"/>
      <c r="Q30" s="1151"/>
      <c r="R30" s="1568"/>
      <c r="S30" s="1569"/>
      <c r="T30" s="1568"/>
      <c r="U30" s="1569"/>
      <c r="V30" s="1568"/>
      <c r="W30" s="1569"/>
      <c r="X30" s="1570"/>
      <c r="Y30" s="3420"/>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20"/>
      <c r="Q31" s="2579" t="str">
        <f t="shared" ref="Q31" si="9">B31</f>
        <v>基础设施水平</v>
      </c>
      <c r="R31" s="1568" t="s">
        <v>8</v>
      </c>
      <c r="S31" s="1569">
        <f>F31</f>
        <v>100</v>
      </c>
      <c r="T31" s="1568" t="s">
        <v>8</v>
      </c>
      <c r="U31" s="1569">
        <f>H31</f>
        <v>100</v>
      </c>
      <c r="V31" s="1568" t="s">
        <v>8</v>
      </c>
      <c r="W31" s="1569">
        <f>J31</f>
        <v>100</v>
      </c>
      <c r="X31" s="1570"/>
      <c r="Y31" s="3420"/>
      <c r="Z31" s="2576" t="str">
        <f>Q31</f>
        <v>基础设施水平</v>
      </c>
      <c r="AA31" s="1576">
        <f>D31/F31</f>
        <v>1</v>
      </c>
      <c r="AB31" s="1576">
        <f>D31/H31</f>
        <v>1</v>
      </c>
      <c r="AC31" s="1576">
        <f>D31/J31</f>
        <v>1</v>
      </c>
    </row>
    <row r="32" spans="1:29" s="1220" customFormat="1" ht="20.25">
      <c r="A32" s="577"/>
      <c r="B32" s="566"/>
      <c r="C32" s="579" t="s">
        <v>3056</v>
      </c>
      <c r="D32" s="557"/>
      <c r="E32" s="2593" t="s">
        <v>3056</v>
      </c>
      <c r="F32" s="555"/>
      <c r="G32" s="579" t="s">
        <v>3056</v>
      </c>
      <c r="H32" s="555"/>
      <c r="I32" s="579" t="s">
        <v>3056</v>
      </c>
      <c r="J32" s="555"/>
      <c r="K32" s="531"/>
      <c r="L32" s="2136"/>
      <c r="M32" s="2133"/>
      <c r="N32" s="2133"/>
      <c r="O32" s="2138"/>
      <c r="P32" s="3420"/>
      <c r="Q32" s="2579"/>
      <c r="R32" s="1568"/>
      <c r="S32" s="1569"/>
      <c r="T32" s="1568"/>
      <c r="U32" s="1569"/>
      <c r="V32" s="1568"/>
      <c r="W32" s="1569"/>
      <c r="X32" s="1570"/>
      <c r="Y32" s="3420"/>
      <c r="Z32" s="2576"/>
      <c r="AA32" s="1576">
        <v>1</v>
      </c>
      <c r="AB32" s="1576">
        <v>1</v>
      </c>
      <c r="AC32" s="1576">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3"/>
      <c r="M33" s="2133"/>
      <c r="N33" s="2133"/>
      <c r="O33" s="2142"/>
      <c r="P33" s="342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0"/>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20"/>
      <c r="Q34" s="1572" t="str">
        <f t="shared" si="8"/>
        <v>毗邻道路的类型与等级</v>
      </c>
      <c r="R34" s="1573" t="s">
        <v>8</v>
      </c>
      <c r="S34" s="1574">
        <f t="shared" si="10"/>
        <v>100</v>
      </c>
      <c r="T34" s="1573" t="s">
        <v>8</v>
      </c>
      <c r="U34" s="1574">
        <f t="shared" si="11"/>
        <v>100</v>
      </c>
      <c r="V34" s="1573" t="s">
        <v>8</v>
      </c>
      <c r="W34" s="1574">
        <f t="shared" si="12"/>
        <v>100</v>
      </c>
      <c r="X34" s="1567"/>
      <c r="Y34" s="3420"/>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20"/>
      <c r="Q35" s="1572"/>
      <c r="R35" s="1573"/>
      <c r="S35" s="1574"/>
      <c r="T35" s="1573"/>
      <c r="U35" s="1574"/>
      <c r="V35" s="1573"/>
      <c r="W35" s="1574"/>
      <c r="X35" s="1567"/>
      <c r="Y35" s="342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3"/>
      <c r="M36" s="2133"/>
      <c r="N36" s="2133"/>
      <c r="O36" s="2142"/>
      <c r="P36" s="3420"/>
      <c r="Q36" s="1572" t="str">
        <f t="shared" si="8"/>
        <v>土地级别</v>
      </c>
      <c r="R36" s="1573" t="s">
        <v>8</v>
      </c>
      <c r="S36" s="1574">
        <f t="shared" si="10"/>
        <v>100</v>
      </c>
      <c r="T36" s="1573" t="s">
        <v>8</v>
      </c>
      <c r="U36" s="1574">
        <f t="shared" si="11"/>
        <v>100</v>
      </c>
      <c r="V36" s="1573" t="s">
        <v>8</v>
      </c>
      <c r="W36" s="1574">
        <f t="shared" si="12"/>
        <v>100</v>
      </c>
      <c r="X36" s="1567"/>
      <c r="Y36" s="342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0"/>
      <c r="Q37" s="1572">
        <f t="shared" si="8"/>
        <v>111</v>
      </c>
      <c r="R37" s="1573" t="s">
        <v>8</v>
      </c>
      <c r="S37" s="1574">
        <f t="shared" si="10"/>
        <v>100</v>
      </c>
      <c r="T37" s="1573" t="s">
        <v>8</v>
      </c>
      <c r="U37" s="1574">
        <f t="shared" si="11"/>
        <v>100</v>
      </c>
      <c r="V37" s="1573" t="s">
        <v>8</v>
      </c>
      <c r="W37" s="1574">
        <f t="shared" si="12"/>
        <v>100</v>
      </c>
      <c r="X37" s="1567"/>
      <c r="Y37" s="342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1" t="s">
        <v>550</v>
      </c>
      <c r="Q38" s="1572">
        <f t="shared" si="8"/>
        <v>111</v>
      </c>
      <c r="R38" s="1573" t="s">
        <v>8</v>
      </c>
      <c r="S38" s="1574">
        <f t="shared" si="10"/>
        <v>100</v>
      </c>
      <c r="T38" s="1573" t="s">
        <v>8</v>
      </c>
      <c r="U38" s="1574">
        <f t="shared" si="11"/>
        <v>100</v>
      </c>
      <c r="V38" s="1573" t="s">
        <v>8</v>
      </c>
      <c r="W38" s="1574">
        <f t="shared" si="12"/>
        <v>100</v>
      </c>
      <c r="X38" s="1567"/>
      <c r="Y38" s="342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22"/>
      <c r="Q39" s="1572">
        <f t="shared" si="8"/>
        <v>111</v>
      </c>
      <c r="R39" s="1577" t="s">
        <v>8</v>
      </c>
      <c r="S39" s="1578">
        <f t="shared" si="10"/>
        <v>100</v>
      </c>
      <c r="T39" s="1577" t="s">
        <v>8</v>
      </c>
      <c r="U39" s="1578">
        <f t="shared" si="11"/>
        <v>100</v>
      </c>
      <c r="V39" s="1577" t="s">
        <v>8</v>
      </c>
      <c r="W39" s="1578">
        <f t="shared" si="12"/>
        <v>100</v>
      </c>
      <c r="X39" s="1579"/>
      <c r="Y39" s="3422"/>
      <c r="Z39" s="1580">
        <f t="shared" si="13"/>
        <v>111</v>
      </c>
      <c r="AA39" s="1576">
        <f t="shared" si="3"/>
        <v>1</v>
      </c>
      <c r="AB39" s="1576">
        <f t="shared" si="4"/>
        <v>1</v>
      </c>
      <c r="AC39" s="1576">
        <f t="shared" si="5"/>
        <v>1</v>
      </c>
    </row>
    <row r="40" spans="1:29" ht="20.25">
      <c r="A40" s="2908" t="s">
        <v>2758</v>
      </c>
      <c r="B40" s="595" t="s">
        <v>552</v>
      </c>
      <c r="C40" s="596">
        <f>'数据-汇总表'!D3</f>
        <v>19604.2</v>
      </c>
      <c r="D40" s="597">
        <v>100</v>
      </c>
      <c r="E40" s="596">
        <f>Sheet1!D11</f>
        <v>29061</v>
      </c>
      <c r="F40" s="597">
        <f>LOOKUP(E40,119:119,120:120)-LOOKUP(C40,119:119,120:120)+100</f>
        <v>101</v>
      </c>
      <c r="G40" s="596">
        <f>Sheet1!D12</f>
        <v>37471</v>
      </c>
      <c r="H40" s="597">
        <f>LOOKUP(G40,119:119,120:120)-LOOKUP(C40,119:119,120:120)+100</f>
        <v>102</v>
      </c>
      <c r="I40" s="598">
        <f>Sheet1!D10</f>
        <v>45299</v>
      </c>
      <c r="J40" s="597">
        <f>LOOKUP(I40,119:119,120:120)-LOOKUP(C40,119:119,120:120)+100</f>
        <v>103</v>
      </c>
      <c r="K40" s="581"/>
      <c r="L40" s="2143"/>
      <c r="M40" s="2133"/>
      <c r="N40" s="2133"/>
      <c r="O40" s="2142"/>
      <c r="P40" s="3422"/>
      <c r="Q40" s="1572" t="str">
        <f>B40</f>
        <v>宗地面积</v>
      </c>
      <c r="R40" s="1573" t="s">
        <v>8</v>
      </c>
      <c r="S40" s="1574">
        <f t="shared" si="10"/>
        <v>101</v>
      </c>
      <c r="T40" s="1573" t="s">
        <v>8</v>
      </c>
      <c r="U40" s="1574">
        <f t="shared" si="11"/>
        <v>102</v>
      </c>
      <c r="V40" s="1573" t="s">
        <v>8</v>
      </c>
      <c r="W40" s="1574">
        <f t="shared" si="12"/>
        <v>103</v>
      </c>
      <c r="X40" s="1567"/>
      <c r="Y40" s="3422"/>
      <c r="Z40" s="1575" t="str">
        <f t="shared" si="13"/>
        <v>宗地面积</v>
      </c>
      <c r="AA40" s="1576">
        <f t="shared" si="3"/>
        <v>0.99009900990099009</v>
      </c>
      <c r="AB40" s="1576">
        <f t="shared" si="4"/>
        <v>0.98039215686274506</v>
      </c>
      <c r="AC40" s="1576">
        <f t="shared" si="5"/>
        <v>0.970873786407767</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3"/>
      <c r="M41" s="2133"/>
      <c r="N41" s="2133"/>
      <c r="O41" s="2142"/>
      <c r="P41" s="3422"/>
      <c r="Q41" s="1572" t="str">
        <f t="shared" ref="Q41:Q47" si="14">B41</f>
        <v>宗地形状</v>
      </c>
      <c r="R41" s="1573" t="s">
        <v>8</v>
      </c>
      <c r="S41" s="1574">
        <f t="shared" si="10"/>
        <v>100</v>
      </c>
      <c r="T41" s="1573" t="s">
        <v>8</v>
      </c>
      <c r="U41" s="1574">
        <f t="shared" si="11"/>
        <v>100</v>
      </c>
      <c r="V41" s="1573" t="s">
        <v>8</v>
      </c>
      <c r="W41" s="1574">
        <f t="shared" si="12"/>
        <v>100</v>
      </c>
      <c r="X41" s="1567"/>
      <c r="Y41" s="3422"/>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22"/>
      <c r="Q42" s="1572" t="str">
        <f t="shared" si="14"/>
        <v>临街宽度及深度</v>
      </c>
      <c r="R42" s="1573" t="s">
        <v>8</v>
      </c>
      <c r="S42" s="1574">
        <f t="shared" si="10"/>
        <v>100</v>
      </c>
      <c r="T42" s="1573" t="s">
        <v>8</v>
      </c>
      <c r="U42" s="1574">
        <f t="shared" si="11"/>
        <v>100</v>
      </c>
      <c r="V42" s="1573" t="s">
        <v>8</v>
      </c>
      <c r="W42" s="1574">
        <f t="shared" si="12"/>
        <v>100</v>
      </c>
      <c r="X42" s="1567"/>
      <c r="Y42" s="3422"/>
      <c r="Z42" s="1575" t="str">
        <f t="shared" si="13"/>
        <v>临街宽度及深度</v>
      </c>
      <c r="AA42" s="1576">
        <f t="shared" si="3"/>
        <v>1</v>
      </c>
      <c r="AB42" s="1576">
        <f t="shared" si="4"/>
        <v>1</v>
      </c>
      <c r="AC42" s="1576">
        <f t="shared" si="5"/>
        <v>1</v>
      </c>
    </row>
    <row r="43" spans="1:29" s="1220" customFormat="1" ht="20.25">
      <c r="A43" s="600"/>
      <c r="B43" s="1896" t="s">
        <v>2427</v>
      </c>
      <c r="C43" s="3190"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6"/>
      <c r="M43" s="2133"/>
      <c r="N43" s="2133"/>
      <c r="O43" s="2138"/>
      <c r="P43" s="3422"/>
      <c r="Q43" s="1572" t="str">
        <f t="shared" si="14"/>
        <v>宗地开发程度</v>
      </c>
      <c r="R43" s="1568" t="s">
        <v>8</v>
      </c>
      <c r="S43" s="1569">
        <f t="shared" si="10"/>
        <v>100</v>
      </c>
      <c r="T43" s="1568" t="s">
        <v>8</v>
      </c>
      <c r="U43" s="1569">
        <f t="shared" si="11"/>
        <v>100</v>
      </c>
      <c r="V43" s="1568" t="s">
        <v>8</v>
      </c>
      <c r="W43" s="1569">
        <f t="shared" si="12"/>
        <v>100</v>
      </c>
      <c r="X43" s="1570"/>
      <c r="Y43" s="3422"/>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22" t="s">
        <v>550</v>
      </c>
      <c r="Q44" s="1572" t="str">
        <f t="shared" si="14"/>
        <v>工程地质条件</v>
      </c>
      <c r="R44" s="1573" t="s">
        <v>8</v>
      </c>
      <c r="S44" s="1574">
        <f t="shared" si="10"/>
        <v>100</v>
      </c>
      <c r="T44" s="1573" t="s">
        <v>8</v>
      </c>
      <c r="U44" s="1574">
        <f t="shared" si="11"/>
        <v>100</v>
      </c>
      <c r="V44" s="1573" t="s">
        <v>8</v>
      </c>
      <c r="W44" s="1574">
        <f t="shared" si="12"/>
        <v>100</v>
      </c>
      <c r="X44" s="1567"/>
      <c r="Y44" s="342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22"/>
      <c r="Q45" s="1572">
        <f t="shared" si="14"/>
        <v>111</v>
      </c>
      <c r="R45" s="1573" t="s">
        <v>8</v>
      </c>
      <c r="S45" s="1574">
        <f t="shared" si="10"/>
        <v>100</v>
      </c>
      <c r="T45" s="1573" t="s">
        <v>8</v>
      </c>
      <c r="U45" s="1574">
        <f t="shared" si="11"/>
        <v>100</v>
      </c>
      <c r="V45" s="1573" t="s">
        <v>8</v>
      </c>
      <c r="W45" s="1574">
        <f t="shared" si="12"/>
        <v>100</v>
      </c>
      <c r="X45" s="1567"/>
      <c r="Y45" s="342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22"/>
      <c r="Q46" s="1572">
        <f t="shared" si="14"/>
        <v>111</v>
      </c>
      <c r="R46" s="1573" t="s">
        <v>8</v>
      </c>
      <c r="S46" s="1574">
        <f t="shared" si="10"/>
        <v>100</v>
      </c>
      <c r="T46" s="1573" t="s">
        <v>8</v>
      </c>
      <c r="U46" s="1574">
        <f t="shared" si="11"/>
        <v>100</v>
      </c>
      <c r="V46" s="1573" t="s">
        <v>8</v>
      </c>
      <c r="W46" s="1574">
        <f t="shared" si="12"/>
        <v>100</v>
      </c>
      <c r="X46" s="1567"/>
      <c r="Y46" s="342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22"/>
      <c r="Q47" s="1572">
        <f t="shared" si="14"/>
        <v>111</v>
      </c>
      <c r="R47" s="1577" t="s">
        <v>8</v>
      </c>
      <c r="S47" s="1578">
        <f t="shared" si="10"/>
        <v>100</v>
      </c>
      <c r="T47" s="1577" t="s">
        <v>8</v>
      </c>
      <c r="U47" s="1578">
        <f t="shared" si="11"/>
        <v>100</v>
      </c>
      <c r="V47" s="1577" t="s">
        <v>8</v>
      </c>
      <c r="W47" s="1578">
        <f t="shared" si="12"/>
        <v>100</v>
      </c>
      <c r="X47" s="1579"/>
      <c r="Y47" s="3422"/>
      <c r="Z47" s="1580">
        <f t="shared" si="13"/>
        <v>111</v>
      </c>
      <c r="AA47" s="1576">
        <f t="shared" si="3"/>
        <v>1</v>
      </c>
      <c r="AB47" s="1576">
        <f t="shared" si="4"/>
        <v>1</v>
      </c>
      <c r="AC47" s="1576">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5"/>
      <c r="M48" s="2133"/>
      <c r="N48" s="2133"/>
      <c r="O48" s="2146"/>
      <c r="P48" s="3417" t="str">
        <f>A48</f>
        <v>成交单价</v>
      </c>
      <c r="Q48" s="3417"/>
      <c r="R48" s="3431">
        <f>E48</f>
        <v>4015</v>
      </c>
      <c r="S48" s="3431"/>
      <c r="T48" s="3431">
        <f>G48</f>
        <v>4181</v>
      </c>
      <c r="U48" s="3431"/>
      <c r="V48" s="3431">
        <f>I48</f>
        <v>3900</v>
      </c>
      <c r="W48" s="3431"/>
      <c r="X48" s="1559"/>
      <c r="Y48" s="1581"/>
      <c r="Z48" s="1559"/>
      <c r="AA48" s="1559"/>
      <c r="AB48" s="1559"/>
      <c r="AC48" s="1559"/>
    </row>
    <row r="49" spans="1:29" ht="21" thickBot="1">
      <c r="A49" s="615" t="s">
        <v>2696</v>
      </c>
      <c r="B49" s="616"/>
      <c r="C49" s="617">
        <f>R50</f>
        <v>4962</v>
      </c>
      <c r="D49" s="618"/>
      <c r="E49" s="617">
        <f>R49</f>
        <v>4646</v>
      </c>
      <c r="F49" s="619"/>
      <c r="G49" s="620">
        <f>T49</f>
        <v>5323</v>
      </c>
      <c r="H49" s="618"/>
      <c r="I49" s="617">
        <f>V49</f>
        <v>4917</v>
      </c>
      <c r="J49" s="618"/>
      <c r="K49" s="1341"/>
      <c r="L49" s="2145"/>
      <c r="M49" s="2133"/>
      <c r="N49" s="2133"/>
      <c r="O49" s="2146"/>
      <c r="P49" s="3417" t="str">
        <f>A49</f>
        <v>比较价格（元/平方米）</v>
      </c>
      <c r="Q49" s="3417"/>
      <c r="R49" s="3441">
        <f>ROUND(PRODUCT(R48,AA9:AA47),0)</f>
        <v>4646</v>
      </c>
      <c r="S49" s="3441"/>
      <c r="T49" s="3441">
        <f>ROUND(PRODUCT(T48,AB9:AB47),0)</f>
        <v>5323</v>
      </c>
      <c r="U49" s="3441"/>
      <c r="V49" s="3441">
        <f>ROUND(PRODUCT(V48,AC9:AC47),0)</f>
        <v>4917</v>
      </c>
      <c r="W49" s="3441"/>
      <c r="X49" s="1559"/>
      <c r="Y49" s="1559"/>
      <c r="Z49" s="1559"/>
      <c r="AA49" s="1559"/>
      <c r="AB49" s="1559"/>
      <c r="AC49" s="1559"/>
    </row>
    <row r="50" spans="1:29" ht="21" thickBot="1">
      <c r="A50" s="621" t="s">
        <v>2940</v>
      </c>
      <c r="B50" s="622"/>
      <c r="C50" s="623">
        <f>R50</f>
        <v>4962</v>
      </c>
      <c r="D50" s="623"/>
      <c r="E50" s="623"/>
      <c r="F50" s="623"/>
      <c r="G50" s="623"/>
      <c r="H50" s="623"/>
      <c r="I50" s="623"/>
      <c r="J50" s="623"/>
      <c r="K50" s="1342"/>
      <c r="L50" s="2145"/>
      <c r="M50" s="2133"/>
      <c r="N50" s="2133"/>
      <c r="O50" s="2146"/>
      <c r="P50" s="3438" t="str">
        <f>A50</f>
        <v>估价对象XX用房的比较价格（楼面单价，元/平方米）</v>
      </c>
      <c r="Q50" s="3439"/>
      <c r="R50" s="3440">
        <f>ROUND(AVERAGE(R49:V49),0)</f>
        <v>4962</v>
      </c>
      <c r="S50" s="3440"/>
      <c r="T50" s="3440"/>
      <c r="U50" s="3440"/>
      <c r="V50" s="3440"/>
      <c r="W50" s="3440"/>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0.15716064757160653</v>
      </c>
      <c r="F53" s="627" t="str">
        <f>IF(OR(E53&gt;=0.3,E53&lt;=-0.3),"超过30%","")</f>
        <v/>
      </c>
      <c r="G53" s="626">
        <f>IF(G48&lt;G49,G49/G48-1,G48/G49-1)</f>
        <v>0.27314039703420234</v>
      </c>
      <c r="H53" s="627" t="str">
        <f>IF(OR(G53&gt;=0.3,G53&lt;=-0.3),"超过30%","")</f>
        <v/>
      </c>
      <c r="I53" s="626">
        <f>IF(I48&lt;I49,I49/I48-1,I48/I49-1)</f>
        <v>0.26076923076923086</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0.14571674558760228</v>
      </c>
      <c r="F54" s="627" t="str">
        <f>IF(OR(E54&gt;=0.2,E54&lt;=-0.2),"超过20%","")</f>
        <v/>
      </c>
      <c r="G54" s="626">
        <f>IF(G49&lt;I49,I49/G49-1,G49/I49-1)</f>
        <v>8.2570673174700016E-2</v>
      </c>
      <c r="H54" s="627" t="str">
        <f>IF(OR(G54&gt;=0.2,G54&lt;=-0.2),"超过20%","")</f>
        <v/>
      </c>
      <c r="I54" s="626">
        <f>IF(I49&lt;E49,E49/I49-1,I49/E49-1)</f>
        <v>5.8329746018080053E-2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01" t="s">
        <v>2284</v>
      </c>
      <c r="H57" s="3402"/>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4962</v>
      </c>
      <c r="C58" s="635">
        <v>1</v>
      </c>
      <c r="D58" s="2229">
        <v>1</v>
      </c>
      <c r="E58" s="635">
        <f>'数据-汇总表'!E8+'数据-汇总表'!E9</f>
        <v>49953.47</v>
      </c>
      <c r="F58" s="636">
        <f t="shared" ref="F58:F67" si="15">ROUND(B58*E58/10000,0)</f>
        <v>24787</v>
      </c>
      <c r="G58" s="3403"/>
      <c r="H58" s="3404"/>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5"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5"/>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5"/>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5"/>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19375.689999999999</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69329.16</v>
      </c>
      <c r="F68" s="644">
        <f>IF(B48="楼面地价",SUM(F58:F67),ROUND(C50*E68/10000,0))</f>
        <v>24787</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4" t="s">
        <v>3052</v>
      </c>
      <c r="D77" s="3184" t="s">
        <v>3051</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107</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00">
        <v>102</v>
      </c>
      <c r="F120" s="726">
        <v>103</v>
      </c>
      <c r="G120" s="700">
        <v>104</v>
      </c>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3063</v>
      </c>
      <c r="D125" s="1375" t="s">
        <v>3064</v>
      </c>
      <c r="E125" s="1375" t="s">
        <v>3065</v>
      </c>
      <c r="F125" s="1375" t="s">
        <v>3066</v>
      </c>
      <c r="G125" s="1375" t="s">
        <v>3068</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16967</v>
      </c>
      <c r="D13" s="451"/>
      <c r="E13" s="365"/>
      <c r="F13" s="452"/>
      <c r="G13" s="444"/>
      <c r="H13" s="447"/>
      <c r="I13" s="447"/>
      <c r="J13" s="447"/>
      <c r="K13" s="448"/>
    </row>
    <row r="14" spans="1:41" s="2117" customFormat="1" ht="13.5" customHeight="1">
      <c r="A14" s="1633" t="s">
        <v>1850</v>
      </c>
      <c r="B14" s="449" t="s">
        <v>480</v>
      </c>
      <c r="C14" s="53">
        <f ca="1">ROUND(C13*F14,0)</f>
        <v>509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371</v>
      </c>
      <c r="D15" s="451"/>
      <c r="E15" s="365"/>
      <c r="F15" s="453">
        <f>'数据-取费表'!B34</f>
        <v>0.03</v>
      </c>
      <c r="G15" s="444" t="s">
        <v>502</v>
      </c>
      <c r="H15" s="447"/>
      <c r="I15" s="447"/>
      <c r="J15" s="447"/>
      <c r="K15" s="448"/>
    </row>
    <row r="16" spans="1:41" s="2118" customFormat="1" ht="13.5" customHeight="1">
      <c r="A16" s="1633" t="s">
        <v>1852</v>
      </c>
      <c r="B16" s="449" t="s">
        <v>484</v>
      </c>
      <c r="C16" s="53">
        <f ca="1">ROUND(D16*E16/10000,0)</f>
        <v>1177</v>
      </c>
      <c r="D16" s="451">
        <f ca="1">IF(B1="",'数据-汇总表'!E3,INDIRECT("'数据-取费表'!K"&amp;$K$1)+INDIRECT("'数据-取费表'!S"&amp;$K$1))</f>
        <v>78499.16</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255</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19279</v>
      </c>
      <c r="D18" s="461"/>
      <c r="E18" s="462"/>
      <c r="F18" s="462"/>
      <c r="G18" s="1327" t="s">
        <v>2435</v>
      </c>
      <c r="H18" s="447"/>
      <c r="I18" s="447"/>
      <c r="J18" s="447"/>
      <c r="K18" s="448"/>
    </row>
    <row r="19" spans="1:14" s="2120" customFormat="1" ht="13.5" customHeight="1">
      <c r="A19" s="1634" t="s">
        <v>1855</v>
      </c>
      <c r="B19" s="459" t="s">
        <v>493</v>
      </c>
      <c r="C19" s="460">
        <f ca="1">ROUND(C18*F19,0)</f>
        <v>386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696</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696</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6.9999999999999999E-4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2835</v>
      </c>
      <c r="C24" s="478">
        <f ca="1">C25</f>
        <v>2360</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3" t="s">
        <v>1849</v>
      </c>
      <c r="B25" s="1328" t="s">
        <v>2439</v>
      </c>
      <c r="C25" s="490">
        <f ca="1">ROUND((C18+C19)*F24,0)</f>
        <v>2360</v>
      </c>
      <c r="D25" s="472"/>
      <c r="E25" s="473"/>
      <c r="F25" s="480"/>
      <c r="G25" s="1326" t="s">
        <v>2436</v>
      </c>
      <c r="H25" s="457"/>
      <c r="I25" s="457"/>
      <c r="J25" s="457"/>
      <c r="K25" s="458"/>
    </row>
    <row r="26" spans="1:14" s="2121" customFormat="1" ht="13.5" customHeight="1">
      <c r="A26" s="1633" t="s">
        <v>1850</v>
      </c>
      <c r="B26" s="1328" t="s">
        <v>509</v>
      </c>
      <c r="C26" s="491">
        <f ca="1">ROUND(F20*F24,4)</f>
        <v>2.3999999999999998E-3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24600</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36" t="str">
        <f>项目基本情况!B1</f>
        <v>出让国有建设用地使用权预评估</v>
      </c>
      <c r="C37" s="3236"/>
      <c r="D37" s="3236"/>
      <c r="E37" s="3236"/>
      <c r="F37" s="3236"/>
      <c r="G37" s="3236"/>
      <c r="H37" s="3236"/>
      <c r="I37" s="3236"/>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23" t="s">
        <v>522</v>
      </c>
      <c r="D6" s="3424"/>
      <c r="E6" s="3447" t="s">
        <v>523</v>
      </c>
      <c r="F6" s="3448"/>
      <c r="G6" s="3423" t="s">
        <v>524</v>
      </c>
      <c r="H6" s="3424"/>
      <c r="I6" s="3423" t="s">
        <v>525</v>
      </c>
      <c r="J6" s="3424"/>
      <c r="K6" s="514" t="s">
        <v>526</v>
      </c>
      <c r="L6" s="2134"/>
      <c r="M6" s="2135"/>
      <c r="N6" s="2135"/>
      <c r="O6" s="2135"/>
      <c r="P6" s="3425" t="s">
        <v>527</v>
      </c>
      <c r="Q6" s="3426"/>
      <c r="R6" s="3411" t="s">
        <v>523</v>
      </c>
      <c r="S6" s="3412"/>
      <c r="T6" s="3411" t="s">
        <v>524</v>
      </c>
      <c r="U6" s="3412"/>
      <c r="V6" s="3431" t="s">
        <v>525</v>
      </c>
      <c r="W6" s="3431"/>
      <c r="X6" s="1567"/>
      <c r="Y6" s="3411" t="s">
        <v>527</v>
      </c>
      <c r="Z6" s="3412"/>
      <c r="AA6" s="3406" t="s">
        <v>523</v>
      </c>
      <c r="AB6" s="3407" t="s">
        <v>524</v>
      </c>
      <c r="AC6" s="3406" t="s">
        <v>525</v>
      </c>
    </row>
    <row r="7" spans="1:29" ht="15">
      <c r="A7" s="515"/>
      <c r="B7" s="516"/>
      <c r="C7" s="3434" t="s">
        <v>2934</v>
      </c>
      <c r="D7" s="3435"/>
      <c r="E7" s="3449" t="s">
        <v>2935</v>
      </c>
      <c r="F7" s="3450"/>
      <c r="G7" s="3434" t="s">
        <v>2936</v>
      </c>
      <c r="H7" s="3435"/>
      <c r="I7" s="3434" t="s">
        <v>2937</v>
      </c>
      <c r="J7" s="3435"/>
      <c r="K7" s="514"/>
      <c r="L7" s="2134"/>
      <c r="M7" s="2135"/>
      <c r="N7" s="2135"/>
      <c r="O7" s="2135"/>
      <c r="P7" s="3427"/>
      <c r="Q7" s="3428"/>
      <c r="R7" s="3413"/>
      <c r="S7" s="3414"/>
      <c r="T7" s="3413"/>
      <c r="U7" s="3414"/>
      <c r="V7" s="3431"/>
      <c r="W7" s="3431"/>
      <c r="X7" s="1567"/>
      <c r="Y7" s="3413"/>
      <c r="Z7" s="3414"/>
      <c r="AA7" s="3407"/>
      <c r="AB7" s="3407"/>
      <c r="AC7" s="3407"/>
    </row>
    <row r="8" spans="1:29" ht="15.75" thickBot="1">
      <c r="A8" s="517"/>
      <c r="B8" s="518"/>
      <c r="C8" s="3432" t="s">
        <v>2938</v>
      </c>
      <c r="D8" s="3433"/>
      <c r="E8" s="3451" t="s">
        <v>2938</v>
      </c>
      <c r="F8" s="3452"/>
      <c r="G8" s="3432" t="s">
        <v>2938</v>
      </c>
      <c r="H8" s="3433"/>
      <c r="I8" s="3432" t="s">
        <v>2938</v>
      </c>
      <c r="J8" s="3433"/>
      <c r="K8" s="514" t="s">
        <v>528</v>
      </c>
      <c r="L8" s="2134"/>
      <c r="M8" s="2135"/>
      <c r="N8" s="2135"/>
      <c r="O8" s="2135"/>
      <c r="P8" s="3429"/>
      <c r="Q8" s="3430"/>
      <c r="R8" s="3413"/>
      <c r="S8" s="3414"/>
      <c r="T8" s="3415"/>
      <c r="U8" s="3416"/>
      <c r="V8" s="3431"/>
      <c r="W8" s="3431"/>
      <c r="X8" s="1567"/>
      <c r="Y8" s="3415"/>
      <c r="Z8" s="3416"/>
      <c r="AA8" s="3408"/>
      <c r="AB8" s="3408"/>
      <c r="AC8" s="3408"/>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9" t="s">
        <v>530</v>
      </c>
      <c r="Q9" s="3418"/>
      <c r="R9" s="1568" t="s">
        <v>8</v>
      </c>
      <c r="S9" s="1569">
        <f t="shared" ref="S9:S17" si="0">F9</f>
        <v>0</v>
      </c>
      <c r="T9" s="1568" t="s">
        <v>8</v>
      </c>
      <c r="U9" s="1569">
        <f t="shared" ref="U9:U17" si="1">H9</f>
        <v>0</v>
      </c>
      <c r="V9" s="1568" t="s">
        <v>8</v>
      </c>
      <c r="W9" s="1569">
        <f t="shared" ref="W9:W17" si="2">J9</f>
        <v>0</v>
      </c>
      <c r="X9" s="1570"/>
      <c r="Y9" s="3409" t="s">
        <v>530</v>
      </c>
      <c r="Z9" s="3410"/>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9" t="s">
        <v>533</v>
      </c>
      <c r="Q10" s="3410"/>
      <c r="R10" s="1568" t="s">
        <v>8</v>
      </c>
      <c r="S10" s="1569">
        <f t="shared" si="0"/>
        <v>0</v>
      </c>
      <c r="T10" s="1568" t="s">
        <v>8</v>
      </c>
      <c r="U10" s="1569">
        <f t="shared" si="1"/>
        <v>0</v>
      </c>
      <c r="V10" s="1568" t="s">
        <v>8</v>
      </c>
      <c r="W10" s="1569">
        <f t="shared" si="2"/>
        <v>0</v>
      </c>
      <c r="X10" s="1570"/>
      <c r="Y10" s="3409" t="s">
        <v>533</v>
      </c>
      <c r="Z10" s="3410"/>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17" t="s">
        <v>535</v>
      </c>
      <c r="Q11" s="1151" t="str">
        <f t="shared" ref="Q11:Q17" si="6">B11</f>
        <v>用途</v>
      </c>
      <c r="R11" s="1568" t="s">
        <v>8</v>
      </c>
      <c r="S11" s="1569">
        <f t="shared" si="0"/>
        <v>100</v>
      </c>
      <c r="T11" s="1568" t="s">
        <v>8</v>
      </c>
      <c r="U11" s="1569">
        <f t="shared" si="1"/>
        <v>100</v>
      </c>
      <c r="V11" s="1568" t="s">
        <v>8</v>
      </c>
      <c r="W11" s="1569">
        <f t="shared" si="2"/>
        <v>100</v>
      </c>
      <c r="X11" s="1570"/>
      <c r="Y11" s="3374"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17"/>
      <c r="Q12" s="1151" t="str">
        <f t="shared" si="6"/>
        <v>土地使用年限（年）</v>
      </c>
      <c r="R12" s="1568" t="s">
        <v>8</v>
      </c>
      <c r="S12" s="1569">
        <f t="shared" si="0"/>
        <v>100</v>
      </c>
      <c r="T12" s="1568" t="s">
        <v>8</v>
      </c>
      <c r="U12" s="1569">
        <f t="shared" si="1"/>
        <v>100</v>
      </c>
      <c r="V12" s="1568" t="s">
        <v>8</v>
      </c>
      <c r="W12" s="1569">
        <f t="shared" si="2"/>
        <v>100</v>
      </c>
      <c r="X12" s="1570"/>
      <c r="Y12" s="3374"/>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17"/>
      <c r="Q13" s="1151" t="str">
        <f t="shared" si="6"/>
        <v>容积率</v>
      </c>
      <c r="R13" s="1568" t="s">
        <v>8</v>
      </c>
      <c r="S13" s="1569" t="e">
        <f t="shared" si="0"/>
        <v>#N/A</v>
      </c>
      <c r="T13" s="1568" t="s">
        <v>8</v>
      </c>
      <c r="U13" s="1569" t="e">
        <f t="shared" si="1"/>
        <v>#N/A</v>
      </c>
      <c r="V13" s="1568" t="s">
        <v>8</v>
      </c>
      <c r="W13" s="1569" t="e">
        <f t="shared" si="2"/>
        <v>#N/A</v>
      </c>
      <c r="X13" s="1570"/>
      <c r="Y13" s="3374"/>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17"/>
      <c r="Q15" s="1151">
        <f t="shared" si="6"/>
        <v>111</v>
      </c>
      <c r="R15" s="1568" t="s">
        <v>8</v>
      </c>
      <c r="S15" s="1569">
        <f t="shared" si="0"/>
        <v>100</v>
      </c>
      <c r="T15" s="1568" t="s">
        <v>8</v>
      </c>
      <c r="U15" s="1569">
        <f t="shared" si="1"/>
        <v>100</v>
      </c>
      <c r="V15" s="1568" t="s">
        <v>8</v>
      </c>
      <c r="W15" s="1569">
        <f t="shared" si="2"/>
        <v>100</v>
      </c>
      <c r="X15" s="1570"/>
      <c r="Y15" s="3374"/>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17"/>
      <c r="Q16" s="1151">
        <f t="shared" si="6"/>
        <v>111</v>
      </c>
      <c r="R16" s="1568" t="s">
        <v>8</v>
      </c>
      <c r="S16" s="1569">
        <f t="shared" si="0"/>
        <v>100</v>
      </c>
      <c r="T16" s="1568" t="s">
        <v>8</v>
      </c>
      <c r="U16" s="1569">
        <f t="shared" si="1"/>
        <v>100</v>
      </c>
      <c r="V16" s="1568" t="s">
        <v>8</v>
      </c>
      <c r="W16" s="1569">
        <f t="shared" si="2"/>
        <v>100</v>
      </c>
      <c r="X16" s="1570"/>
      <c r="Y16" s="3374"/>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9" t="s">
        <v>540</v>
      </c>
      <c r="Q17" s="1572" t="str">
        <f t="shared" si="6"/>
        <v>产业集聚程度</v>
      </c>
      <c r="R17" s="1573" t="s">
        <v>8</v>
      </c>
      <c r="S17" s="1574">
        <f t="shared" si="0"/>
        <v>100</v>
      </c>
      <c r="T17" s="1573" t="s">
        <v>8</v>
      </c>
      <c r="U17" s="1574">
        <f t="shared" si="1"/>
        <v>100</v>
      </c>
      <c r="V17" s="1573" t="s">
        <v>8</v>
      </c>
      <c r="W17" s="1574">
        <f t="shared" si="2"/>
        <v>100</v>
      </c>
      <c r="X17" s="1567"/>
      <c r="Y17" s="341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0"/>
      <c r="Q18" s="1572"/>
      <c r="R18" s="1573"/>
      <c r="S18" s="1574"/>
      <c r="T18" s="1573"/>
      <c r="U18" s="1574"/>
      <c r="V18" s="1573"/>
      <c r="W18" s="1574"/>
      <c r="X18" s="1567"/>
      <c r="Y18" s="342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0"/>
      <c r="Q19" s="1572" t="str">
        <f>B19</f>
        <v>交通便捷度</v>
      </c>
      <c r="R19" s="1573" t="s">
        <v>8</v>
      </c>
      <c r="S19" s="1574">
        <f>F19</f>
        <v>100</v>
      </c>
      <c r="T19" s="1573" t="s">
        <v>8</v>
      </c>
      <c r="U19" s="1574">
        <f>H19</f>
        <v>100</v>
      </c>
      <c r="V19" s="1573" t="s">
        <v>8</v>
      </c>
      <c r="W19" s="1574">
        <f>J19</f>
        <v>100</v>
      </c>
      <c r="X19" s="1567"/>
      <c r="Y19" s="342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0"/>
      <c r="Q21" s="1572" t="str">
        <f t="shared" ref="Q21:Q35" si="8">B21</f>
        <v>区域土地利用方向</v>
      </c>
      <c r="R21" s="1573" t="s">
        <v>8</v>
      </c>
      <c r="S21" s="1574">
        <f>F21</f>
        <v>100</v>
      </c>
      <c r="T21" s="1573" t="s">
        <v>8</v>
      </c>
      <c r="U21" s="1574">
        <f>H21</f>
        <v>100</v>
      </c>
      <c r="V21" s="1573" t="s">
        <v>8</v>
      </c>
      <c r="W21" s="1574">
        <f>J21</f>
        <v>100</v>
      </c>
      <c r="X21" s="1567"/>
      <c r="Y21" s="342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0"/>
      <c r="Q22" s="1572"/>
      <c r="R22" s="1573"/>
      <c r="S22" s="1574"/>
      <c r="T22" s="1573"/>
      <c r="U22" s="1574"/>
      <c r="V22" s="1573"/>
      <c r="W22" s="1574"/>
      <c r="X22" s="1567"/>
      <c r="Y22" s="342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0"/>
      <c r="Q23" s="1572" t="str">
        <f t="shared" si="8"/>
        <v>环境状况</v>
      </c>
      <c r="R23" s="1573" t="s">
        <v>8</v>
      </c>
      <c r="S23" s="1574">
        <f>F23</f>
        <v>100</v>
      </c>
      <c r="T23" s="1573" t="s">
        <v>8</v>
      </c>
      <c r="U23" s="1574">
        <f>H23</f>
        <v>100</v>
      </c>
      <c r="V23" s="1573" t="s">
        <v>8</v>
      </c>
      <c r="W23" s="1574">
        <f>J23</f>
        <v>100</v>
      </c>
      <c r="X23" s="1567"/>
      <c r="Y23" s="342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0"/>
      <c r="Q24" s="1572"/>
      <c r="R24" s="1573"/>
      <c r="S24" s="1574"/>
      <c r="T24" s="1573"/>
      <c r="U24" s="1574"/>
      <c r="V24" s="1573"/>
      <c r="W24" s="1574"/>
      <c r="X24" s="1567"/>
      <c r="Y24" s="3420"/>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0"/>
      <c r="Q25" s="1151" t="str">
        <f t="shared" si="8"/>
        <v>公共配套设施</v>
      </c>
      <c r="R25" s="1568" t="s">
        <v>8</v>
      </c>
      <c r="S25" s="1569">
        <f>F25</f>
        <v>100</v>
      </c>
      <c r="T25" s="1568" t="s">
        <v>8</v>
      </c>
      <c r="U25" s="1569">
        <f>H25</f>
        <v>100</v>
      </c>
      <c r="V25" s="1568" t="s">
        <v>8</v>
      </c>
      <c r="W25" s="1569">
        <f>J25</f>
        <v>100</v>
      </c>
      <c r="X25" s="1570"/>
      <c r="Y25" s="3420"/>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0"/>
      <c r="Q26" s="1151"/>
      <c r="R26" s="1568"/>
      <c r="S26" s="1569"/>
      <c r="T26" s="1568"/>
      <c r="U26" s="1569"/>
      <c r="V26" s="1568"/>
      <c r="W26" s="1569"/>
      <c r="X26" s="1570"/>
      <c r="Y26" s="3420"/>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0"/>
      <c r="Q27" s="2579" t="str">
        <f t="shared" ref="Q27" si="9">B27</f>
        <v>基础设施水平</v>
      </c>
      <c r="R27" s="1568" t="s">
        <v>8</v>
      </c>
      <c r="S27" s="1569">
        <f>F27</f>
        <v>100</v>
      </c>
      <c r="T27" s="1568" t="s">
        <v>8</v>
      </c>
      <c r="U27" s="1569">
        <f>H27</f>
        <v>100</v>
      </c>
      <c r="V27" s="1568" t="s">
        <v>8</v>
      </c>
      <c r="W27" s="1569">
        <f>J27</f>
        <v>100</v>
      </c>
      <c r="X27" s="1570"/>
      <c r="Y27" s="3420"/>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0"/>
      <c r="Q28" s="2579"/>
      <c r="R28" s="1568"/>
      <c r="S28" s="1569"/>
      <c r="T28" s="1568"/>
      <c r="U28" s="1569"/>
      <c r="V28" s="1568"/>
      <c r="W28" s="1569"/>
      <c r="X28" s="1570"/>
      <c r="Y28" s="3420"/>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0"/>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0"/>
      <c r="Q30" s="1572" t="str">
        <f t="shared" si="8"/>
        <v>毗邻道路的类型与等级</v>
      </c>
      <c r="R30" s="1573" t="s">
        <v>8</v>
      </c>
      <c r="S30" s="1574">
        <f t="shared" si="10"/>
        <v>100</v>
      </c>
      <c r="T30" s="1573" t="s">
        <v>8</v>
      </c>
      <c r="U30" s="1574">
        <f t="shared" si="11"/>
        <v>100</v>
      </c>
      <c r="V30" s="1573" t="s">
        <v>8</v>
      </c>
      <c r="W30" s="1574">
        <f t="shared" si="12"/>
        <v>100</v>
      </c>
      <c r="X30" s="1567"/>
      <c r="Y30" s="342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0"/>
      <c r="Q31" s="1572"/>
      <c r="R31" s="1573"/>
      <c r="S31" s="1574"/>
      <c r="T31" s="1573"/>
      <c r="U31" s="1574"/>
      <c r="V31" s="1573"/>
      <c r="W31" s="1574"/>
      <c r="X31" s="1567"/>
      <c r="Y31" s="3420"/>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0"/>
      <c r="Q32" s="1572" t="str">
        <f t="shared" si="8"/>
        <v>土地级别</v>
      </c>
      <c r="R32" s="1573" t="s">
        <v>8</v>
      </c>
      <c r="S32" s="1574">
        <f t="shared" si="10"/>
        <v>100</v>
      </c>
      <c r="T32" s="1573" t="s">
        <v>8</v>
      </c>
      <c r="U32" s="1574">
        <f t="shared" si="11"/>
        <v>100</v>
      </c>
      <c r="V32" s="1573" t="s">
        <v>8</v>
      </c>
      <c r="W32" s="1574">
        <f t="shared" si="12"/>
        <v>100</v>
      </c>
      <c r="X32" s="1567"/>
      <c r="Y32" s="342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0"/>
      <c r="Q33" s="1572">
        <f t="shared" si="8"/>
        <v>111</v>
      </c>
      <c r="R33" s="1573" t="s">
        <v>8</v>
      </c>
      <c r="S33" s="1574">
        <f t="shared" si="10"/>
        <v>100</v>
      </c>
      <c r="T33" s="1573" t="s">
        <v>8</v>
      </c>
      <c r="U33" s="1574">
        <f t="shared" si="11"/>
        <v>100</v>
      </c>
      <c r="V33" s="1573" t="s">
        <v>8</v>
      </c>
      <c r="W33" s="1574">
        <f t="shared" si="12"/>
        <v>100</v>
      </c>
      <c r="X33" s="1567"/>
      <c r="Y33" s="342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1" t="s">
        <v>550</v>
      </c>
      <c r="Q34" s="1572">
        <f t="shared" si="8"/>
        <v>111</v>
      </c>
      <c r="R34" s="1573" t="s">
        <v>8</v>
      </c>
      <c r="S34" s="1574">
        <f t="shared" si="10"/>
        <v>100</v>
      </c>
      <c r="T34" s="1573" t="s">
        <v>8</v>
      </c>
      <c r="U34" s="1574">
        <f t="shared" si="11"/>
        <v>100</v>
      </c>
      <c r="V34" s="1573" t="s">
        <v>8</v>
      </c>
      <c r="W34" s="1574">
        <f t="shared" si="12"/>
        <v>100</v>
      </c>
      <c r="X34" s="1567"/>
      <c r="Y34" s="3422"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22"/>
      <c r="Q35" s="1572">
        <f t="shared" si="8"/>
        <v>111</v>
      </c>
      <c r="R35" s="1577" t="s">
        <v>8</v>
      </c>
      <c r="S35" s="1578">
        <f t="shared" si="10"/>
        <v>100</v>
      </c>
      <c r="T35" s="1577" t="s">
        <v>8</v>
      </c>
      <c r="U35" s="1578">
        <f t="shared" si="11"/>
        <v>100</v>
      </c>
      <c r="V35" s="1577" t="s">
        <v>8</v>
      </c>
      <c r="W35" s="1578">
        <f t="shared" si="12"/>
        <v>100</v>
      </c>
      <c r="X35" s="1579"/>
      <c r="Y35" s="3422"/>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22"/>
      <c r="Q36" s="1572" t="str">
        <f>B36</f>
        <v>宗地面积</v>
      </c>
      <c r="R36" s="1573" t="s">
        <v>8</v>
      </c>
      <c r="S36" s="1574" t="e">
        <f t="shared" si="10"/>
        <v>#N/A</v>
      </c>
      <c r="T36" s="1573" t="s">
        <v>8</v>
      </c>
      <c r="U36" s="1574" t="e">
        <f t="shared" si="11"/>
        <v>#N/A</v>
      </c>
      <c r="V36" s="1573" t="s">
        <v>8</v>
      </c>
      <c r="W36" s="1574" t="e">
        <f t="shared" si="12"/>
        <v>#N/A</v>
      </c>
      <c r="X36" s="1567"/>
      <c r="Y36" s="3422"/>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22"/>
      <c r="Q37" s="1572" t="str">
        <f t="shared" ref="Q37:Q42" si="14">B37</f>
        <v>宗地形状</v>
      </c>
      <c r="R37" s="1573" t="s">
        <v>8</v>
      </c>
      <c r="S37" s="1574">
        <f t="shared" si="10"/>
        <v>100</v>
      </c>
      <c r="T37" s="1573" t="s">
        <v>8</v>
      </c>
      <c r="U37" s="1574">
        <f t="shared" si="11"/>
        <v>100</v>
      </c>
      <c r="V37" s="1573" t="s">
        <v>8</v>
      </c>
      <c r="W37" s="1574">
        <f t="shared" si="12"/>
        <v>100</v>
      </c>
      <c r="X37" s="1567"/>
      <c r="Y37" s="3422"/>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22"/>
      <c r="Q38" s="1572" t="str">
        <f t="shared" si="14"/>
        <v>宗地开发程度</v>
      </c>
      <c r="R38" s="1568" t="s">
        <v>8</v>
      </c>
      <c r="S38" s="1569">
        <f t="shared" si="10"/>
        <v>100</v>
      </c>
      <c r="T38" s="1568" t="s">
        <v>8</v>
      </c>
      <c r="U38" s="1569">
        <f t="shared" si="11"/>
        <v>100</v>
      </c>
      <c r="V38" s="1568" t="s">
        <v>8</v>
      </c>
      <c r="W38" s="1569">
        <f t="shared" si="12"/>
        <v>100</v>
      </c>
      <c r="X38" s="1570"/>
      <c r="Y38" s="342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22" t="s">
        <v>601</v>
      </c>
      <c r="Q39" s="1572" t="str">
        <f t="shared" si="14"/>
        <v>工程地质条件</v>
      </c>
      <c r="R39" s="1573" t="s">
        <v>8</v>
      </c>
      <c r="S39" s="1574">
        <f t="shared" si="10"/>
        <v>100</v>
      </c>
      <c r="T39" s="1573" t="s">
        <v>8</v>
      </c>
      <c r="U39" s="1574">
        <f t="shared" si="11"/>
        <v>100</v>
      </c>
      <c r="V39" s="1573" t="s">
        <v>8</v>
      </c>
      <c r="W39" s="1574">
        <f t="shared" si="12"/>
        <v>100</v>
      </c>
      <c r="X39" s="1567"/>
      <c r="Y39" s="342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22"/>
      <c r="Q40" s="1572">
        <f t="shared" si="14"/>
        <v>111</v>
      </c>
      <c r="R40" s="1573" t="s">
        <v>8</v>
      </c>
      <c r="S40" s="1574">
        <f t="shared" si="10"/>
        <v>100</v>
      </c>
      <c r="T40" s="1573" t="s">
        <v>8</v>
      </c>
      <c r="U40" s="1574">
        <f t="shared" si="11"/>
        <v>100</v>
      </c>
      <c r="V40" s="1573" t="s">
        <v>8</v>
      </c>
      <c r="W40" s="1574">
        <f t="shared" si="12"/>
        <v>100</v>
      </c>
      <c r="X40" s="1567"/>
      <c r="Y40" s="342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22"/>
      <c r="Q41" s="1572">
        <f t="shared" si="14"/>
        <v>111</v>
      </c>
      <c r="R41" s="1573" t="s">
        <v>8</v>
      </c>
      <c r="S41" s="1574">
        <f t="shared" si="10"/>
        <v>100</v>
      </c>
      <c r="T41" s="1573" t="s">
        <v>8</v>
      </c>
      <c r="U41" s="1574">
        <f t="shared" si="11"/>
        <v>100</v>
      </c>
      <c r="V41" s="1573" t="s">
        <v>8</v>
      </c>
      <c r="W41" s="1574">
        <f t="shared" si="12"/>
        <v>100</v>
      </c>
      <c r="X41" s="1567"/>
      <c r="Y41" s="342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22"/>
      <c r="Q42" s="1572">
        <f t="shared" si="14"/>
        <v>111</v>
      </c>
      <c r="R42" s="1577" t="s">
        <v>8</v>
      </c>
      <c r="S42" s="1578">
        <f t="shared" si="10"/>
        <v>100</v>
      </c>
      <c r="T42" s="1577" t="s">
        <v>8</v>
      </c>
      <c r="U42" s="1578">
        <f t="shared" si="11"/>
        <v>100</v>
      </c>
      <c r="V42" s="1577" t="s">
        <v>8</v>
      </c>
      <c r="W42" s="1578">
        <f t="shared" si="12"/>
        <v>100</v>
      </c>
      <c r="X42" s="1579"/>
      <c r="Y42" s="3422"/>
      <c r="Z42" s="1580">
        <f t="shared" si="13"/>
        <v>111</v>
      </c>
      <c r="AA42" s="1576">
        <f t="shared" si="3"/>
        <v>1</v>
      </c>
      <c r="AB42" s="1576">
        <f t="shared" si="4"/>
        <v>1</v>
      </c>
      <c r="AC42" s="1576">
        <f t="shared" si="5"/>
        <v>1</v>
      </c>
    </row>
    <row r="43" spans="1:29" ht="15">
      <c r="A43" s="607" t="s">
        <v>556</v>
      </c>
      <c r="B43" s="608" t="s">
        <v>2939</v>
      </c>
      <c r="C43" s="609" t="s">
        <v>1</v>
      </c>
      <c r="D43" s="610"/>
      <c r="E43" s="611"/>
      <c r="F43" s="612"/>
      <c r="G43" s="613"/>
      <c r="H43" s="614"/>
      <c r="I43" s="611"/>
      <c r="J43" s="614"/>
      <c r="K43" s="1340"/>
      <c r="L43" s="2145"/>
      <c r="M43" s="2135"/>
      <c r="N43" s="2135"/>
      <c r="O43" s="2146"/>
      <c r="P43" s="3417" t="str">
        <f>A43</f>
        <v>成交单价</v>
      </c>
      <c r="Q43" s="3417"/>
      <c r="R43" s="3431">
        <f>E43</f>
        <v>0</v>
      </c>
      <c r="S43" s="3431"/>
      <c r="T43" s="3431">
        <f>G43</f>
        <v>0</v>
      </c>
      <c r="U43" s="3431"/>
      <c r="V43" s="3431">
        <f>I43</f>
        <v>0</v>
      </c>
      <c r="W43" s="3431"/>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17" t="str">
        <f>A44</f>
        <v>比较价格（元/平方米）</v>
      </c>
      <c r="Q44" s="3417"/>
      <c r="R44" s="3441" t="e">
        <f>ROUND(PRODUCT(R43,AA9:AA42),0)</f>
        <v>#DIV/0!</v>
      </c>
      <c r="S44" s="3441"/>
      <c r="T44" s="3441" t="e">
        <f>ROUND(PRODUCT(T43,AB9:AB42),0)</f>
        <v>#DIV/0!</v>
      </c>
      <c r="U44" s="3441"/>
      <c r="V44" s="3441" t="e">
        <f>ROUND(PRODUCT(V43,AC9:AC42),0)</f>
        <v>#DIV/0!</v>
      </c>
      <c r="W44" s="3441"/>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438" t="str">
        <f>A45</f>
        <v>估价对象XX用房的比较价格（楼面单价，元/平方米）</v>
      </c>
      <c r="Q45" s="3439"/>
      <c r="R45" s="3440" t="e">
        <f>ROUND(AVERAGE(R44:V44),0)</f>
        <v>#DIV/0!</v>
      </c>
      <c r="S45" s="3440"/>
      <c r="T45" s="3440"/>
      <c r="U45" s="3440"/>
      <c r="V45" s="3440"/>
      <c r="W45" s="3440"/>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42" t="s">
        <v>2287</v>
      </c>
      <c r="H52" s="3443"/>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49953.47</v>
      </c>
      <c r="F53" s="1951" t="e">
        <f t="shared" ref="F53:F62" si="15">ROUND(B53*E53/10000,0)</f>
        <v>#DIV/0!</v>
      </c>
      <c r="G53" s="3444"/>
      <c r="H53" s="3445"/>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6"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6"/>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6"/>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6"/>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19375.689999999999</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19604.2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2941</v>
      </c>
      <c r="G3" s="1039">
        <f>IF(F3="宗地容积率",'数据-汇总表'!I4,IF(F3="估价对象容积率",'数据-汇总表'!I6,'数据-汇总表'!I7))</f>
        <v>3.02</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54"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3.02</v>
      </c>
      <c r="AA7" s="2193"/>
      <c r="AB7" s="2193"/>
      <c r="AC7" s="2194"/>
      <c r="AD7" s="2930"/>
      <c r="AE7" s="2930"/>
      <c r="AF7" s="2930"/>
      <c r="AG7" s="2930"/>
      <c r="AH7" s="2930"/>
      <c r="AI7" s="2930"/>
      <c r="AJ7" s="2931"/>
    </row>
    <row r="8" spans="1:39" ht="15">
      <c r="A8" s="3455"/>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64" t="s">
        <v>2786</v>
      </c>
      <c r="X8" s="3465"/>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55"/>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63"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55"/>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6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55"/>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63" t="s">
        <v>2784</v>
      </c>
      <c r="X11" s="1048" t="s">
        <v>2769</v>
      </c>
      <c r="Y11" s="1653">
        <f>$G$3</f>
        <v>3.02</v>
      </c>
      <c r="Z11" s="1653">
        <f t="shared" ref="Z11:AJ11" si="3">$G$3</f>
        <v>3.02</v>
      </c>
      <c r="AA11" s="1653">
        <f t="shared" si="3"/>
        <v>3.02</v>
      </c>
      <c r="AB11" s="1653">
        <f t="shared" si="3"/>
        <v>3.02</v>
      </c>
      <c r="AC11" s="1653">
        <f t="shared" si="3"/>
        <v>3.02</v>
      </c>
      <c r="AD11" s="1653">
        <f t="shared" si="3"/>
        <v>3.02</v>
      </c>
      <c r="AE11" s="1653">
        <f t="shared" si="3"/>
        <v>3.02</v>
      </c>
      <c r="AF11" s="1653">
        <f t="shared" si="3"/>
        <v>3.02</v>
      </c>
      <c r="AG11" s="1653">
        <f t="shared" si="3"/>
        <v>3.02</v>
      </c>
      <c r="AH11" s="1653">
        <f t="shared" si="3"/>
        <v>3.02</v>
      </c>
      <c r="AI11" s="1653">
        <f t="shared" si="3"/>
        <v>3.02</v>
      </c>
      <c r="AJ11" s="1653">
        <f t="shared" si="3"/>
        <v>3.02</v>
      </c>
    </row>
    <row r="12" spans="1:39" ht="25.5" thickBot="1">
      <c r="A12" s="3454"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63"/>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56"/>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63"/>
      <c r="X13" s="2935"/>
      <c r="Y13" s="2934">
        <f>(-0.163*(Y12^2)-0.59*Y12+7617)*(10^(-4))/Y11</f>
        <v>0.2522185430463576</v>
      </c>
      <c r="Z13" s="2934">
        <f t="shared" ref="Z13:AJ13" si="5">(-0.163*(Z12^2)-0.59*Z12+7617)*(10^(-4))/Z11</f>
        <v>0.2522185430463576</v>
      </c>
      <c r="AA13" s="2934">
        <f t="shared" si="5"/>
        <v>0.2522185430463576</v>
      </c>
      <c r="AB13" s="2934">
        <f t="shared" si="5"/>
        <v>0.2522185430463576</v>
      </c>
      <c r="AC13" s="2934">
        <f t="shared" si="5"/>
        <v>0.2522185430463576</v>
      </c>
      <c r="AD13" s="2934">
        <f t="shared" si="5"/>
        <v>0.2522185430463576</v>
      </c>
      <c r="AE13" s="2934">
        <f t="shared" si="5"/>
        <v>0.2522185430463576</v>
      </c>
      <c r="AF13" s="2934">
        <f t="shared" si="5"/>
        <v>0.2522185430463576</v>
      </c>
      <c r="AG13" s="2934">
        <f t="shared" si="5"/>
        <v>0.2522185430463576</v>
      </c>
      <c r="AH13" s="2934">
        <f t="shared" si="5"/>
        <v>0.2522185430463576</v>
      </c>
      <c r="AI13" s="2934">
        <f t="shared" si="5"/>
        <v>0.2522185430463576</v>
      </c>
      <c r="AJ13" s="2934">
        <f t="shared" si="5"/>
        <v>0.2522185430463576</v>
      </c>
    </row>
    <row r="14" spans="1:39" ht="12.75" customHeight="1" thickBot="1">
      <c r="A14" s="3456"/>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5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5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5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43362</v>
      </c>
      <c r="H19" s="1475" t="s">
        <v>2942</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60" t="s">
        <v>2968</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6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6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6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58" t="s">
        <v>1634</v>
      </c>
      <c r="B90" s="3458"/>
      <c r="C90" s="3458"/>
      <c r="D90" s="3458"/>
      <c r="E90" s="3458"/>
      <c r="F90" s="3458"/>
      <c r="G90" s="3458"/>
      <c r="H90" s="3458"/>
      <c r="I90" s="3458"/>
      <c r="J90" s="3458"/>
      <c r="K90" s="2451"/>
      <c r="L90" s="2451"/>
      <c r="M90" s="2451"/>
      <c r="N90" s="2451"/>
    </row>
    <row r="91" spans="1:40">
      <c r="A91" s="3459" t="s">
        <v>1444</v>
      </c>
      <c r="B91" s="3459" t="s">
        <v>1635</v>
      </c>
      <c r="C91" s="1140" t="s">
        <v>1636</v>
      </c>
      <c r="D91" s="1141"/>
      <c r="E91" s="1141"/>
      <c r="F91" s="1141"/>
      <c r="G91" s="1141"/>
      <c r="H91" s="1141"/>
      <c r="I91" s="1141"/>
      <c r="J91" s="1142"/>
      <c r="K91" s="1134"/>
      <c r="L91" s="1134"/>
      <c r="M91" s="1134"/>
      <c r="N91" s="1134"/>
    </row>
    <row r="92" spans="1:40">
      <c r="A92" s="3459"/>
      <c r="B92" s="3459"/>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66"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66" t="s">
        <v>1638</v>
      </c>
      <c r="B101" s="1147" t="s">
        <v>906</v>
      </c>
      <c r="C101" s="1148">
        <f>$G$3</f>
        <v>3.02</v>
      </c>
      <c r="D101" s="1148">
        <f t="shared" ref="D101:N101" si="31">$G$3</f>
        <v>3.02</v>
      </c>
      <c r="E101" s="1148">
        <f t="shared" si="31"/>
        <v>3.02</v>
      </c>
      <c r="F101" s="1148">
        <f t="shared" si="31"/>
        <v>3.02</v>
      </c>
      <c r="G101" s="1148">
        <f t="shared" si="31"/>
        <v>3.02</v>
      </c>
      <c r="H101" s="1148">
        <f t="shared" si="31"/>
        <v>3.02</v>
      </c>
      <c r="I101" s="1148">
        <f t="shared" si="31"/>
        <v>3.02</v>
      </c>
      <c r="J101" s="1148">
        <f t="shared" si="31"/>
        <v>3.02</v>
      </c>
      <c r="K101" s="1148">
        <f t="shared" si="31"/>
        <v>3.02</v>
      </c>
      <c r="L101" s="1148">
        <f t="shared" si="31"/>
        <v>3.02</v>
      </c>
      <c r="M101" s="1148">
        <f t="shared" si="31"/>
        <v>3.02</v>
      </c>
      <c r="N101" s="1148">
        <f t="shared" si="31"/>
        <v>3.02</v>
      </c>
    </row>
    <row r="102" spans="1:14">
      <c r="A102" s="3467"/>
      <c r="B102" s="1143">
        <v>1</v>
      </c>
      <c r="C102" s="1144">
        <f>1.9362/C101</f>
        <v>0.6411258278145695</v>
      </c>
      <c r="D102" s="1144">
        <f>1.9362/D101</f>
        <v>0.6411258278145695</v>
      </c>
      <c r="E102" s="1144">
        <f>1.8629/E101</f>
        <v>0.61685430463576163</v>
      </c>
      <c r="F102" s="1144">
        <f>1.8629/F101</f>
        <v>0.61685430463576163</v>
      </c>
      <c r="G102" s="1144">
        <f>1.8629/G101</f>
        <v>0.61685430463576163</v>
      </c>
      <c r="H102" s="1144">
        <f>1.8629/H101</f>
        <v>0.61685430463576163</v>
      </c>
      <c r="I102" s="1144">
        <f>1.8629/I101</f>
        <v>0.61685430463576163</v>
      </c>
      <c r="J102" s="1144">
        <f>1.942/J101</f>
        <v>0.64304635761589402</v>
      </c>
      <c r="K102" s="1144">
        <f>1.942/K101</f>
        <v>0.64304635761589402</v>
      </c>
      <c r="L102" s="1144">
        <f>1.942/L101</f>
        <v>0.64304635761589402</v>
      </c>
      <c r="M102" s="1144">
        <f>1.942/M101</f>
        <v>0.64304635761589402</v>
      </c>
      <c r="N102" s="1144">
        <f>1.942/N101</f>
        <v>0.64304635761589402</v>
      </c>
    </row>
    <row r="103" spans="1:14">
      <c r="A103" s="3467"/>
      <c r="B103" s="1143">
        <v>2</v>
      </c>
      <c r="C103" s="1144">
        <f>1.4198/C101</f>
        <v>0.47013245033112583</v>
      </c>
      <c r="D103" s="1144">
        <f>1.4198/D101</f>
        <v>0.47013245033112583</v>
      </c>
      <c r="E103" s="1144">
        <f>1.3372/E101</f>
        <v>0.44278145695364235</v>
      </c>
      <c r="F103" s="1144">
        <f>1.3372/F101</f>
        <v>0.44278145695364235</v>
      </c>
      <c r="G103" s="1144">
        <f>1.3372/G101</f>
        <v>0.44278145695364235</v>
      </c>
      <c r="H103" s="1144">
        <f>1.3372/H101</f>
        <v>0.44278145695364235</v>
      </c>
      <c r="I103" s="1144">
        <f>1.3372/I101</f>
        <v>0.44278145695364235</v>
      </c>
      <c r="J103" s="1144">
        <f>1.2799/J101</f>
        <v>0.42380794701986757</v>
      </c>
      <c r="K103" s="1144">
        <f>1.2799/K101</f>
        <v>0.42380794701986757</v>
      </c>
      <c r="L103" s="1144">
        <f>1.2799/L101</f>
        <v>0.42380794701986757</v>
      </c>
      <c r="M103" s="1144">
        <f>1.2799/M101</f>
        <v>0.42380794701986757</v>
      </c>
      <c r="N103" s="1144">
        <f>1.2799/N101</f>
        <v>0.42380794701986757</v>
      </c>
    </row>
    <row r="104" spans="1:14">
      <c r="A104" s="3467"/>
      <c r="B104" s="1143">
        <v>3</v>
      </c>
      <c r="C104" s="1144">
        <f>1.1594/C101</f>
        <v>0.3839072847682119</v>
      </c>
      <c r="D104" s="1144">
        <f>1.1594/D101</f>
        <v>0.3839072847682119</v>
      </c>
      <c r="E104" s="1144">
        <f>1.0788/E101</f>
        <v>0.35721854304635758</v>
      </c>
      <c r="F104" s="1144">
        <f>1.0788/F101</f>
        <v>0.35721854304635758</v>
      </c>
      <c r="G104" s="1144">
        <f>1.0788/G101</f>
        <v>0.35721854304635758</v>
      </c>
      <c r="H104" s="1144">
        <f>1.0788/H101</f>
        <v>0.35721854304635758</v>
      </c>
      <c r="I104" s="1144">
        <f>1.0788/I101</f>
        <v>0.35721854304635758</v>
      </c>
      <c r="J104" s="1144">
        <f>1.0072/J101</f>
        <v>0.33350993377483446</v>
      </c>
      <c r="K104" s="1144">
        <f>1.0072/K101</f>
        <v>0.33350993377483446</v>
      </c>
      <c r="L104" s="1144">
        <f>1.0072/L101</f>
        <v>0.33350993377483446</v>
      </c>
      <c r="M104" s="1144">
        <f>1.0072/M101</f>
        <v>0.33350993377483446</v>
      </c>
      <c r="N104" s="1144">
        <f>1.0072/N101</f>
        <v>0.33350993377483446</v>
      </c>
    </row>
    <row r="105" spans="1:14">
      <c r="A105" s="3467"/>
      <c r="B105" s="1143">
        <v>4</v>
      </c>
      <c r="C105" s="1144">
        <f>0.9622/C101</f>
        <v>0.31860927152317881</v>
      </c>
      <c r="D105" s="1144">
        <f>0.9622/D101</f>
        <v>0.31860927152317881</v>
      </c>
      <c r="E105" s="1144">
        <f>0.8656/E101</f>
        <v>0.2866225165562914</v>
      </c>
      <c r="F105" s="1144">
        <f>0.8656/F101</f>
        <v>0.2866225165562914</v>
      </c>
      <c r="G105" s="1144">
        <f>0.8656/G101</f>
        <v>0.2866225165562914</v>
      </c>
      <c r="H105" s="1144">
        <f>0.8656/H101</f>
        <v>0.2866225165562914</v>
      </c>
      <c r="I105" s="1144">
        <f>0.8656/I101</f>
        <v>0.2866225165562914</v>
      </c>
      <c r="J105" s="1144">
        <f>0.7525/J101</f>
        <v>0.24917218543046354</v>
      </c>
      <c r="K105" s="1144">
        <f>0.7525/K101</f>
        <v>0.24917218543046354</v>
      </c>
      <c r="L105" s="1144">
        <f>0.7525/L101</f>
        <v>0.24917218543046354</v>
      </c>
      <c r="M105" s="1144">
        <f>0.7525/M101</f>
        <v>0.24917218543046354</v>
      </c>
      <c r="N105" s="1144">
        <f>0.7525/N101</f>
        <v>0.24917218543046354</v>
      </c>
    </row>
    <row r="106" spans="1:14">
      <c r="A106" s="3467"/>
      <c r="B106" s="1143">
        <v>5</v>
      </c>
      <c r="C106" s="1144">
        <f>0.8417/C101</f>
        <v>0.27870860927152319</v>
      </c>
      <c r="D106" s="1144">
        <f>0.8417/D101</f>
        <v>0.27870860927152319</v>
      </c>
      <c r="E106" s="1144">
        <f>0.7371/E101</f>
        <v>0.2440728476821192</v>
      </c>
      <c r="F106" s="1144">
        <f>0.7371/F101</f>
        <v>0.2440728476821192</v>
      </c>
      <c r="G106" s="1144">
        <f>0.7371/G101</f>
        <v>0.2440728476821192</v>
      </c>
      <c r="H106" s="1144">
        <f>0.7371/H101</f>
        <v>0.2440728476821192</v>
      </c>
      <c r="I106" s="1144">
        <f>0.7371/I101</f>
        <v>0.2440728476821192</v>
      </c>
      <c r="J106" s="1144">
        <f>0.5659/J101</f>
        <v>0.18738410596026489</v>
      </c>
      <c r="K106" s="1144">
        <f>0.5659/K101</f>
        <v>0.18738410596026489</v>
      </c>
      <c r="L106" s="1144">
        <f>0.5659/L101</f>
        <v>0.18738410596026489</v>
      </c>
      <c r="M106" s="1144">
        <f>0.5659/M101</f>
        <v>0.18738410596026489</v>
      </c>
      <c r="N106" s="1144">
        <f>0.5659/N101</f>
        <v>0.18738410596026489</v>
      </c>
    </row>
    <row r="107" spans="1:14">
      <c r="A107" s="3467"/>
      <c r="B107" s="1143">
        <v>6</v>
      </c>
      <c r="C107" s="1144">
        <f>0.7608/C101</f>
        <v>0.25192052980132451</v>
      </c>
      <c r="D107" s="1144">
        <f>0.7608/D101</f>
        <v>0.25192052980132451</v>
      </c>
      <c r="E107" s="1144">
        <f>0.6482/E101</f>
        <v>0.21463576158940398</v>
      </c>
      <c r="F107" s="1144">
        <f>0.6482/F101</f>
        <v>0.21463576158940398</v>
      </c>
      <c r="G107" s="1144">
        <f>0.6482/G101</f>
        <v>0.21463576158940398</v>
      </c>
      <c r="H107" s="1144">
        <f>0.6482/H101</f>
        <v>0.21463576158940398</v>
      </c>
      <c r="I107" s="1144">
        <f>0.6482/I101</f>
        <v>0.21463576158940398</v>
      </c>
      <c r="J107" s="1144">
        <f>0.4525/J101</f>
        <v>0.14983443708609273</v>
      </c>
      <c r="K107" s="1144">
        <f>0.4525/K101</f>
        <v>0.14983443708609273</v>
      </c>
      <c r="L107" s="1144">
        <f>0.4525/L101</f>
        <v>0.14983443708609273</v>
      </c>
      <c r="M107" s="1144">
        <f>0.4525/M101</f>
        <v>0.14983443708609273</v>
      </c>
      <c r="N107" s="1144">
        <f>0.4525/N101</f>
        <v>0.14983443708609273</v>
      </c>
    </row>
    <row r="108" spans="1:14">
      <c r="A108" s="3467"/>
      <c r="B108" s="346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8"/>
      <c r="B109" s="3470"/>
      <c r="C109" s="1146">
        <f>(-0.163*(C108^2)-0.59*C108+7617)*(10^(-4))/C101</f>
        <v>0.25171682119205296</v>
      </c>
      <c r="D109" s="1146">
        <f>(-0.163*(D108^2)-0.59*D108+7617)*(10^(-4))/D101</f>
        <v>0.25171682119205296</v>
      </c>
      <c r="E109" s="1146">
        <f>(-0.161*(E108^2)-7.509*E108+6533)*(10^(-4))/E101</f>
        <v>0.21399417218543046</v>
      </c>
      <c r="F109" s="1146">
        <f>(-0.161*(F108^2)-7.509*F108+6533)*(10^(-4))/F101</f>
        <v>0.21399417218543046</v>
      </c>
      <c r="G109" s="1146">
        <f>(-0.161*(G108^2)-7.509*G108+6533)*(10^(-4))/G101</f>
        <v>0.21399417218543046</v>
      </c>
      <c r="H109" s="1146">
        <f>(-0.161*(H108^2)-7.509*H108+6533)*(10^(-4))/H101</f>
        <v>0.21399417218543046</v>
      </c>
      <c r="I109" s="1146">
        <f>(-0.161*(I108^2)-7.509*I108+6533)*(10^(-4))/I101</f>
        <v>0.21399417218543046</v>
      </c>
      <c r="J109" s="1146">
        <f>(-0.214*(J108^2)-21.991*J108+4665)*(10^(-4))/J101</f>
        <v>0.14819125827814569</v>
      </c>
      <c r="K109" s="1146">
        <f>(-0.214*(K108^2)-21.991*K108+4665)*(10^(-4))/K101</f>
        <v>0.14819125827814569</v>
      </c>
      <c r="L109" s="1146">
        <f>(-0.214*(L108^2)-21.991*L108+4665)*(10^(-4))/L101</f>
        <v>0.14819125827814569</v>
      </c>
      <c r="M109" s="1146">
        <f>(-0.214*(M108^2)-21.991*M108+4665)*(10^(-4))/M101</f>
        <v>0.14819125827814569</v>
      </c>
      <c r="N109" s="1146">
        <f>(-0.214*(N108^2)-21.991*N108+4665)*(10^(-4))/N101</f>
        <v>0.14819125827814569</v>
      </c>
    </row>
    <row r="110" spans="1:14">
      <c r="A110" s="3453" t="s">
        <v>1640</v>
      </c>
      <c r="B110" s="3453"/>
      <c r="C110" s="3453"/>
      <c r="D110" s="3453"/>
      <c r="E110" s="3453"/>
      <c r="F110" s="3453"/>
      <c r="G110" s="3453"/>
      <c r="H110" s="3453"/>
      <c r="I110" s="3453"/>
      <c r="J110" s="3453"/>
      <c r="K110" s="2449"/>
      <c r="L110" s="2449"/>
      <c r="M110" s="2449"/>
      <c r="N110" s="2449"/>
    </row>
    <row r="112" spans="1:14" ht="12.75" thickBot="1"/>
    <row r="113" spans="1:13" ht="25.5" thickBot="1">
      <c r="A113" s="1016" t="s">
        <v>896</v>
      </c>
      <c r="B113" s="2452">
        <f>G3</f>
        <v>3.02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0.90510000000000002</v>
      </c>
      <c r="C115" s="1030">
        <f>B115</f>
        <v>0.90510000000000002</v>
      </c>
      <c r="D115" s="1030">
        <f>ROUND(0.8331-0.0109*B113,4)</f>
        <v>0.80020000000000002</v>
      </c>
      <c r="E115" s="1030">
        <f>D115</f>
        <v>0.80020000000000002</v>
      </c>
      <c r="F115" s="1030">
        <f>E115</f>
        <v>0.80020000000000002</v>
      </c>
      <c r="G115" s="1030">
        <f>F115</f>
        <v>0.80020000000000002</v>
      </c>
      <c r="H115" s="1030">
        <f>G115</f>
        <v>0.80020000000000002</v>
      </c>
      <c r="I115" s="1030">
        <f>ROUND(0.689-0.0155*B113,4)</f>
        <v>0.64219999999999999</v>
      </c>
      <c r="J115" s="1030">
        <f t="shared" ref="J115:M118" si="33">I115</f>
        <v>0.64219999999999999</v>
      </c>
      <c r="K115" s="1030">
        <f t="shared" si="33"/>
        <v>0.64219999999999999</v>
      </c>
      <c r="L115" s="1030">
        <f t="shared" si="33"/>
        <v>0.64219999999999999</v>
      </c>
      <c r="M115" s="1031">
        <f t="shared" si="33"/>
        <v>0.64219999999999999</v>
      </c>
    </row>
    <row r="116" spans="1:13" ht="12.75">
      <c r="A116" s="1029" t="s">
        <v>901</v>
      </c>
      <c r="B116" s="1030">
        <f>ROUND(0.949-0.012*B113,4)</f>
        <v>0.91279999999999994</v>
      </c>
      <c r="C116" s="1030">
        <f>B116</f>
        <v>0.91279999999999994</v>
      </c>
      <c r="D116" s="1030">
        <f>ROUND(0.8567-0.013*B113,4)</f>
        <v>0.81740000000000002</v>
      </c>
      <c r="E116" s="1030">
        <f t="shared" ref="E116:H117" si="34">D116</f>
        <v>0.81740000000000002</v>
      </c>
      <c r="F116" s="1030">
        <f t="shared" si="34"/>
        <v>0.81740000000000002</v>
      </c>
      <c r="G116" s="1030">
        <f t="shared" si="34"/>
        <v>0.81740000000000002</v>
      </c>
      <c r="H116" s="1030">
        <f t="shared" si="34"/>
        <v>0.81740000000000002</v>
      </c>
      <c r="I116" s="1030">
        <f>ROUND(0.7694-0.014*B113,4)</f>
        <v>0.72709999999999997</v>
      </c>
      <c r="J116" s="1030">
        <f t="shared" si="33"/>
        <v>0.72709999999999997</v>
      </c>
      <c r="K116" s="1030">
        <f t="shared" si="33"/>
        <v>0.72709999999999997</v>
      </c>
      <c r="L116" s="1030">
        <f t="shared" si="33"/>
        <v>0.72709999999999997</v>
      </c>
      <c r="M116" s="1031">
        <f t="shared" si="33"/>
        <v>0.72709999999999997</v>
      </c>
    </row>
    <row r="117" spans="1:13" ht="12.75">
      <c r="A117" s="1032" t="s">
        <v>902</v>
      </c>
      <c r="B117" s="1030">
        <f>ROUND(0.8808-0.006*B113,4)</f>
        <v>0.86270000000000002</v>
      </c>
      <c r="C117" s="1030">
        <f>B117</f>
        <v>0.86270000000000002</v>
      </c>
      <c r="D117" s="1030">
        <f>ROUND(0.8748-0.008*B113,4)</f>
        <v>0.85060000000000002</v>
      </c>
      <c r="E117" s="1030">
        <f t="shared" si="34"/>
        <v>0.85060000000000002</v>
      </c>
      <c r="F117" s="1030">
        <f t="shared" si="34"/>
        <v>0.85060000000000002</v>
      </c>
      <c r="G117" s="1030">
        <f t="shared" si="34"/>
        <v>0.85060000000000002</v>
      </c>
      <c r="H117" s="1030">
        <f t="shared" si="34"/>
        <v>0.85060000000000002</v>
      </c>
      <c r="I117" s="1030">
        <f>ROUND(0.7412-0.0095*B113,4)</f>
        <v>0.71250000000000002</v>
      </c>
      <c r="J117" s="1030">
        <f t="shared" si="33"/>
        <v>0.71250000000000002</v>
      </c>
      <c r="K117" s="1030">
        <f t="shared" si="33"/>
        <v>0.71250000000000002</v>
      </c>
      <c r="L117" s="1030">
        <f t="shared" si="33"/>
        <v>0.71250000000000002</v>
      </c>
      <c r="M117" s="1031">
        <f t="shared" si="33"/>
        <v>0.71250000000000002</v>
      </c>
    </row>
    <row r="118" spans="1:13" ht="13.5" thickBot="1">
      <c r="A118" s="1033" t="s">
        <v>903</v>
      </c>
      <c r="B118" s="1034">
        <f>ROUND(0.7275-0.01*B113,4)</f>
        <v>0.69730000000000003</v>
      </c>
      <c r="C118" s="1034">
        <f>B118</f>
        <v>0.69730000000000003</v>
      </c>
      <c r="D118" s="1034">
        <f>ROUND(0.7043-0.012*B113,4)</f>
        <v>0.66810000000000003</v>
      </c>
      <c r="E118" s="1034">
        <f>D118</f>
        <v>0.66810000000000003</v>
      </c>
      <c r="F118" s="1034">
        <f>E118</f>
        <v>0.66810000000000003</v>
      </c>
      <c r="G118" s="1034">
        <f>ROUND(0.6299-0.0122*B113,4)</f>
        <v>0.59309999999999996</v>
      </c>
      <c r="H118" s="1034">
        <f>G118</f>
        <v>0.59309999999999996</v>
      </c>
      <c r="I118" s="1034">
        <f>ROUND(0.5667-0.0136*B113,4)</f>
        <v>0.52559999999999996</v>
      </c>
      <c r="J118" s="1034">
        <f t="shared" si="33"/>
        <v>0.52559999999999996</v>
      </c>
      <c r="K118" s="1034">
        <f t="shared" si="33"/>
        <v>0.52559999999999996</v>
      </c>
      <c r="L118" s="1034">
        <f t="shared" si="33"/>
        <v>0.52559999999999996</v>
      </c>
      <c r="M118" s="1035">
        <f t="shared" si="33"/>
        <v>0.52559999999999996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59" t="s">
        <v>1008</v>
      </c>
      <c r="B18" s="1154" t="s">
        <v>1447</v>
      </c>
      <c r="C18" s="1131" t="s">
        <v>1448</v>
      </c>
      <c r="D18" s="1132"/>
      <c r="E18" s="1154">
        <v>1</v>
      </c>
      <c r="F18" s="1133" t="s">
        <v>1449</v>
      </c>
      <c r="G18" s="1134"/>
      <c r="H18" s="1105"/>
      <c r="I18" s="1105"/>
    </row>
    <row r="19" spans="1:9" s="1599" customFormat="1" ht="19.5" customHeight="1">
      <c r="A19" s="3459"/>
      <c r="B19" s="3459" t="s">
        <v>1450</v>
      </c>
      <c r="C19" s="1131" t="s">
        <v>1451</v>
      </c>
      <c r="D19" s="1132"/>
      <c r="E19" s="1154">
        <v>0.9</v>
      </c>
      <c r="F19" s="1133" t="s">
        <v>1452</v>
      </c>
      <c r="G19" s="1134"/>
      <c r="H19" s="1105"/>
      <c r="I19" s="1105"/>
    </row>
    <row r="20" spans="1:9" s="1599" customFormat="1" ht="19.5" customHeight="1">
      <c r="A20" s="3459"/>
      <c r="B20" s="3459"/>
      <c r="C20" s="1131" t="s">
        <v>1453</v>
      </c>
      <c r="D20" s="1132"/>
      <c r="E20" s="1154">
        <v>1.1000000000000001</v>
      </c>
      <c r="F20" s="1133" t="s">
        <v>1454</v>
      </c>
      <c r="G20" s="1134"/>
      <c r="H20" s="1105"/>
      <c r="I20" s="1105"/>
    </row>
    <row r="21" spans="1:9" s="1599" customFormat="1" ht="19.5" customHeight="1">
      <c r="A21" s="3459"/>
      <c r="B21" s="3459"/>
      <c r="C21" s="1131" t="s">
        <v>1455</v>
      </c>
      <c r="D21" s="1132"/>
      <c r="E21" s="1154">
        <v>0.8</v>
      </c>
      <c r="F21" s="1133" t="s">
        <v>1456</v>
      </c>
      <c r="G21" s="1134"/>
      <c r="H21" s="1105"/>
      <c r="I21" s="1105"/>
    </row>
    <row r="22" spans="1:9" s="1599" customFormat="1" ht="19.5" customHeight="1">
      <c r="A22" s="3459"/>
      <c r="B22" s="3459"/>
      <c r="C22" s="1131" t="s">
        <v>1457</v>
      </c>
      <c r="D22" s="1132"/>
      <c r="E22" s="1154">
        <v>0.5</v>
      </c>
      <c r="F22" s="1133"/>
      <c r="G22" s="1134"/>
      <c r="H22" s="1105"/>
      <c r="I22" s="1105"/>
    </row>
    <row r="23" spans="1:9" s="1599" customFormat="1" ht="19.5" customHeight="1">
      <c r="A23" s="3459" t="s">
        <v>1030</v>
      </c>
      <c r="B23" s="1154" t="s">
        <v>1447</v>
      </c>
      <c r="C23" s="1131" t="s">
        <v>1458</v>
      </c>
      <c r="D23" s="1132"/>
      <c r="E23" s="1154">
        <v>1</v>
      </c>
      <c r="F23" s="1133" t="s">
        <v>1459</v>
      </c>
      <c r="G23" s="1134"/>
      <c r="H23" s="1105"/>
      <c r="I23" s="1105"/>
    </row>
    <row r="24" spans="1:9" s="1599" customFormat="1" ht="19.5" customHeight="1">
      <c r="A24" s="3459"/>
      <c r="B24" s="3459" t="s">
        <v>1450</v>
      </c>
      <c r="C24" s="1131" t="s">
        <v>1460</v>
      </c>
      <c r="D24" s="1132"/>
      <c r="E24" s="1154">
        <v>0.5</v>
      </c>
      <c r="F24" s="1133"/>
      <c r="G24" s="1134"/>
      <c r="H24" s="1105"/>
      <c r="I24" s="1105"/>
    </row>
    <row r="25" spans="1:9" s="1599" customFormat="1" ht="19.5" customHeight="1">
      <c r="A25" s="3459"/>
      <c r="B25" s="3459"/>
      <c r="C25" s="1131" t="s">
        <v>1461</v>
      </c>
      <c r="D25" s="1132"/>
      <c r="E25" s="1154">
        <v>1.1000000000000001</v>
      </c>
      <c r="F25" s="1133"/>
      <c r="G25" s="1134"/>
      <c r="H25" s="1105"/>
      <c r="I25" s="1105"/>
    </row>
    <row r="26" spans="1:9" s="1599" customFormat="1" ht="19.5" customHeight="1">
      <c r="A26" s="3459"/>
      <c r="B26" s="3459"/>
      <c r="C26" s="1131" t="s">
        <v>1462</v>
      </c>
      <c r="D26" s="1132"/>
      <c r="E26" s="1154">
        <v>1.1000000000000001</v>
      </c>
      <c r="F26" s="1133"/>
      <c r="G26" s="1134"/>
      <c r="H26" s="1105"/>
      <c r="I26" s="1105"/>
    </row>
    <row r="27" spans="1:9" s="1599" customFormat="1" ht="19.5" customHeight="1">
      <c r="A27" s="3459"/>
      <c r="B27" s="3459"/>
      <c r="C27" s="1131" t="s">
        <v>1463</v>
      </c>
      <c r="D27" s="1132"/>
      <c r="E27" s="1154">
        <v>0.9</v>
      </c>
      <c r="F27" s="1133" t="s">
        <v>1464</v>
      </c>
      <c r="G27" s="1134"/>
      <c r="H27" s="1105"/>
      <c r="I27" s="1105"/>
    </row>
    <row r="28" spans="1:9" s="1599" customFormat="1" ht="19.5" customHeight="1">
      <c r="A28" s="3459"/>
      <c r="B28" s="3459"/>
      <c r="C28" s="1131" t="s">
        <v>1465</v>
      </c>
      <c r="D28" s="1132"/>
      <c r="E28" s="1154">
        <v>0.9</v>
      </c>
      <c r="F28" s="1133" t="s">
        <v>1466</v>
      </c>
      <c r="G28" s="1134"/>
      <c r="H28" s="1105"/>
      <c r="I28" s="1105"/>
    </row>
    <row r="29" spans="1:9" s="1599" customFormat="1" ht="19.5" customHeight="1">
      <c r="A29" s="3459"/>
      <c r="B29" s="3459"/>
      <c r="C29" s="1131" t="s">
        <v>1467</v>
      </c>
      <c r="D29" s="1132"/>
      <c r="E29" s="1154">
        <v>0.9</v>
      </c>
      <c r="F29" s="1133" t="s">
        <v>1468</v>
      </c>
      <c r="G29" s="1134"/>
      <c r="H29" s="1105"/>
      <c r="I29" s="1105"/>
    </row>
    <row r="30" spans="1:9" s="1599" customFormat="1" ht="19.5" customHeight="1">
      <c r="A30" s="3459"/>
      <c r="B30" s="3459"/>
      <c r="C30" s="1131" t="s">
        <v>1469</v>
      </c>
      <c r="D30" s="1132"/>
      <c r="E30" s="1154">
        <v>0.9</v>
      </c>
      <c r="F30" s="1133" t="s">
        <v>1470</v>
      </c>
      <c r="G30" s="1134"/>
      <c r="H30" s="1105"/>
      <c r="I30" s="1105"/>
    </row>
    <row r="31" spans="1:9" s="1599" customFormat="1" ht="19.5" customHeight="1">
      <c r="A31" s="3459"/>
      <c r="B31" s="3459"/>
      <c r="C31" s="1131" t="s">
        <v>1471</v>
      </c>
      <c r="D31" s="1132"/>
      <c r="E31" s="1154">
        <v>0.8</v>
      </c>
      <c r="F31" s="1133" t="s">
        <v>1472</v>
      </c>
      <c r="G31" s="1134"/>
      <c r="H31" s="1105"/>
      <c r="I31" s="1105"/>
    </row>
    <row r="32" spans="1:9" s="1599" customFormat="1" ht="19.5" customHeight="1">
      <c r="A32" s="3459"/>
      <c r="B32" s="3459"/>
      <c r="C32" s="1131" t="s">
        <v>1473</v>
      </c>
      <c r="D32" s="1132"/>
      <c r="E32" s="1154">
        <v>0.8</v>
      </c>
      <c r="F32" s="1133" t="s">
        <v>1474</v>
      </c>
      <c r="G32" s="1134"/>
      <c r="H32" s="1105"/>
      <c r="I32" s="1105"/>
    </row>
    <row r="33" spans="1:9" s="1599" customFormat="1" ht="19.5" customHeight="1">
      <c r="A33" s="3459" t="s">
        <v>1475</v>
      </c>
      <c r="B33" s="1154" t="s">
        <v>1447</v>
      </c>
      <c r="C33" s="1131" t="s">
        <v>1476</v>
      </c>
      <c r="D33" s="1132"/>
      <c r="E33" s="1154">
        <v>1</v>
      </c>
      <c r="F33" s="1133" t="s">
        <v>1477</v>
      </c>
      <c r="G33" s="1134"/>
      <c r="H33" s="1105"/>
      <c r="I33" s="1105"/>
    </row>
    <row r="34" spans="1:9" s="1599" customFormat="1" ht="19.5" customHeight="1">
      <c r="A34" s="3459"/>
      <c r="B34" s="1154" t="s">
        <v>1450</v>
      </c>
      <c r="C34" s="1131" t="s">
        <v>1478</v>
      </c>
      <c r="D34" s="1132"/>
      <c r="E34" s="1154">
        <v>1.5</v>
      </c>
      <c r="F34" s="1133" t="s">
        <v>1479</v>
      </c>
      <c r="G34" s="1134"/>
      <c r="H34" s="1105"/>
      <c r="I34" s="1105"/>
    </row>
    <row r="35" spans="1:9" s="1599" customFormat="1" ht="19.5" customHeight="1">
      <c r="A35" s="3459" t="s">
        <v>1433</v>
      </c>
      <c r="B35" s="1154" t="s">
        <v>1447</v>
      </c>
      <c r="C35" s="1131" t="s">
        <v>1480</v>
      </c>
      <c r="D35" s="1132"/>
      <c r="E35" s="1154">
        <v>1</v>
      </c>
      <c r="F35" s="1133" t="s">
        <v>1481</v>
      </c>
      <c r="G35" s="1134"/>
      <c r="H35" s="1105"/>
      <c r="I35" s="1105"/>
    </row>
    <row r="36" spans="1:9" s="1599" customFormat="1" ht="19.5" customHeight="1">
      <c r="A36" s="3459"/>
      <c r="B36" s="3459" t="s">
        <v>1450</v>
      </c>
      <c r="C36" s="1131" t="s">
        <v>1482</v>
      </c>
      <c r="D36" s="1132"/>
      <c r="E36" s="1154">
        <v>1</v>
      </c>
      <c r="F36" s="1133" t="s">
        <v>1483</v>
      </c>
      <c r="G36" s="1134"/>
      <c r="H36" s="1105"/>
      <c r="I36" s="1105"/>
    </row>
    <row r="37" spans="1:9" s="1599" customFormat="1" ht="19.5" customHeight="1">
      <c r="A37" s="3459"/>
      <c r="B37" s="3459"/>
      <c r="C37" s="1131" t="s">
        <v>1484</v>
      </c>
      <c r="D37" s="1132"/>
      <c r="E37" s="1154">
        <v>1.5</v>
      </c>
      <c r="F37" s="1133" t="s">
        <v>1485</v>
      </c>
      <c r="G37" s="1134"/>
      <c r="H37" s="1105"/>
      <c r="I37" s="1105"/>
    </row>
    <row r="38" spans="1:9" s="1599" customFormat="1" ht="19.5" customHeight="1">
      <c r="A38" s="3459"/>
      <c r="B38" s="3459"/>
      <c r="C38" s="1131" t="s">
        <v>1486</v>
      </c>
      <c r="D38" s="1132"/>
      <c r="E38" s="1154">
        <v>1</v>
      </c>
      <c r="F38" s="1133" t="s">
        <v>1487</v>
      </c>
      <c r="G38" s="1134"/>
      <c r="H38" s="1105"/>
      <c r="I38" s="1105"/>
    </row>
    <row r="39" spans="1:9" s="1599" customFormat="1" ht="19.5" customHeight="1">
      <c r="A39" s="3459"/>
      <c r="B39" s="345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59" t="s">
        <v>1502</v>
      </c>
      <c r="C61" s="1068" t="s">
        <v>1503</v>
      </c>
      <c r="D61" s="1068" t="s">
        <v>1504</v>
      </c>
      <c r="E61" s="1139">
        <v>0.5</v>
      </c>
      <c r="F61" s="1154">
        <v>80</v>
      </c>
      <c r="H61" s="1105">
        <f>SUMIF(C59:C119,基准地价!C8,E59:E119)</f>
        <v>0</v>
      </c>
    </row>
    <row r="62" spans="1:8" s="1105" customFormat="1" ht="24">
      <c r="A62" s="1154">
        <v>2</v>
      </c>
      <c r="B62" s="3459"/>
      <c r="C62" s="1068" t="s">
        <v>1505</v>
      </c>
      <c r="D62" s="1068" t="s">
        <v>1506</v>
      </c>
      <c r="E62" s="1139">
        <v>0.5</v>
      </c>
      <c r="F62" s="1154">
        <v>80</v>
      </c>
    </row>
    <row r="63" spans="1:8" s="1105" customFormat="1" ht="36">
      <c r="A63" s="1154">
        <v>3</v>
      </c>
      <c r="B63" s="3459"/>
      <c r="C63" s="1068" t="s">
        <v>1507</v>
      </c>
      <c r="D63" s="1068" t="s">
        <v>1508</v>
      </c>
      <c r="E63" s="1139">
        <v>0.5</v>
      </c>
      <c r="F63" s="1154">
        <v>80</v>
      </c>
    </row>
    <row r="64" spans="1:8" s="1105" customFormat="1" ht="36">
      <c r="A64" s="1154">
        <v>4</v>
      </c>
      <c r="B64" s="3459"/>
      <c r="C64" s="1068" t="s">
        <v>1509</v>
      </c>
      <c r="D64" s="1068" t="s">
        <v>1510</v>
      </c>
      <c r="E64" s="1139">
        <v>0.4</v>
      </c>
      <c r="F64" s="1154">
        <v>60</v>
      </c>
    </row>
    <row r="65" spans="1:6" s="1105" customFormat="1" ht="36">
      <c r="A65" s="1154">
        <v>5</v>
      </c>
      <c r="B65" s="3459"/>
      <c r="C65" s="1068" t="s">
        <v>1511</v>
      </c>
      <c r="D65" s="1068" t="s">
        <v>1512</v>
      </c>
      <c r="E65" s="1139">
        <v>0.2</v>
      </c>
      <c r="F65" s="1154">
        <v>30</v>
      </c>
    </row>
    <row r="66" spans="1:6" s="1105" customFormat="1" ht="36">
      <c r="A66" s="1154">
        <v>6</v>
      </c>
      <c r="B66" s="3459"/>
      <c r="C66" s="1068" t="s">
        <v>1513</v>
      </c>
      <c r="D66" s="1068" t="s">
        <v>1514</v>
      </c>
      <c r="E66" s="1139">
        <v>0.3</v>
      </c>
      <c r="F66" s="1154">
        <v>50</v>
      </c>
    </row>
    <row r="67" spans="1:6" s="1105" customFormat="1" ht="36">
      <c r="A67" s="1154">
        <v>7</v>
      </c>
      <c r="B67" s="3459"/>
      <c r="C67" s="1068" t="s">
        <v>1515</v>
      </c>
      <c r="D67" s="1068" t="s">
        <v>1516</v>
      </c>
      <c r="E67" s="1139">
        <v>0.2</v>
      </c>
      <c r="F67" s="1154">
        <v>30</v>
      </c>
    </row>
    <row r="68" spans="1:6" s="1105" customFormat="1" ht="36">
      <c r="A68" s="1154">
        <v>8</v>
      </c>
      <c r="B68" s="3459"/>
      <c r="C68" s="1068" t="s">
        <v>1517</v>
      </c>
      <c r="D68" s="1068" t="s">
        <v>1518</v>
      </c>
      <c r="E68" s="1139">
        <v>0.2</v>
      </c>
      <c r="F68" s="1154">
        <v>30</v>
      </c>
    </row>
    <row r="69" spans="1:6" s="1105" customFormat="1" ht="36">
      <c r="A69" s="1154">
        <v>9</v>
      </c>
      <c r="B69" s="3459"/>
      <c r="C69" s="1068" t="s">
        <v>1519</v>
      </c>
      <c r="D69" s="1068" t="s">
        <v>1520</v>
      </c>
      <c r="E69" s="1139">
        <v>0.2</v>
      </c>
      <c r="F69" s="1154">
        <v>30</v>
      </c>
    </row>
    <row r="70" spans="1:6" s="1105" customFormat="1" ht="48">
      <c r="A70" s="1154">
        <v>10</v>
      </c>
      <c r="B70" s="3459"/>
      <c r="C70" s="1068" t="s">
        <v>1521</v>
      </c>
      <c r="D70" s="1068" t="s">
        <v>1522</v>
      </c>
      <c r="E70" s="1139">
        <v>0.2</v>
      </c>
      <c r="F70" s="1154">
        <v>30</v>
      </c>
    </row>
    <row r="71" spans="1:6" s="1105" customFormat="1" ht="48">
      <c r="A71" s="1154">
        <v>11</v>
      </c>
      <c r="B71" s="3459"/>
      <c r="C71" s="1068" t="s">
        <v>1523</v>
      </c>
      <c r="D71" s="1068" t="s">
        <v>1524</v>
      </c>
      <c r="E71" s="1139">
        <v>0.2</v>
      </c>
      <c r="F71" s="1154">
        <v>30</v>
      </c>
    </row>
    <row r="72" spans="1:6" s="1105" customFormat="1" ht="36">
      <c r="A72" s="1154">
        <v>12</v>
      </c>
      <c r="B72" s="3459"/>
      <c r="C72" s="1068" t="s">
        <v>1525</v>
      </c>
      <c r="D72" s="1068" t="s">
        <v>1526</v>
      </c>
      <c r="E72" s="1139">
        <v>0.5</v>
      </c>
      <c r="F72" s="1154">
        <v>80</v>
      </c>
    </row>
    <row r="73" spans="1:6" s="1105" customFormat="1" ht="24">
      <c r="A73" s="1154">
        <v>13</v>
      </c>
      <c r="B73" s="3459"/>
      <c r="C73" s="1068" t="s">
        <v>1527</v>
      </c>
      <c r="D73" s="1068" t="s">
        <v>1528</v>
      </c>
      <c r="E73" s="1139">
        <v>0.4</v>
      </c>
      <c r="F73" s="1154">
        <v>60</v>
      </c>
    </row>
    <row r="74" spans="1:6" s="1105" customFormat="1" ht="24">
      <c r="A74" s="1154">
        <v>14</v>
      </c>
      <c r="B74" s="3459"/>
      <c r="C74" s="1068" t="s">
        <v>1529</v>
      </c>
      <c r="D74" s="1068" t="s">
        <v>1530</v>
      </c>
      <c r="E74" s="1139">
        <v>0.2</v>
      </c>
      <c r="F74" s="1154">
        <v>30</v>
      </c>
    </row>
    <row r="75" spans="1:6" s="1105" customFormat="1" ht="24">
      <c r="A75" s="1154">
        <v>15</v>
      </c>
      <c r="B75" s="3459"/>
      <c r="C75" s="1068" t="s">
        <v>1531</v>
      </c>
      <c r="D75" s="1068" t="s">
        <v>1532</v>
      </c>
      <c r="E75" s="1139">
        <v>0.2</v>
      </c>
      <c r="F75" s="1154">
        <v>30</v>
      </c>
    </row>
    <row r="76" spans="1:6" s="1105" customFormat="1" ht="24">
      <c r="A76" s="1154">
        <v>16</v>
      </c>
      <c r="B76" s="3459" t="s">
        <v>1533</v>
      </c>
      <c r="C76" s="1068" t="s">
        <v>1534</v>
      </c>
      <c r="D76" s="1068" t="s">
        <v>1535</v>
      </c>
      <c r="E76" s="1139">
        <v>0.5</v>
      </c>
      <c r="F76" s="1154">
        <v>80</v>
      </c>
    </row>
    <row r="77" spans="1:6" s="1105" customFormat="1" ht="24">
      <c r="A77" s="1154">
        <v>17</v>
      </c>
      <c r="B77" s="3459"/>
      <c r="C77" s="1068" t="s">
        <v>1536</v>
      </c>
      <c r="D77" s="1068" t="s">
        <v>1537</v>
      </c>
      <c r="E77" s="1139">
        <v>0.5</v>
      </c>
      <c r="F77" s="1154">
        <v>80</v>
      </c>
    </row>
    <row r="78" spans="1:6" s="1105" customFormat="1" ht="24">
      <c r="A78" s="1154">
        <v>18</v>
      </c>
      <c r="B78" s="3459"/>
      <c r="C78" s="1068" t="s">
        <v>1538</v>
      </c>
      <c r="D78" s="1068" t="s">
        <v>1539</v>
      </c>
      <c r="E78" s="1139">
        <v>0.2</v>
      </c>
      <c r="F78" s="1154">
        <v>30</v>
      </c>
    </row>
    <row r="79" spans="1:6" s="1105" customFormat="1" ht="24">
      <c r="A79" s="1154">
        <v>19</v>
      </c>
      <c r="B79" s="3459"/>
      <c r="C79" s="1068" t="s">
        <v>1540</v>
      </c>
      <c r="D79" s="1068" t="s">
        <v>1541</v>
      </c>
      <c r="E79" s="1139">
        <v>0.5</v>
      </c>
      <c r="F79" s="1154">
        <v>80</v>
      </c>
    </row>
    <row r="80" spans="1:6" s="1105" customFormat="1" ht="36">
      <c r="A80" s="1154">
        <v>20</v>
      </c>
      <c r="B80" s="3459"/>
      <c r="C80" s="1068" t="s">
        <v>1542</v>
      </c>
      <c r="D80" s="1068" t="s">
        <v>1543</v>
      </c>
      <c r="E80" s="1139">
        <v>0.2</v>
      </c>
      <c r="F80" s="1154">
        <v>30</v>
      </c>
    </row>
    <row r="81" spans="1:6" s="1105" customFormat="1" ht="36">
      <c r="A81" s="1154">
        <v>21</v>
      </c>
      <c r="B81" s="3459"/>
      <c r="C81" s="1068" t="s">
        <v>1544</v>
      </c>
      <c r="D81" s="1068" t="s">
        <v>1545</v>
      </c>
      <c r="E81" s="1139">
        <v>0.2</v>
      </c>
      <c r="F81" s="1154">
        <v>30</v>
      </c>
    </row>
    <row r="82" spans="1:6" s="1105" customFormat="1" ht="48">
      <c r="A82" s="1154">
        <v>22</v>
      </c>
      <c r="B82" s="3459"/>
      <c r="C82" s="1068" t="s">
        <v>1546</v>
      </c>
      <c r="D82" s="1068" t="s">
        <v>1547</v>
      </c>
      <c r="E82" s="1139">
        <v>0.2</v>
      </c>
      <c r="F82" s="1154">
        <v>30</v>
      </c>
    </row>
    <row r="83" spans="1:6" s="1105" customFormat="1" ht="48">
      <c r="A83" s="1154">
        <v>23</v>
      </c>
      <c r="B83" s="3459"/>
      <c r="C83" s="1068" t="s">
        <v>1548</v>
      </c>
      <c r="D83" s="1068" t="s">
        <v>1549</v>
      </c>
      <c r="E83" s="1139">
        <v>0.2</v>
      </c>
      <c r="F83" s="1154">
        <v>30</v>
      </c>
    </row>
    <row r="84" spans="1:6" s="1105" customFormat="1" ht="36">
      <c r="A84" s="1154">
        <v>24</v>
      </c>
      <c r="B84" s="3459"/>
      <c r="C84" s="1068" t="s">
        <v>1550</v>
      </c>
      <c r="D84" s="1068" t="s">
        <v>1551</v>
      </c>
      <c r="E84" s="1139">
        <v>0.2</v>
      </c>
      <c r="F84" s="1154">
        <v>30</v>
      </c>
    </row>
    <row r="85" spans="1:6" s="1105" customFormat="1" ht="36">
      <c r="A85" s="1154">
        <v>25</v>
      </c>
      <c r="B85" s="3459"/>
      <c r="C85" s="1068" t="s">
        <v>1552</v>
      </c>
      <c r="D85" s="1068" t="s">
        <v>1553</v>
      </c>
      <c r="E85" s="1139">
        <v>0.5</v>
      </c>
      <c r="F85" s="1154">
        <v>80</v>
      </c>
    </row>
    <row r="86" spans="1:6" s="1105" customFormat="1" ht="36">
      <c r="A86" s="1154">
        <v>26</v>
      </c>
      <c r="B86" s="3459"/>
      <c r="C86" s="1068" t="s">
        <v>1554</v>
      </c>
      <c r="D86" s="1068" t="s">
        <v>1555</v>
      </c>
      <c r="E86" s="1139">
        <v>0.2</v>
      </c>
      <c r="F86" s="1154">
        <v>30</v>
      </c>
    </row>
    <row r="87" spans="1:6" s="1105" customFormat="1" ht="36">
      <c r="A87" s="1154">
        <v>27</v>
      </c>
      <c r="B87" s="3459"/>
      <c r="C87" s="1068" t="s">
        <v>1556</v>
      </c>
      <c r="D87" s="1068" t="s">
        <v>1557</v>
      </c>
      <c r="E87" s="1139">
        <v>0.2</v>
      </c>
      <c r="F87" s="1154">
        <v>30</v>
      </c>
    </row>
    <row r="88" spans="1:6" s="1105" customFormat="1" ht="36">
      <c r="A88" s="1154">
        <v>28</v>
      </c>
      <c r="B88" s="3459"/>
      <c r="C88" s="1068" t="s">
        <v>1558</v>
      </c>
      <c r="D88" s="1068" t="s">
        <v>1559</v>
      </c>
      <c r="E88" s="1139">
        <v>0.2</v>
      </c>
      <c r="F88" s="1154">
        <v>30</v>
      </c>
    </row>
    <row r="89" spans="1:6" s="1105" customFormat="1" ht="24">
      <c r="A89" s="1154">
        <v>29</v>
      </c>
      <c r="B89" s="3459"/>
      <c r="C89" s="1068" t="s">
        <v>1560</v>
      </c>
      <c r="D89" s="1068" t="s">
        <v>1561</v>
      </c>
      <c r="E89" s="1139">
        <v>0.2</v>
      </c>
      <c r="F89" s="1154">
        <v>30</v>
      </c>
    </row>
    <row r="90" spans="1:6" s="1105" customFormat="1" ht="24">
      <c r="A90" s="1154">
        <v>30</v>
      </c>
      <c r="B90" s="3459"/>
      <c r="C90" s="1068" t="s">
        <v>1562</v>
      </c>
      <c r="D90" s="1068" t="s">
        <v>1563</v>
      </c>
      <c r="E90" s="1139">
        <v>0.2</v>
      </c>
      <c r="F90" s="1154">
        <v>30</v>
      </c>
    </row>
    <row r="91" spans="1:6" s="1105" customFormat="1" ht="36">
      <c r="A91" s="1154">
        <v>31</v>
      </c>
      <c r="B91" s="3459"/>
      <c r="C91" s="1068" t="s">
        <v>1564</v>
      </c>
      <c r="D91" s="1068" t="s">
        <v>1565</v>
      </c>
      <c r="E91" s="1139">
        <v>0.2</v>
      </c>
      <c r="F91" s="1154">
        <v>30</v>
      </c>
    </row>
    <row r="92" spans="1:6" s="1105" customFormat="1" ht="24">
      <c r="A92" s="1154">
        <v>32</v>
      </c>
      <c r="B92" s="3459" t="s">
        <v>1566</v>
      </c>
      <c r="C92" s="1154" t="s">
        <v>1567</v>
      </c>
      <c r="D92" s="1068" t="s">
        <v>1568</v>
      </c>
      <c r="E92" s="1139">
        <v>0.2</v>
      </c>
      <c r="F92" s="1154">
        <v>30</v>
      </c>
    </row>
    <row r="93" spans="1:6" s="1105" customFormat="1" ht="36">
      <c r="A93" s="1154">
        <v>33</v>
      </c>
      <c r="B93" s="3459"/>
      <c r="C93" s="1154" t="s">
        <v>1569</v>
      </c>
      <c r="D93" s="1068" t="s">
        <v>1570</v>
      </c>
      <c r="E93" s="1139">
        <v>0.2</v>
      </c>
      <c r="F93" s="1154">
        <v>30</v>
      </c>
    </row>
    <row r="94" spans="1:6" s="1105" customFormat="1" ht="48">
      <c r="A94" s="1154">
        <v>34</v>
      </c>
      <c r="B94" s="3459"/>
      <c r="C94" s="1154" t="s">
        <v>1571</v>
      </c>
      <c r="D94" s="1068" t="s">
        <v>1572</v>
      </c>
      <c r="E94" s="1139">
        <v>0.2</v>
      </c>
      <c r="F94" s="1154">
        <v>30</v>
      </c>
    </row>
    <row r="95" spans="1:6" s="1105" customFormat="1" ht="36">
      <c r="A95" s="1154">
        <v>35</v>
      </c>
      <c r="B95" s="3459"/>
      <c r="C95" s="1154" t="s">
        <v>1573</v>
      </c>
      <c r="D95" s="1068" t="s">
        <v>1574</v>
      </c>
      <c r="E95" s="1139">
        <v>0.2</v>
      </c>
      <c r="F95" s="1154">
        <v>30</v>
      </c>
    </row>
    <row r="96" spans="1:6" s="1105" customFormat="1" ht="48">
      <c r="A96" s="1154">
        <v>36</v>
      </c>
      <c r="B96" s="3459"/>
      <c r="C96" s="1068" t="s">
        <v>1575</v>
      </c>
      <c r="D96" s="1068" t="s">
        <v>1576</v>
      </c>
      <c r="E96" s="1139">
        <v>0.2</v>
      </c>
      <c r="F96" s="1154">
        <v>30</v>
      </c>
    </row>
    <row r="97" spans="1:6" s="1105" customFormat="1" ht="36">
      <c r="A97" s="1154">
        <v>37</v>
      </c>
      <c r="B97" s="3459"/>
      <c r="C97" s="1154" t="s">
        <v>1577</v>
      </c>
      <c r="D97" s="1068" t="s">
        <v>1578</v>
      </c>
      <c r="E97" s="1139">
        <v>0.2</v>
      </c>
      <c r="F97" s="1154">
        <v>30</v>
      </c>
    </row>
    <row r="98" spans="1:6" s="1105" customFormat="1" ht="36">
      <c r="A98" s="1154">
        <v>38</v>
      </c>
      <c r="B98" s="3459"/>
      <c r="C98" s="1154" t="s">
        <v>1579</v>
      </c>
      <c r="D98" s="1068" t="s">
        <v>1580</v>
      </c>
      <c r="E98" s="1139">
        <v>0.2</v>
      </c>
      <c r="F98" s="1154">
        <v>30</v>
      </c>
    </row>
    <row r="99" spans="1:6" s="1105" customFormat="1" ht="36">
      <c r="A99" s="1154">
        <v>39</v>
      </c>
      <c r="B99" s="3459" t="s">
        <v>1581</v>
      </c>
      <c r="C99" s="1154" t="s">
        <v>1582</v>
      </c>
      <c r="D99" s="1068" t="s">
        <v>1583</v>
      </c>
      <c r="E99" s="1139">
        <v>0.3</v>
      </c>
      <c r="F99" s="1154">
        <v>50</v>
      </c>
    </row>
    <row r="100" spans="1:6" s="1105" customFormat="1" ht="24">
      <c r="A100" s="1154">
        <v>40</v>
      </c>
      <c r="B100" s="3459"/>
      <c r="C100" s="1154" t="s">
        <v>1584</v>
      </c>
      <c r="D100" s="1068" t="s">
        <v>1585</v>
      </c>
      <c r="E100" s="1139">
        <v>0.2</v>
      </c>
      <c r="F100" s="1154">
        <v>30</v>
      </c>
    </row>
    <row r="101" spans="1:6" s="1105" customFormat="1" ht="36">
      <c r="A101" s="1154">
        <v>41</v>
      </c>
      <c r="B101" s="345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59" t="s">
        <v>1596</v>
      </c>
      <c r="C105" s="1154" t="s">
        <v>1597</v>
      </c>
      <c r="D105" s="1068" t="s">
        <v>1598</v>
      </c>
      <c r="E105" s="1139">
        <v>0.2</v>
      </c>
      <c r="F105" s="1154">
        <v>30</v>
      </c>
    </row>
    <row r="106" spans="1:6" s="1105" customFormat="1" ht="36">
      <c r="A106" s="1154">
        <v>46</v>
      </c>
      <c r="B106" s="3459"/>
      <c r="C106" s="1154" t="s">
        <v>1599</v>
      </c>
      <c r="D106" s="1068" t="s">
        <v>1600</v>
      </c>
      <c r="E106" s="1139">
        <v>0.2</v>
      </c>
      <c r="F106" s="1154">
        <v>30</v>
      </c>
    </row>
    <row r="107" spans="1:6" s="1105" customFormat="1" ht="36">
      <c r="A107" s="1154">
        <v>47</v>
      </c>
      <c r="B107" s="3459" t="s">
        <v>1601</v>
      </c>
      <c r="C107" s="1154" t="s">
        <v>1602</v>
      </c>
      <c r="D107" s="1068" t="s">
        <v>1603</v>
      </c>
      <c r="E107" s="1139">
        <v>0.3</v>
      </c>
      <c r="F107" s="1154">
        <v>50</v>
      </c>
    </row>
    <row r="108" spans="1:6" s="1105" customFormat="1" ht="36">
      <c r="A108" s="1154">
        <v>48</v>
      </c>
      <c r="B108" s="345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59" t="s">
        <v>1612</v>
      </c>
      <c r="C111" s="1154" t="s">
        <v>1613</v>
      </c>
      <c r="D111" s="1068" t="s">
        <v>1614</v>
      </c>
      <c r="E111" s="1139">
        <v>0.2</v>
      </c>
      <c r="F111" s="1154">
        <v>30</v>
      </c>
    </row>
    <row r="112" spans="1:6" s="1105" customFormat="1" ht="24">
      <c r="A112" s="1154">
        <v>52</v>
      </c>
      <c r="B112" s="3459"/>
      <c r="C112" s="1154" t="s">
        <v>1615</v>
      </c>
      <c r="D112" s="1068" t="s">
        <v>1616</v>
      </c>
      <c r="E112" s="1139">
        <v>0.2</v>
      </c>
      <c r="F112" s="1154">
        <v>30</v>
      </c>
    </row>
    <row r="113" spans="1:14" s="1105" customFormat="1" ht="24">
      <c r="A113" s="1154">
        <v>53</v>
      </c>
      <c r="B113" s="345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59" t="s">
        <v>1625</v>
      </c>
      <c r="C116" s="1154" t="s">
        <v>1626</v>
      </c>
      <c r="D116" s="1068" t="s">
        <v>1627</v>
      </c>
      <c r="E116" s="1139">
        <v>0.2</v>
      </c>
      <c r="F116" s="1154">
        <v>30</v>
      </c>
    </row>
    <row r="117" spans="1:14" ht="36">
      <c r="A117" s="1154">
        <v>57</v>
      </c>
      <c r="B117" s="345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58" t="s">
        <v>1634</v>
      </c>
      <c r="B121" s="3458"/>
      <c r="C121" s="3458"/>
      <c r="D121" s="3458"/>
      <c r="E121" s="3458"/>
      <c r="F121" s="3458"/>
      <c r="G121" s="3458"/>
      <c r="H121" s="3458"/>
      <c r="I121" s="3458"/>
      <c r="J121" s="345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1" t="s">
        <v>1040</v>
      </c>
      <c r="B1" s="3471"/>
      <c r="C1" s="3471"/>
      <c r="D1" s="3471"/>
      <c r="E1" s="3471"/>
      <c r="F1" s="347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2" t="s">
        <v>1053</v>
      </c>
      <c r="B2" s="3472"/>
      <c r="C2" s="3472"/>
      <c r="D2" s="3472"/>
      <c r="E2" s="3472"/>
      <c r="F2" s="347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75" t="s">
        <v>2082</v>
      </c>
      <c r="B1" s="3475"/>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2"/>
      <c r="C5" s="1882"/>
      <c r="D5" s="1882"/>
      <c r="E5" s="1882"/>
      <c r="F5" s="3107"/>
    </row>
    <row r="6" spans="1:6" ht="28.5">
      <c r="A6" s="3111" t="s">
        <v>2957</v>
      </c>
      <c r="B6" s="3108" t="s">
        <v>2954</v>
      </c>
      <c r="C6" s="3109"/>
      <c r="D6" s="1882"/>
      <c r="E6" s="3108" t="s">
        <v>2955</v>
      </c>
      <c r="F6" s="3108" t="s">
        <v>2959</v>
      </c>
    </row>
    <row r="7" spans="1:6" ht="14.25">
      <c r="A7" s="260" t="s">
        <v>2958</v>
      </c>
      <c r="B7" s="3112" t="e">
        <f ca="1">SUMIF(INDIRECT("'"&amp;A7&amp;"'"&amp;"!A:A"),"总价",INDIRECT("'"&amp;A7&amp;"'"&amp;"!B:B"))</f>
        <v>#DIV/0!</v>
      </c>
      <c r="C7" s="3108" t="s">
        <v>2952</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2"/>
      <c r="E9" s="3113" t="e">
        <f t="shared" ca="1" si="1"/>
        <v>#REF!</v>
      </c>
      <c r="F9" s="3113" t="e">
        <f t="shared" ca="1" si="2"/>
        <v>#REF!</v>
      </c>
    </row>
    <row r="10" spans="1:6" ht="14.25">
      <c r="A10" s="260"/>
      <c r="B10" s="3112" t="e">
        <f t="shared" ca="1" si="0"/>
        <v>#REF!</v>
      </c>
      <c r="C10" s="3108" t="s">
        <v>2952</v>
      </c>
      <c r="D10" s="1882"/>
      <c r="E10" s="3113" t="e">
        <f t="shared" ca="1" si="1"/>
        <v>#REF!</v>
      </c>
      <c r="F10" s="3113" t="e">
        <f t="shared" ca="1" si="2"/>
        <v>#REF!</v>
      </c>
    </row>
    <row r="11" spans="1:6" ht="14.25">
      <c r="A11" s="260"/>
      <c r="B11" s="3112" t="e">
        <f t="shared" ca="1" si="0"/>
        <v>#REF!</v>
      </c>
      <c r="C11" s="3108" t="s">
        <v>2952</v>
      </c>
      <c r="D11" s="1882"/>
      <c r="E11" s="3113" t="e">
        <f t="shared" ca="1" si="1"/>
        <v>#REF!</v>
      </c>
      <c r="F11" s="3113" t="e">
        <f t="shared" ca="1" si="2"/>
        <v>#REF!</v>
      </c>
    </row>
    <row r="12" spans="1:6" ht="14.25">
      <c r="A12" s="260"/>
      <c r="B12" s="3112" t="e">
        <f t="shared" ca="1" si="0"/>
        <v>#REF!</v>
      </c>
      <c r="C12" s="3108" t="s">
        <v>2952</v>
      </c>
      <c r="D12" s="1882"/>
      <c r="E12" s="3113" t="e">
        <f t="shared" ca="1" si="1"/>
        <v>#REF!</v>
      </c>
      <c r="F12" s="3113" t="e">
        <f t="shared" ca="1" si="2"/>
        <v>#REF!</v>
      </c>
    </row>
    <row r="13" spans="1:6" ht="14.25">
      <c r="A13" s="260"/>
      <c r="B13" s="3112" t="e">
        <f t="shared" ca="1" si="0"/>
        <v>#REF!</v>
      </c>
      <c r="C13" s="3108" t="s">
        <v>2952</v>
      </c>
      <c r="D13" s="1882"/>
      <c r="E13" s="3113" t="e">
        <f t="shared" ca="1" si="1"/>
        <v>#REF!</v>
      </c>
      <c r="F13" s="3113" t="e">
        <f t="shared" ca="1" si="2"/>
        <v>#REF!</v>
      </c>
    </row>
    <row r="14" spans="1:6" ht="14.25">
      <c r="A14" s="3106"/>
      <c r="B14" s="3112" t="e">
        <f t="shared" ca="1" si="0"/>
        <v>#REF!</v>
      </c>
      <c r="C14" s="3108" t="s">
        <v>2952</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-1.5</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77" t="s">
        <v>2466</v>
      </c>
      <c r="C8" s="1826">
        <f ca="1">ROUND(F8*F10*F9*(1-F11)/10000,0)</f>
        <v>0</v>
      </c>
      <c r="D8" s="1823" t="s">
        <v>2537</v>
      </c>
      <c r="E8" s="61" t="s">
        <v>637</v>
      </c>
      <c r="F8" s="785">
        <f ca="1">INDIRECT("'数据-取费表'!u"&amp;$G$1)</f>
        <v>0</v>
      </c>
      <c r="G8" s="1592"/>
      <c r="H8" s="2505" t="s">
        <v>1825</v>
      </c>
      <c r="I8" s="3477" t="s">
        <v>2466</v>
      </c>
      <c r="J8" s="783">
        <f ca="1">ROUND(M8*M10*M9*(1-M11)/10000,0)</f>
        <v>0</v>
      </c>
      <c r="K8" s="341" t="s">
        <v>2537</v>
      </c>
      <c r="L8" s="784" t="s">
        <v>1739</v>
      </c>
      <c r="M8" s="785">
        <f ca="1">INDIRECT("'数据-取费表'!z"&amp;$G$1)</f>
        <v>0</v>
      </c>
    </row>
    <row r="9" spans="1:25" ht="18" customHeight="1">
      <c r="A9" s="2501"/>
      <c r="B9" s="3478"/>
      <c r="C9" s="1827"/>
      <c r="D9" s="1824"/>
      <c r="E9" s="61" t="s">
        <v>638</v>
      </c>
      <c r="F9" s="785">
        <f ca="1">IF(INDIRECT("'数据-取费表'!ah"&amp;$G$1)="",INDIRECT("'数据-取费表'!k"&amp;$G$1),INDIRECT("'数据-取费表'!ah"&amp;$G$1))</f>
        <v>0</v>
      </c>
      <c r="G9" s="1592"/>
      <c r="H9" s="2490"/>
      <c r="I9" s="3478"/>
      <c r="J9" s="788"/>
      <c r="K9" s="789"/>
      <c r="L9" s="784" t="s">
        <v>1740</v>
      </c>
      <c r="M9" s="785">
        <f ca="1">F9</f>
        <v>0</v>
      </c>
    </row>
    <row r="10" spans="1:25" ht="18" customHeight="1">
      <c r="A10" s="2494"/>
      <c r="B10" s="3479"/>
      <c r="C10" s="1827"/>
      <c r="D10" s="1824"/>
      <c r="E10" s="61" t="s">
        <v>639</v>
      </c>
      <c r="F10" s="785">
        <f ca="1">INDIRECT("'数据-取费表'!ai"&amp;$G$1)</f>
        <v>0</v>
      </c>
      <c r="G10" s="1592"/>
      <c r="H10" s="2490"/>
      <c r="I10" s="3479"/>
      <c r="J10" s="788"/>
      <c r="K10" s="789"/>
      <c r="L10" s="784" t="s">
        <v>1741</v>
      </c>
      <c r="M10" s="785">
        <f ca="1">INDIRECT("'数据-取费表'!ai"&amp;$G$1)</f>
        <v>0</v>
      </c>
    </row>
    <row r="11" spans="1:25" ht="18" customHeight="1">
      <c r="A11" s="786"/>
      <c r="B11" s="3480"/>
      <c r="C11" s="1827"/>
      <c r="D11" s="1824"/>
      <c r="E11" s="61" t="s">
        <v>640</v>
      </c>
      <c r="F11" s="794">
        <f ca="1">INDIRECT("'数据-取费表'!w"&amp;$G$1)</f>
        <v>0</v>
      </c>
      <c r="G11" s="1592"/>
      <c r="H11" s="2506"/>
      <c r="I11" s="3479"/>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2981</v>
      </c>
      <c r="E12" s="2499" t="s">
        <v>2467</v>
      </c>
      <c r="F12" s="2622"/>
      <c r="G12" s="1592"/>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76"/>
      <c r="J36" s="2080"/>
      <c r="K36" s="2081"/>
      <c r="L36" s="2080"/>
      <c r="M36" s="2080"/>
    </row>
    <row r="37" spans="1:18" ht="18" customHeight="1">
      <c r="A37" s="815"/>
      <c r="B37" s="793"/>
      <c r="C37" s="69"/>
      <c r="D37" s="816"/>
      <c r="E37" s="784" t="s">
        <v>674</v>
      </c>
      <c r="F37" s="785">
        <f ca="1">INDIRECT("'数据-取费表'!r"&amp;$G$1)</f>
        <v>0</v>
      </c>
      <c r="G37" s="2063"/>
      <c r="H37" s="2066"/>
      <c r="I37" s="3476"/>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4" t="s">
        <v>2969</v>
      </c>
      <c r="F43" s="3125">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2986</v>
      </c>
      <c r="J54" s="3158">
        <f ca="1">IF(M48="住宅",MAX(J52,L49-'数据-取费表'!B20),MIN(J52,L49-'数据-取费表'!B20))</f>
        <v>-1.5</v>
      </c>
      <c r="K54" s="3481"/>
      <c r="L54" s="3482"/>
      <c r="O54" s="2402" t="s">
        <v>2391</v>
      </c>
      <c r="P54" s="2400" t="s">
        <v>2392</v>
      </c>
      <c r="Q54" s="2401">
        <f ca="1">J54</f>
        <v>-1.5</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2949</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85" t="s">
        <v>2579</v>
      </c>
      <c r="C1" s="3485"/>
      <c r="D1" s="3485"/>
      <c r="E1" s="3485"/>
      <c r="F1" s="3485"/>
      <c r="G1" s="3484" t="s">
        <v>2580</v>
      </c>
      <c r="H1" s="3484"/>
      <c r="I1" s="3484"/>
      <c r="J1" s="3484"/>
      <c r="K1" s="3484"/>
      <c r="L1" s="3484"/>
      <c r="N1" s="3484" t="s">
        <v>2581</v>
      </c>
      <c r="O1" s="3484"/>
      <c r="P1" s="3484"/>
      <c r="Q1" s="3484"/>
      <c r="R1" s="2655"/>
      <c r="S1" s="3484" t="s">
        <v>2582</v>
      </c>
      <c r="T1" s="3484"/>
      <c r="U1" s="3484"/>
      <c r="V1" s="3484"/>
      <c r="X1" s="3483" t="s">
        <v>2642</v>
      </c>
      <c r="Y1" s="3484"/>
      <c r="Z1" s="3484"/>
      <c r="AA1" s="3484"/>
      <c r="AB1" s="3484"/>
      <c r="AD1" s="3483" t="s">
        <v>2646</v>
      </c>
      <c r="AE1" s="3484"/>
      <c r="AF1" s="3484"/>
      <c r="AG1" s="3484"/>
      <c r="AH1" s="3484"/>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92">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89">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0"/>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0"/>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1"/>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6">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7">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7">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8">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6">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7">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7">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9" t="s">
        <v>2474</v>
      </c>
      <c r="B1" s="3510"/>
      <c r="C1" s="3511"/>
      <c r="D1" s="3512">
        <f>SUM(I10,I15,I20,I21,I23)</f>
        <v>0</v>
      </c>
      <c r="E1" s="3512"/>
      <c r="F1" s="3512"/>
      <c r="G1" s="3512"/>
      <c r="H1" s="3512"/>
      <c r="I1" s="3513"/>
    </row>
    <row r="2" spans="1:9">
      <c r="A2" s="3499" t="s">
        <v>2475</v>
      </c>
      <c r="B2" s="3500" t="s">
        <v>2476</v>
      </c>
      <c r="C2" s="3500"/>
      <c r="D2" s="2508" t="s">
        <v>2477</v>
      </c>
      <c r="E2" s="2508" t="s">
        <v>2478</v>
      </c>
      <c r="F2" s="2508" t="s">
        <v>2479</v>
      </c>
      <c r="G2" s="2508" t="s">
        <v>2480</v>
      </c>
      <c r="H2" s="2508" t="s">
        <v>2481</v>
      </c>
      <c r="I2" s="2509" t="s">
        <v>2482</v>
      </c>
    </row>
    <row r="3" spans="1:9">
      <c r="A3" s="3499"/>
      <c r="B3" s="3500" t="s">
        <v>2483</v>
      </c>
      <c r="C3" s="3500"/>
      <c r="D3" s="2510"/>
      <c r="E3" s="2508"/>
      <c r="F3" s="2511"/>
      <c r="G3" s="2511"/>
      <c r="H3" s="2512"/>
      <c r="I3" s="2513">
        <f>ROUND(D3*E3*F3*G3*H3/10000,0)</f>
        <v>0</v>
      </c>
    </row>
    <row r="4" spans="1:9">
      <c r="A4" s="3499"/>
      <c r="B4" s="3500" t="s">
        <v>2484</v>
      </c>
      <c r="C4" s="3500"/>
      <c r="D4" s="2510"/>
      <c r="E4" s="2508"/>
      <c r="F4" s="2511"/>
      <c r="G4" s="2511"/>
      <c r="H4" s="2512"/>
      <c r="I4" s="2513">
        <f t="shared" ref="I4:I9" si="0">ROUND(D4*E4*F4*G4*H4/10000,0)</f>
        <v>0</v>
      </c>
    </row>
    <row r="5" spans="1:9">
      <c r="A5" s="3499"/>
      <c r="B5" s="3500" t="s">
        <v>2485</v>
      </c>
      <c r="C5" s="3500"/>
      <c r="D5" s="2510"/>
      <c r="E5" s="2508"/>
      <c r="F5" s="2511"/>
      <c r="G5" s="2511"/>
      <c r="H5" s="2512"/>
      <c r="I5" s="2513">
        <f t="shared" si="0"/>
        <v>0</v>
      </c>
    </row>
    <row r="6" spans="1:9">
      <c r="A6" s="3499"/>
      <c r="B6" s="3500" t="s">
        <v>2486</v>
      </c>
      <c r="C6" s="3500"/>
      <c r="D6" s="2510"/>
      <c r="E6" s="2508"/>
      <c r="F6" s="2511"/>
      <c r="G6" s="2511"/>
      <c r="H6" s="2512"/>
      <c r="I6" s="2513">
        <f t="shared" si="0"/>
        <v>0</v>
      </c>
    </row>
    <row r="7" spans="1:9">
      <c r="A7" s="3499"/>
      <c r="B7" s="3500" t="s">
        <v>2487</v>
      </c>
      <c r="C7" s="3500"/>
      <c r="D7" s="2510"/>
      <c r="E7" s="2508"/>
      <c r="F7" s="2511"/>
      <c r="G7" s="2511"/>
      <c r="H7" s="2512"/>
      <c r="I7" s="2513">
        <f t="shared" si="0"/>
        <v>0</v>
      </c>
    </row>
    <row r="8" spans="1:9">
      <c r="A8" s="3499"/>
      <c r="B8" s="3500" t="s">
        <v>2488</v>
      </c>
      <c r="C8" s="3500"/>
      <c r="D8" s="2510"/>
      <c r="E8" s="2508"/>
      <c r="F8" s="2511"/>
      <c r="G8" s="2511"/>
      <c r="H8" s="2512"/>
      <c r="I8" s="2513">
        <f t="shared" si="0"/>
        <v>0</v>
      </c>
    </row>
    <row r="9" spans="1:9">
      <c r="A9" s="3499"/>
      <c r="B9" s="3500" t="s">
        <v>2489</v>
      </c>
      <c r="C9" s="3500"/>
      <c r="D9" s="2510"/>
      <c r="E9" s="2508"/>
      <c r="F9" s="2511"/>
      <c r="G9" s="2511"/>
      <c r="H9" s="2512"/>
      <c r="I9" s="2513">
        <f t="shared" si="0"/>
        <v>0</v>
      </c>
    </row>
    <row r="10" spans="1:9">
      <c r="A10" s="3499"/>
      <c r="B10" s="3501" t="s">
        <v>2490</v>
      </c>
      <c r="C10" s="3501"/>
      <c r="D10" s="2514">
        <v>527</v>
      </c>
      <c r="E10" s="2514" t="e">
        <f>ROUND(D1*10000/D10/H9,0)</f>
        <v>#DIV/0!</v>
      </c>
      <c r="F10" s="2515"/>
      <c r="G10" s="2515"/>
      <c r="H10" s="2516"/>
      <c r="I10" s="2517">
        <f>SUM(I3:I9)</f>
        <v>0</v>
      </c>
    </row>
    <row r="11" spans="1:9" ht="14.25">
      <c r="A11" s="3499" t="s">
        <v>2491</v>
      </c>
      <c r="B11" s="3500" t="s">
        <v>2492</v>
      </c>
      <c r="C11" s="3500"/>
      <c r="D11" s="2510" t="s">
        <v>2493</v>
      </c>
      <c r="E11" s="2510" t="s">
        <v>2494</v>
      </c>
      <c r="F11" s="2511" t="s">
        <v>2495</v>
      </c>
      <c r="G11" s="2511" t="s">
        <v>2496</v>
      </c>
      <c r="H11" s="2518" t="s">
        <v>2497</v>
      </c>
      <c r="I11" s="2509" t="s">
        <v>2498</v>
      </c>
    </row>
    <row r="12" spans="1:9">
      <c r="A12" s="3499"/>
      <c r="B12" s="3500" t="s">
        <v>2499</v>
      </c>
      <c r="C12" s="3500"/>
      <c r="D12" s="2510"/>
      <c r="E12" s="2510"/>
      <c r="F12" s="2511"/>
      <c r="G12" s="2512"/>
      <c r="H12" s="2519"/>
      <c r="I12" s="2509">
        <f>ROUND(D12*E12*F12*G12/10000,0)</f>
        <v>0</v>
      </c>
    </row>
    <row r="13" spans="1:9">
      <c r="A13" s="3499"/>
      <c r="B13" s="3500" t="s">
        <v>2500</v>
      </c>
      <c r="C13" s="3500"/>
      <c r="D13" s="2510"/>
      <c r="E13" s="2510"/>
      <c r="F13" s="2511"/>
      <c r="G13" s="2512"/>
      <c r="H13" s="2519"/>
      <c r="I13" s="2509">
        <f>ROUND(D13*E13*F13*G13/10000,0)</f>
        <v>0</v>
      </c>
    </row>
    <row r="14" spans="1:9">
      <c r="A14" s="3499"/>
      <c r="B14" s="3500" t="s">
        <v>2501</v>
      </c>
      <c r="C14" s="3500"/>
      <c r="D14" s="2510"/>
      <c r="E14" s="2510"/>
      <c r="F14" s="2511"/>
      <c r="G14" s="2512"/>
      <c r="H14" s="2519"/>
      <c r="I14" s="2509">
        <f>ROUND(D14*E14*F14*G14/10000,0)</f>
        <v>0</v>
      </c>
    </row>
    <row r="15" spans="1:9">
      <c r="A15" s="3499"/>
      <c r="B15" s="3501" t="s">
        <v>2490</v>
      </c>
      <c r="C15" s="3501"/>
      <c r="D15" s="2514"/>
      <c r="E15" s="2514">
        <f>SUM(E12:E14)</f>
        <v>0</v>
      </c>
      <c r="F15" s="2515"/>
      <c r="G15" s="2512"/>
      <c r="H15" s="2519"/>
      <c r="I15" s="2520">
        <f>SUM(I12:I14)</f>
        <v>0</v>
      </c>
    </row>
    <row r="16" spans="1:9" ht="24">
      <c r="A16" s="3499" t="s">
        <v>2502</v>
      </c>
      <c r="B16" s="3500" t="s">
        <v>2503</v>
      </c>
      <c r="C16" s="3500"/>
      <c r="D16" s="2510" t="s">
        <v>2504</v>
      </c>
      <c r="E16" s="2521" t="s">
        <v>2505</v>
      </c>
      <c r="F16" s="2511" t="s">
        <v>2506</v>
      </c>
      <c r="G16" s="2512" t="s">
        <v>2496</v>
      </c>
      <c r="H16" s="2518" t="s">
        <v>2497</v>
      </c>
      <c r="I16" s="2509" t="s">
        <v>2498</v>
      </c>
    </row>
    <row r="17" spans="1:9" ht="14.25">
      <c r="A17" s="3499"/>
      <c r="B17" s="3500" t="s">
        <v>2507</v>
      </c>
      <c r="C17" s="3500"/>
      <c r="D17" s="2510"/>
      <c r="E17" s="2510"/>
      <c r="F17" s="2511"/>
      <c r="G17" s="2512"/>
      <c r="H17" s="2522"/>
      <c r="I17" s="2523">
        <f>ROUND(D17*E17*F17*G17/10000,0)</f>
        <v>0</v>
      </c>
    </row>
    <row r="18" spans="1:9" ht="14.25">
      <c r="A18" s="3499"/>
      <c r="B18" s="3500" t="s">
        <v>2508</v>
      </c>
      <c r="C18" s="3500"/>
      <c r="D18" s="2510"/>
      <c r="E18" s="2510"/>
      <c r="F18" s="2511"/>
      <c r="G18" s="2512"/>
      <c r="H18" s="2522"/>
      <c r="I18" s="2523">
        <f>ROUND(D18*E18*F18*G18/10000,0)</f>
        <v>0</v>
      </c>
    </row>
    <row r="19" spans="1:9" ht="14.25">
      <c r="A19" s="3499"/>
      <c r="B19" s="3500" t="s">
        <v>2509</v>
      </c>
      <c r="C19" s="3500"/>
      <c r="D19" s="2510"/>
      <c r="E19" s="2510"/>
      <c r="F19" s="2511"/>
      <c r="G19" s="2512"/>
      <c r="H19" s="2522"/>
      <c r="I19" s="2523">
        <f>ROUND(D19*E19*F19*G19/10000,0)</f>
        <v>0</v>
      </c>
    </row>
    <row r="20" spans="1:9">
      <c r="A20" s="3499"/>
      <c r="B20" s="3501" t="s">
        <v>2490</v>
      </c>
      <c r="C20" s="3501"/>
      <c r="D20" s="2514">
        <f>SUM(D17:D19)</f>
        <v>0</v>
      </c>
      <c r="E20" s="2514"/>
      <c r="F20" s="2515"/>
      <c r="G20" s="2512"/>
      <c r="H20" s="2519"/>
      <c r="I20" s="2520">
        <f>SUM(I17:I19)</f>
        <v>0</v>
      </c>
    </row>
    <row r="21" spans="1:9">
      <c r="A21" s="3499" t="s">
        <v>2510</v>
      </c>
      <c r="B21" s="3502"/>
      <c r="C21" s="3502"/>
      <c r="D21" s="3502"/>
      <c r="E21" s="3502"/>
      <c r="F21" s="3502"/>
      <c r="G21" s="3502"/>
      <c r="H21" s="2524">
        <v>0.1</v>
      </c>
      <c r="I21" s="2517">
        <f>ROUND(I10*H21,0)</f>
        <v>0</v>
      </c>
    </row>
    <row r="22" spans="1:9" ht="14.25">
      <c r="A22" s="3503" t="s">
        <v>2511</v>
      </c>
      <c r="B22" s="3504"/>
      <c r="C22" s="3505"/>
      <c r="D22" s="2525" t="s">
        <v>2512</v>
      </c>
      <c r="E22" s="2525" t="s">
        <v>2513</v>
      </c>
      <c r="F22" s="2526" t="s">
        <v>2514</v>
      </c>
      <c r="G22" s="2526" t="s">
        <v>2515</v>
      </c>
      <c r="H22" s="2518" t="s">
        <v>2516</v>
      </c>
      <c r="I22" s="2509" t="s">
        <v>2517</v>
      </c>
    </row>
    <row r="23" spans="1:9" ht="14.25" thickBot="1">
      <c r="A23" s="3506"/>
      <c r="B23" s="3507"/>
      <c r="C23" s="3508"/>
      <c r="D23" s="2527"/>
      <c r="E23" s="2527"/>
      <c r="F23" s="2527"/>
      <c r="G23" s="2528"/>
      <c r="H23" s="2529"/>
      <c r="I23" s="2530">
        <f>ROUND(E23*D23*F23*(1-G23)/10000,0)</f>
        <v>0</v>
      </c>
    </row>
    <row r="26" spans="1:9">
      <c r="A26" s="2531" t="s">
        <v>2518</v>
      </c>
      <c r="B26" s="2531"/>
      <c r="C26" s="2531"/>
      <c r="D26" s="2531"/>
      <c r="E26" s="3496">
        <f>C27-C30-C31-C32</f>
        <v>0</v>
      </c>
      <c r="F26" s="3496"/>
      <c r="G26" s="3496"/>
      <c r="H26" s="3045" t="s">
        <v>2846</v>
      </c>
    </row>
    <row r="27" spans="1:9">
      <c r="A27" s="2532">
        <v>1</v>
      </c>
      <c r="B27" s="2533" t="s">
        <v>2519</v>
      </c>
      <c r="C27" s="2533"/>
      <c r="D27" s="2533"/>
      <c r="E27" s="3497"/>
      <c r="F27" s="3497"/>
      <c r="G27" s="3497"/>
    </row>
    <row r="28" spans="1:9">
      <c r="A28" s="2534" t="s">
        <v>2520</v>
      </c>
      <c r="B28" s="2533" t="s">
        <v>2521</v>
      </c>
      <c r="C28" s="2533"/>
      <c r="D28" s="2533"/>
      <c r="E28" s="3497"/>
      <c r="F28" s="3497"/>
      <c r="G28" s="3497"/>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98"/>
      <c r="F32" s="3498"/>
      <c r="G32" s="3498"/>
    </row>
    <row r="33" spans="1:7" hidden="1">
      <c r="A33" s="3493" t="s">
        <v>2529</v>
      </c>
      <c r="B33" s="3494"/>
      <c r="C33" s="3494"/>
      <c r="D33" s="3495"/>
      <c r="E33" s="3496"/>
      <c r="F33" s="3496"/>
      <c r="G33" s="3496"/>
    </row>
    <row r="34" spans="1:7" hidden="1">
      <c r="A34" s="2536">
        <v>1</v>
      </c>
      <c r="B34" s="2533" t="s">
        <v>2530</v>
      </c>
      <c r="C34" s="2533"/>
      <c r="D34" s="2533"/>
      <c r="E34" s="3497"/>
      <c r="F34" s="3497"/>
      <c r="G34" s="3497"/>
    </row>
    <row r="35" spans="1:7" hidden="1">
      <c r="A35" s="2536">
        <v>2</v>
      </c>
      <c r="B35" s="2533" t="s">
        <v>2531</v>
      </c>
      <c r="C35" s="2533"/>
      <c r="D35" s="2533"/>
      <c r="E35" s="3497"/>
      <c r="F35" s="3497"/>
      <c r="G35" s="3497"/>
    </row>
    <row r="36" spans="1:7" hidden="1">
      <c r="A36" s="2536">
        <v>3</v>
      </c>
      <c r="B36" s="2533" t="s">
        <v>2532</v>
      </c>
      <c r="C36" s="2533"/>
      <c r="D36" s="2533"/>
      <c r="E36" s="3497"/>
      <c r="F36" s="3497"/>
      <c r="G36" s="3497"/>
    </row>
    <row r="37" spans="1:7" hidden="1">
      <c r="A37" s="2536">
        <v>4</v>
      </c>
      <c r="B37" s="2533" t="s">
        <v>2533</v>
      </c>
      <c r="C37" s="2533"/>
      <c r="D37" s="2533"/>
      <c r="E37" s="3497"/>
      <c r="F37" s="3497"/>
      <c r="G37" s="3497"/>
    </row>
    <row r="38" spans="1:7" hidden="1">
      <c r="A38" s="3493" t="s">
        <v>2534</v>
      </c>
      <c r="B38" s="3494"/>
      <c r="C38" s="3494"/>
      <c r="D38" s="3495"/>
      <c r="E38" s="3496"/>
      <c r="F38" s="3496"/>
      <c r="G38" s="34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18.75">
      <c r="A21" s="1792" t="s">
        <v>2077</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25日、商业2057年12月25日地下车库2067年12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78499.16</v>
      </c>
      <c r="E10" s="749">
        <f>'数据-取费表'!B31</f>
        <v>90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238</v>
      </c>
      <c r="D12" s="758">
        <f>'数据-汇总表'!E5</f>
        <v>47516.1</v>
      </c>
      <c r="E12" s="757">
        <f>'数据-取费表'!B27</f>
        <v>50</v>
      </c>
      <c r="F12" s="755"/>
      <c r="G12" s="759"/>
    </row>
    <row r="13" spans="1:25" s="2184" customFormat="1" ht="13.5" customHeight="1">
      <c r="A13" s="2477" t="s">
        <v>2450</v>
      </c>
      <c r="B13" s="756" t="s">
        <v>612</v>
      </c>
      <c r="C13" s="757">
        <f>ROUND(D13*E13/10000,0)</f>
        <v>279</v>
      </c>
      <c r="D13" s="758">
        <f>'数据-汇总表'!E6</f>
        <v>30983.060000000005</v>
      </c>
      <c r="E13" s="757">
        <f>'数据-取费表'!B28</f>
        <v>90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0.92200000000000004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8</v>
      </c>
    </row>
    <row r="2" spans="1:31" s="2042" customFormat="1" ht="18" customHeight="1">
      <c r="A2" s="2102" t="s">
        <v>467</v>
      </c>
      <c r="B2" s="2106">
        <f ca="1">C36</f>
        <v>40411</v>
      </c>
      <c r="C2" s="2105"/>
      <c r="D2" s="2105"/>
      <c r="E2" s="2105"/>
      <c r="F2" s="2105"/>
      <c r="G2" s="2105"/>
      <c r="H2" s="2105"/>
      <c r="I2" s="2105"/>
      <c r="J2" s="2105"/>
      <c r="K2" s="2105"/>
    </row>
    <row r="3" spans="1:31" s="2042" customFormat="1" ht="18" customHeight="1">
      <c r="A3" s="2107" t="s">
        <v>1685</v>
      </c>
      <c r="B3" s="2108">
        <f ca="1">ROUND(B2*10000/IF(B1="",'数据-汇总表'!E3,INDIRECT("'数据-取费表'!K"&amp;$K$1)),0)</f>
        <v>5148</v>
      </c>
      <c r="C3" s="2105"/>
      <c r="D3" s="2105"/>
      <c r="E3" s="2105"/>
      <c r="F3" s="2105"/>
      <c r="G3" s="2105"/>
      <c r="H3" s="2105"/>
      <c r="I3" s="2105"/>
      <c r="J3" s="2105"/>
      <c r="K3" s="2105"/>
    </row>
    <row r="4" spans="1:31" s="2042" customFormat="1" ht="18" customHeight="1">
      <c r="A4" s="426" t="s">
        <v>468</v>
      </c>
      <c r="B4" s="427">
        <f ca="1">ROUND(B2*10000/IF(B1="",'数据-汇总表'!D3,INDIRECT("'数据-取费表'!R"&amp;$K$1)),0)</f>
        <v>20613</v>
      </c>
      <c r="C4" s="428"/>
      <c r="D4" s="422"/>
      <c r="E4" s="422"/>
      <c r="F4" s="422"/>
      <c r="G4" s="422"/>
      <c r="H4" s="422"/>
      <c r="I4" s="422"/>
      <c r="J4" s="422"/>
      <c r="K4" s="422"/>
    </row>
    <row r="5" spans="1:31" s="2042" customFormat="1" ht="18" customHeight="1" thickBot="1">
      <c r="A5" s="429"/>
      <c r="B5" s="430">
        <f ca="1">ROUND(B2/(IF(B1="",'数据-汇总表'!D3,INDIRECT("'数据-取费表'!R"&amp;$K$1))/666.67),0)</f>
        <v>1374</v>
      </c>
      <c r="C5" s="431" t="s">
        <v>469</v>
      </c>
      <c r="D5" s="422"/>
      <c r="E5" s="422"/>
      <c r="F5" s="422"/>
      <c r="G5" s="422"/>
      <c r="H5" s="422"/>
      <c r="I5" s="422"/>
      <c r="J5" s="422"/>
      <c r="K5" s="422"/>
    </row>
    <row r="6" spans="1:31" s="2112" customFormat="1" ht="16.5" customHeight="1">
      <c r="A6" s="2829" t="s">
        <v>1843</v>
      </c>
      <c r="B6" s="2830"/>
      <c r="C6" s="2831">
        <f ca="1">SUM(C10:K10)</f>
        <v>80038</v>
      </c>
      <c r="D6" s="2830"/>
      <c r="E6" s="2830"/>
      <c r="F6" s="2830"/>
      <c r="G6" s="2830"/>
      <c r="H6" s="2830"/>
      <c r="I6" s="2830"/>
      <c r="J6" s="2830"/>
      <c r="K6" s="2832"/>
    </row>
    <row r="7" spans="1:31" s="2114" customFormat="1" ht="15">
      <c r="A7" s="2833" t="s">
        <v>470</v>
      </c>
      <c r="B7" s="2834" t="s">
        <v>471</v>
      </c>
      <c r="C7" s="436" t="s">
        <v>923</v>
      </c>
      <c r="D7" s="436" t="s">
        <v>2990</v>
      </c>
      <c r="E7" s="436"/>
      <c r="F7" s="436" t="s">
        <v>35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f>'不动产比较法-住宅'!B3</f>
        <v>15169</v>
      </c>
      <c r="D8" s="2835">
        <f ca="1">不动产收益法!B3</f>
        <v>20637</v>
      </c>
      <c r="E8" s="2835"/>
      <c r="F8" s="2835">
        <f ca="1">'不动产收益法 (3)'!B3</f>
        <v>1513</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47516.1</v>
      </c>
      <c r="D9" s="441">
        <f>SUMIF('数据-汇总表'!$C19:$C33,'剩余法-待开发'!D7,'数据-汇总表'!$E19:$E33)</f>
        <v>2437.37</v>
      </c>
      <c r="E9" s="441">
        <f>SUMIF('数据-汇总表'!$C19:$C33,'剩余法-待开发'!E7,'数据-汇总表'!$E19:$E33)</f>
        <v>0</v>
      </c>
      <c r="F9" s="441">
        <f>SUMIF('数据-汇总表'!$C19:$C33,'剩余法-待开发'!F7,'数据-汇总表'!$E19:$E33)</f>
        <v>19375.689999999999</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72077</v>
      </c>
      <c r="D10" s="3030">
        <f ca="1">不动产收益法!B2</f>
        <v>5030</v>
      </c>
      <c r="E10" s="3030"/>
      <c r="F10" s="2838">
        <f ca="1">'不动产收益法 (3)'!B2</f>
        <v>2931</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16967</v>
      </c>
      <c r="D13" s="2845"/>
      <c r="E13" s="2846"/>
      <c r="F13" s="2847"/>
      <c r="G13" s="2813"/>
      <c r="H13" s="2814"/>
      <c r="I13" s="2814"/>
      <c r="J13" s="2814"/>
      <c r="K13" s="2815"/>
    </row>
    <row r="14" spans="1:31" s="2117" customFormat="1" ht="13.5" customHeight="1">
      <c r="A14" s="2843" t="s">
        <v>1850</v>
      </c>
      <c r="B14" s="2844" t="s">
        <v>480</v>
      </c>
      <c r="C14" s="53">
        <f ca="1">ROUND(C13*F14,0)</f>
        <v>509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371</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1177</v>
      </c>
      <c r="D16" s="2845">
        <f ca="1">IF(B1="",'数据-汇总表'!E3,INDIRECT("'数据-取费表'!K"&amp;$K$1)+INDIRECT("'数据-取费表'!S"&amp;$K$1))</f>
        <v>78499.16</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255</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19279</v>
      </c>
      <c r="D18" s="2854"/>
      <c r="E18" s="468"/>
      <c r="F18" s="468"/>
      <c r="G18" s="2817" t="s">
        <v>2433</v>
      </c>
      <c r="H18" s="2818"/>
      <c r="I18" s="2818"/>
      <c r="J18" s="2818"/>
      <c r="K18" s="2819"/>
    </row>
    <row r="19" spans="1:14" s="2117" customFormat="1" ht="13.5" customHeight="1">
      <c r="A19" s="2851" t="s">
        <v>1855</v>
      </c>
      <c r="B19" s="2852" t="s">
        <v>488</v>
      </c>
      <c r="C19" s="2809">
        <f ca="1">ROUND(D19*E19/10000,0)</f>
        <v>863</v>
      </c>
      <c r="D19" s="2855">
        <f ca="1">D16</f>
        <v>78499.16</v>
      </c>
      <c r="E19" s="2809">
        <f>'数据-取费表'!B32</f>
        <v>110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517</v>
      </c>
      <c r="D20" s="2855"/>
      <c r="E20" s="2809"/>
      <c r="F20" s="2856"/>
      <c r="G20" s="3090"/>
      <c r="H20" s="2811"/>
      <c r="I20" s="2812" t="s">
        <v>2654</v>
      </c>
      <c r="J20" s="2818"/>
      <c r="K20" s="2819"/>
    </row>
    <row r="21" spans="1:14" s="2117" customFormat="1" ht="13.5" customHeight="1">
      <c r="A21" s="2843" t="s">
        <v>1857</v>
      </c>
      <c r="B21" s="2844" t="s">
        <v>491</v>
      </c>
      <c r="C21" s="53">
        <f ca="1">ROUND(D21*E21/10000,0)</f>
        <v>238</v>
      </c>
      <c r="D21" s="2845">
        <f ca="1">IF(B1="",'数据-汇总表'!E5,IF(INDIRECT("'数据-取费表'!c"&amp;$K$1)="住宅",INDIRECT("'数据-取费表'!k"&amp;$K$1),0))</f>
        <v>47516.1</v>
      </c>
      <c r="E21" s="53">
        <f>'数据-取费表'!B27</f>
        <v>50</v>
      </c>
      <c r="F21" s="2848"/>
      <c r="G21" s="26"/>
      <c r="H21" s="51"/>
      <c r="I21" s="51"/>
      <c r="J21" s="51"/>
      <c r="K21" s="2820"/>
    </row>
    <row r="22" spans="1:14" s="2117" customFormat="1" ht="13.5" customHeight="1">
      <c r="A22" s="2843" t="s">
        <v>1858</v>
      </c>
      <c r="B22" s="2844" t="s">
        <v>492</v>
      </c>
      <c r="C22" s="53">
        <f ca="1">ROUND(D22*E22/10000,0)</f>
        <v>279</v>
      </c>
      <c r="D22" s="2845">
        <f ca="1">IF(B1="",'数据-汇总表'!E6,IF(INDIRECT("'数据-取费表'!c"&amp;$K$1)="住宅",INDIRECT("'数据-取费表'!s"&amp;$K$1),INDIRECT("'数据-取费表'!k"&amp;$K$1)+INDIRECT("'数据-取费表'!s"&amp;$K$1)))</f>
        <v>30983.060000000005</v>
      </c>
      <c r="E22" s="53">
        <f>'数据-取费表'!B28</f>
        <v>90</v>
      </c>
      <c r="F22" s="2848"/>
      <c r="G22" s="26"/>
      <c r="H22" s="51"/>
      <c r="I22" s="51"/>
      <c r="J22" s="51"/>
      <c r="K22" s="2820"/>
    </row>
    <row r="23" spans="1:14" s="2117" customFormat="1" ht="13.5" customHeight="1">
      <c r="A23" s="2851" t="s">
        <v>1859</v>
      </c>
      <c r="B23" s="3036" t="s">
        <v>2837</v>
      </c>
      <c r="C23" s="2853">
        <f ca="1">ROUND((C18+C19+C20)*F23,0)</f>
        <v>413</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1601</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803</v>
      </c>
      <c r="D26" s="467">
        <f ca="1">C27</f>
        <v>7.4200000000000002E-2</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7.4200000000000002E-2</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803</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4269</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27745</v>
      </c>
      <c r="D30" s="477">
        <f ca="1">C32</f>
        <v>0.1032</v>
      </c>
      <c r="E30" s="469" t="s">
        <v>495</v>
      </c>
      <c r="F30" s="471"/>
      <c r="G30" s="2821" t="s">
        <v>2979</v>
      </c>
      <c r="H30" s="2814"/>
      <c r="I30" s="2814"/>
      <c r="J30" s="2814"/>
      <c r="K30" s="2815"/>
    </row>
    <row r="31" spans="1:14" s="2121" customFormat="1" ht="13.5" customHeight="1">
      <c r="A31" s="803" t="s">
        <v>1857</v>
      </c>
      <c r="B31" s="2859"/>
      <c r="C31" s="450">
        <f ca="1">C18+C19+C20+C23+C24+C26+C29</f>
        <v>27745</v>
      </c>
      <c r="D31" s="472"/>
      <c r="E31" s="473"/>
      <c r="F31" s="474"/>
      <c r="G31" s="261"/>
      <c r="H31" s="2816"/>
      <c r="I31" s="2816"/>
      <c r="J31" s="2816"/>
      <c r="K31" s="279"/>
    </row>
    <row r="32" spans="1:14" s="2121" customFormat="1" ht="13.5" customHeight="1">
      <c r="A32" s="803" t="s">
        <v>1858</v>
      </c>
      <c r="B32" s="2859"/>
      <c r="C32" s="53">
        <f ca="1">ROUND(C25+D26,4)</f>
        <v>0.1032</v>
      </c>
      <c r="D32" s="472"/>
      <c r="E32" s="473"/>
      <c r="F32" s="474"/>
      <c r="G32" s="261"/>
      <c r="H32" s="2816"/>
      <c r="I32" s="2816"/>
      <c r="J32" s="2816"/>
      <c r="K32" s="279"/>
    </row>
    <row r="33" spans="1:11" s="2123" customFormat="1" ht="13.5" customHeight="1">
      <c r="A33" s="3035" t="s">
        <v>2836</v>
      </c>
      <c r="B33" s="3033" t="s">
        <v>2834</v>
      </c>
      <c r="C33" s="478">
        <f ca="1">C35</f>
        <v>2721</v>
      </c>
      <c r="D33" s="467">
        <f ca="1">C34</f>
        <v>0.1235</v>
      </c>
      <c r="E33" s="469" t="s">
        <v>495</v>
      </c>
      <c r="F33" s="479">
        <f ca="1">IF(B1="",'数据-取费表'!Q16,INDIRECT("'数据-取费表'!q"&amp;$K$1))</f>
        <v>0.12</v>
      </c>
      <c r="G33" s="2817"/>
      <c r="H33" s="2818"/>
      <c r="I33" s="2818"/>
      <c r="J33" s="2818"/>
      <c r="K33" s="2819"/>
    </row>
    <row r="34" spans="1:11" s="2124" customFormat="1" ht="13.5" customHeight="1">
      <c r="A34" s="375" t="s">
        <v>1857</v>
      </c>
      <c r="B34" s="2864" t="s">
        <v>501</v>
      </c>
      <c r="C34" s="472">
        <f ca="1">ROUND((1+C25)*F33,4)</f>
        <v>0.1235</v>
      </c>
      <c r="D34" s="472"/>
      <c r="E34" s="473"/>
      <c r="F34" s="480"/>
      <c r="G34" s="261" t="s">
        <v>2293</v>
      </c>
      <c r="H34" s="2816"/>
      <c r="I34" s="2816"/>
      <c r="J34" s="2816"/>
      <c r="K34" s="279"/>
    </row>
    <row r="35" spans="1:11" s="2124" customFormat="1" ht="13.5" customHeight="1" thickBot="1">
      <c r="A35" s="1636" t="s">
        <v>1858</v>
      </c>
      <c r="B35" s="3034" t="s">
        <v>2842</v>
      </c>
      <c r="C35" s="1628">
        <f ca="1">ROUND((C18+C19+C20+C23+C24)*F33,0)</f>
        <v>2721</v>
      </c>
      <c r="D35" s="1629"/>
      <c r="E35" s="2865"/>
      <c r="F35" s="1630"/>
      <c r="G35" s="2823"/>
      <c r="H35" s="2824"/>
      <c r="I35" s="2824"/>
      <c r="J35" s="2824"/>
      <c r="K35" s="2825"/>
    </row>
    <row r="36" spans="1:11" s="2086" customFormat="1" ht="13.5" customHeight="1" thickBot="1">
      <c r="A36" s="284" t="s">
        <v>1845</v>
      </c>
      <c r="B36" s="2827"/>
      <c r="C36" s="2866">
        <f ca="1">ROUND((C6-C30-C33)/(1+D30+D33),0)</f>
        <v>40411</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f>ROUND(B3*D3/10000,0)</f>
        <v>72077</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15169</v>
      </c>
      <c r="C3" s="852" t="s">
        <v>722</v>
      </c>
      <c r="D3" s="851">
        <f>SUMIF('数据-汇总表'!$C19:$C33,D1,'数据-汇总表'!$E19:$E33)</f>
        <v>47516.1</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23" t="s">
        <v>522</v>
      </c>
      <c r="D4" s="3424"/>
      <c r="E4" s="3447" t="s">
        <v>523</v>
      </c>
      <c r="F4" s="3448"/>
      <c r="G4" s="3423" t="s">
        <v>524</v>
      </c>
      <c r="H4" s="3424"/>
      <c r="I4" s="3423" t="s">
        <v>525</v>
      </c>
      <c r="J4" s="3424"/>
      <c r="K4" s="853"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06" t="s">
        <v>524</v>
      </c>
      <c r="AC4" s="3406" t="s">
        <v>525</v>
      </c>
    </row>
    <row r="5" spans="1:29" ht="15">
      <c r="A5" s="515"/>
      <c r="B5" s="516"/>
      <c r="C5" s="3434" t="s">
        <v>2934</v>
      </c>
      <c r="D5" s="3435"/>
      <c r="E5" s="3514" t="s">
        <v>3107</v>
      </c>
      <c r="F5" s="3450"/>
      <c r="G5" s="3515" t="s">
        <v>3108</v>
      </c>
      <c r="H5" s="3435"/>
      <c r="I5" s="3515" t="s">
        <v>3109</v>
      </c>
      <c r="J5" s="3435"/>
      <c r="K5" s="85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85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6"/>
      <c r="M7" s="2137"/>
      <c r="N7" s="2137"/>
      <c r="O7" s="2137"/>
      <c r="P7" s="3409" t="s">
        <v>530</v>
      </c>
      <c r="Q7" s="3418"/>
      <c r="R7" s="1568" t="s">
        <v>13</v>
      </c>
      <c r="S7" s="1569">
        <f t="shared" ref="S7:S15" si="0">F7</f>
        <v>100</v>
      </c>
      <c r="T7" s="1568" t="s">
        <v>13</v>
      </c>
      <c r="U7" s="1569">
        <f t="shared" ref="U7:U15" si="1">H7</f>
        <v>100</v>
      </c>
      <c r="V7" s="1568" t="s">
        <v>13</v>
      </c>
      <c r="W7" s="1569">
        <f t="shared" ref="W7:W15" si="2">J7</f>
        <v>100</v>
      </c>
      <c r="X7" s="1570"/>
      <c r="Y7" s="3409" t="s">
        <v>530</v>
      </c>
      <c r="Z7" s="3410"/>
      <c r="AA7" s="1571">
        <f>D7/F7</f>
        <v>1</v>
      </c>
      <c r="AB7" s="1571">
        <f>D7/H7</f>
        <v>1</v>
      </c>
      <c r="AC7" s="1571">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6"/>
      <c r="M8" s="2137"/>
      <c r="N8" s="2137"/>
      <c r="O8" s="2137"/>
      <c r="P8" s="3409" t="s">
        <v>533</v>
      </c>
      <c r="Q8" s="3410"/>
      <c r="R8" s="1568" t="s">
        <v>13</v>
      </c>
      <c r="S8" s="1569">
        <f t="shared" si="0"/>
        <v>100</v>
      </c>
      <c r="T8" s="1568" t="s">
        <v>13</v>
      </c>
      <c r="U8" s="1569">
        <f t="shared" si="1"/>
        <v>100</v>
      </c>
      <c r="V8" s="1568" t="s">
        <v>13</v>
      </c>
      <c r="W8" s="1569">
        <f t="shared" si="2"/>
        <v>100</v>
      </c>
      <c r="X8" s="1570"/>
      <c r="Y8" s="3409" t="s">
        <v>533</v>
      </c>
      <c r="Z8" s="3410"/>
      <c r="AA8" s="1571">
        <f t="shared" ref="AA8:AA46" si="3">D8/F8</f>
        <v>1</v>
      </c>
      <c r="AB8" s="1571">
        <f t="shared" ref="AB8:AB46" si="4">D8/H8</f>
        <v>1</v>
      </c>
      <c r="AC8" s="1571">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f>'数据-汇总表'!I6</f>
        <v>3.02</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1"/>
      <c r="M11" s="2135"/>
      <c r="N11" s="2135"/>
      <c r="O11" s="2142"/>
      <c r="P11" s="3417"/>
      <c r="Q11" s="1151" t="str">
        <f t="shared" si="6"/>
        <v>容积率</v>
      </c>
      <c r="R11" s="1568" t="s">
        <v>11</v>
      </c>
      <c r="S11" s="1569">
        <f t="shared" si="0"/>
        <v>100</v>
      </c>
      <c r="T11" s="1568" t="s">
        <v>11</v>
      </c>
      <c r="U11" s="1569">
        <f t="shared" si="1"/>
        <v>100</v>
      </c>
      <c r="V11" s="1568" t="s">
        <v>11</v>
      </c>
      <c r="W11" s="1569">
        <f t="shared" si="2"/>
        <v>100</v>
      </c>
      <c r="X11" s="1570"/>
      <c r="Y11" s="3374"/>
      <c r="Z11" s="1150" t="str">
        <f t="shared" si="7"/>
        <v>容积率</v>
      </c>
      <c r="AA11" s="1571">
        <f t="shared" si="3"/>
        <v>1</v>
      </c>
      <c r="AB11" s="1571">
        <f t="shared" si="4"/>
        <v>1</v>
      </c>
      <c r="AC11" s="1571">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17"/>
      <c r="Q12" s="1151">
        <f t="shared" si="6"/>
        <v>111</v>
      </c>
      <c r="R12" s="1568" t="s">
        <v>11</v>
      </c>
      <c r="S12" s="1569">
        <f t="shared" si="0"/>
        <v>100</v>
      </c>
      <c r="T12" s="1568" t="s">
        <v>11</v>
      </c>
      <c r="U12" s="1569">
        <f t="shared" si="1"/>
        <v>100</v>
      </c>
      <c r="V12" s="1568" t="s">
        <v>11</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17"/>
      <c r="Q13" s="1151">
        <f t="shared" si="6"/>
        <v>111</v>
      </c>
      <c r="R13" s="1568" t="s">
        <v>11</v>
      </c>
      <c r="S13" s="1569">
        <f t="shared" si="0"/>
        <v>100</v>
      </c>
      <c r="T13" s="1568" t="s">
        <v>11</v>
      </c>
      <c r="U13" s="1569">
        <f t="shared" si="1"/>
        <v>100</v>
      </c>
      <c r="V13" s="1568" t="s">
        <v>11</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17"/>
      <c r="Q14" s="1151">
        <f t="shared" si="6"/>
        <v>111</v>
      </c>
      <c r="R14" s="1568" t="s">
        <v>11</v>
      </c>
      <c r="S14" s="1569">
        <f t="shared" si="0"/>
        <v>100</v>
      </c>
      <c r="T14" s="1568" t="s">
        <v>11</v>
      </c>
      <c r="U14" s="1569">
        <f t="shared" si="1"/>
        <v>100</v>
      </c>
      <c r="V14" s="1568" t="s">
        <v>11</v>
      </c>
      <c r="W14" s="1569">
        <f t="shared" si="2"/>
        <v>100</v>
      </c>
      <c r="X14" s="1570"/>
      <c r="Y14" s="3374"/>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3"/>
      <c r="M15" s="2135"/>
      <c r="N15" s="2135"/>
      <c r="O15" s="2142"/>
      <c r="P15" s="3419" t="s">
        <v>540</v>
      </c>
      <c r="Q15" s="1572" t="str">
        <f t="shared" si="6"/>
        <v>居住社区成熟度</v>
      </c>
      <c r="R15" s="1573" t="s">
        <v>11</v>
      </c>
      <c r="S15" s="1574">
        <f t="shared" si="0"/>
        <v>90</v>
      </c>
      <c r="T15" s="1573" t="s">
        <v>11</v>
      </c>
      <c r="U15" s="1574">
        <f t="shared" si="1"/>
        <v>90</v>
      </c>
      <c r="V15" s="1573" t="s">
        <v>11</v>
      </c>
      <c r="W15" s="1574">
        <f t="shared" si="2"/>
        <v>95</v>
      </c>
      <c r="X15" s="1567"/>
      <c r="Y15" s="3419" t="s">
        <v>540</v>
      </c>
      <c r="Z15" s="1575" t="str">
        <f t="shared" si="7"/>
        <v>居住社区成熟度</v>
      </c>
      <c r="AA15" s="1576">
        <f t="shared" si="3"/>
        <v>1.1111111111111112</v>
      </c>
      <c r="AB15" s="1576">
        <f t="shared" si="4"/>
        <v>1.1111111111111112</v>
      </c>
      <c r="AC15" s="1576">
        <f t="shared" si="5"/>
        <v>1.0526315789473684</v>
      </c>
    </row>
    <row r="16" spans="1:29" ht="15">
      <c r="A16" s="532"/>
      <c r="B16" s="869"/>
      <c r="C16" s="576" t="s">
        <v>3053</v>
      </c>
      <c r="D16" s="555"/>
      <c r="E16" s="556" t="s">
        <v>3072</v>
      </c>
      <c r="F16" s="557"/>
      <c r="G16" s="558" t="s">
        <v>3072</v>
      </c>
      <c r="H16" s="559"/>
      <c r="I16" s="556" t="s">
        <v>3054</v>
      </c>
      <c r="J16" s="555"/>
      <c r="K16" s="870"/>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3"/>
      <c r="M17" s="2135"/>
      <c r="N17" s="2135"/>
      <c r="O17" s="2142"/>
      <c r="P17" s="3420"/>
      <c r="Q17" s="1572" t="str">
        <f>B17</f>
        <v>交通便捷度</v>
      </c>
      <c r="R17" s="1573" t="s">
        <v>11</v>
      </c>
      <c r="S17" s="1574">
        <f>F17</f>
        <v>100</v>
      </c>
      <c r="T17" s="1573" t="s">
        <v>11</v>
      </c>
      <c r="U17" s="1574">
        <f>H17</f>
        <v>100</v>
      </c>
      <c r="V17" s="1573" t="s">
        <v>11</v>
      </c>
      <c r="W17" s="1574">
        <f>J17</f>
        <v>100</v>
      </c>
      <c r="X17" s="1567"/>
      <c r="Y17" s="3420"/>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70"/>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3"/>
      <c r="M19" s="2135"/>
      <c r="N19" s="2135"/>
      <c r="O19" s="2142"/>
      <c r="P19" s="3420"/>
      <c r="Q19" s="1572" t="str">
        <f>B19</f>
        <v>公共配套设施</v>
      </c>
      <c r="R19" s="1573" t="s">
        <v>11</v>
      </c>
      <c r="S19" s="1574">
        <f>F19</f>
        <v>100</v>
      </c>
      <c r="T19" s="1573" t="s">
        <v>11</v>
      </c>
      <c r="U19" s="1574">
        <f>H19</f>
        <v>100</v>
      </c>
      <c r="V19" s="1573" t="s">
        <v>11</v>
      </c>
      <c r="W19" s="1574">
        <f>J19</f>
        <v>100</v>
      </c>
      <c r="X19" s="1567"/>
      <c r="Y19" s="3420"/>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70"/>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3"/>
      <c r="M21" s="2135"/>
      <c r="N21" s="2135"/>
      <c r="O21" s="2142"/>
      <c r="P21" s="3420"/>
      <c r="Q21" s="2580" t="str">
        <f>B21</f>
        <v>基础设施水平</v>
      </c>
      <c r="R21" s="1573" t="s">
        <v>11</v>
      </c>
      <c r="S21" s="1574">
        <f>F21</f>
        <v>100</v>
      </c>
      <c r="T21" s="1573" t="s">
        <v>11</v>
      </c>
      <c r="U21" s="1574">
        <f>H21</f>
        <v>100</v>
      </c>
      <c r="V21" s="1573" t="s">
        <v>11</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0"/>
      <c r="L22" s="2143"/>
      <c r="M22" s="2135"/>
      <c r="N22" s="2135"/>
      <c r="O22" s="2142"/>
      <c r="P22" s="3420"/>
      <c r="Q22" s="2580"/>
      <c r="R22" s="1573"/>
      <c r="S22" s="1574"/>
      <c r="T22" s="1573"/>
      <c r="U22" s="1574"/>
      <c r="V22" s="1573"/>
      <c r="W22" s="1574"/>
      <c r="X22" s="2582"/>
      <c r="Y22" s="3420"/>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3"/>
      <c r="M23" s="2135"/>
      <c r="N23" s="2135"/>
      <c r="O23" s="2142"/>
      <c r="P23" s="3420"/>
      <c r="Q23" s="1572" t="str">
        <f>B23</f>
        <v>自然及人文环境</v>
      </c>
      <c r="R23" s="1573" t="s">
        <v>11</v>
      </c>
      <c r="S23" s="1574">
        <f>F23</f>
        <v>95</v>
      </c>
      <c r="T23" s="1573" t="s">
        <v>11</v>
      </c>
      <c r="U23" s="1574">
        <f>H23</f>
        <v>95</v>
      </c>
      <c r="V23" s="1573" t="s">
        <v>11</v>
      </c>
      <c r="W23" s="1574">
        <f>J23</f>
        <v>90</v>
      </c>
      <c r="X23" s="1567"/>
      <c r="Y23" s="3420"/>
      <c r="Z23" s="1575" t="str">
        <f>Q23</f>
        <v>自然及人文环境</v>
      </c>
      <c r="AA23" s="1576">
        <f t="shared" si="3"/>
        <v>1.0526315789473684</v>
      </c>
      <c r="AB23" s="1576">
        <f t="shared" si="4"/>
        <v>1.0526315789473684</v>
      </c>
      <c r="AC23" s="1576">
        <f t="shared" si="5"/>
        <v>1.1111111111111112</v>
      </c>
    </row>
    <row r="24" spans="1:29" ht="15">
      <c r="A24" s="532"/>
      <c r="B24" s="595"/>
      <c r="C24" s="576" t="s">
        <v>3055</v>
      </c>
      <c r="D24" s="555"/>
      <c r="E24" s="556" t="s">
        <v>3053</v>
      </c>
      <c r="F24" s="557"/>
      <c r="G24" s="558" t="s">
        <v>3053</v>
      </c>
      <c r="H24" s="555"/>
      <c r="I24" s="556" t="s">
        <v>3054</v>
      </c>
      <c r="J24" s="555"/>
      <c r="K24" s="870"/>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3"/>
      <c r="M25" s="2135"/>
      <c r="N25" s="2135"/>
      <c r="O25" s="2142"/>
      <c r="P25" s="3420"/>
      <c r="Q25" s="1572" t="str">
        <f t="shared" ref="Q25:Q46" si="11">B25</f>
        <v>楼层-1</v>
      </c>
      <c r="R25" s="1573" t="s">
        <v>11</v>
      </c>
      <c r="S25" s="1574">
        <f>F25</f>
        <v>100</v>
      </c>
      <c r="T25" s="1573" t="s">
        <v>11</v>
      </c>
      <c r="U25" s="1574">
        <f>H25</f>
        <v>100</v>
      </c>
      <c r="V25" s="1573" t="s">
        <v>11</v>
      </c>
      <c r="W25" s="1574">
        <f>J25</f>
        <v>100</v>
      </c>
      <c r="X25" s="1567"/>
      <c r="Y25" s="342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3"/>
      <c r="M26" s="2135"/>
      <c r="N26" s="2135"/>
      <c r="O26" s="2142"/>
      <c r="P26" s="3420"/>
      <c r="Q26" s="1572" t="str">
        <f t="shared" si="11"/>
        <v>朝向</v>
      </c>
      <c r="R26" s="1573" t="s">
        <v>11</v>
      </c>
      <c r="S26" s="1574">
        <f>F26</f>
        <v>100</v>
      </c>
      <c r="T26" s="1573" t="s">
        <v>11</v>
      </c>
      <c r="U26" s="1574">
        <f>H26</f>
        <v>100</v>
      </c>
      <c r="V26" s="1573" t="s">
        <v>11</v>
      </c>
      <c r="W26" s="1574">
        <f>J26</f>
        <v>100</v>
      </c>
      <c r="X26" s="1567"/>
      <c r="Y26" s="3420"/>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0"/>
      <c r="Q27" s="1151" t="str">
        <f t="shared" si="11"/>
        <v>道路级别</v>
      </c>
      <c r="R27" s="1568" t="s">
        <v>11</v>
      </c>
      <c r="S27" s="1569">
        <f>F27</f>
        <v>100</v>
      </c>
      <c r="T27" s="1568" t="s">
        <v>11</v>
      </c>
      <c r="U27" s="1569">
        <f>H27</f>
        <v>100</v>
      </c>
      <c r="V27" s="1568" t="s">
        <v>11</v>
      </c>
      <c r="W27" s="1569">
        <f>J27</f>
        <v>100</v>
      </c>
      <c r="X27" s="1570"/>
      <c r="Y27" s="342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0"/>
      <c r="Q29" s="1572">
        <f t="shared" si="11"/>
        <v>111</v>
      </c>
      <c r="R29" s="1573" t="s">
        <v>11</v>
      </c>
      <c r="S29" s="1574">
        <f t="shared" si="12"/>
        <v>100</v>
      </c>
      <c r="T29" s="1573" t="s">
        <v>11</v>
      </c>
      <c r="U29" s="1574">
        <f t="shared" si="13"/>
        <v>100</v>
      </c>
      <c r="V29" s="1573" t="s">
        <v>11</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0"/>
      <c r="Q30" s="1572">
        <f t="shared" si="11"/>
        <v>111</v>
      </c>
      <c r="R30" s="1573" t="s">
        <v>11</v>
      </c>
      <c r="S30" s="1574">
        <f t="shared" si="12"/>
        <v>100</v>
      </c>
      <c r="T30" s="1573" t="s">
        <v>11</v>
      </c>
      <c r="U30" s="1574">
        <f t="shared" si="13"/>
        <v>100</v>
      </c>
      <c r="V30" s="1573" t="s">
        <v>11</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0"/>
      <c r="Q31" s="1572">
        <f t="shared" si="11"/>
        <v>111</v>
      </c>
      <c r="R31" s="1573" t="s">
        <v>11</v>
      </c>
      <c r="S31" s="1574">
        <f t="shared" si="12"/>
        <v>100</v>
      </c>
      <c r="T31" s="1573" t="s">
        <v>11</v>
      </c>
      <c r="U31" s="1574">
        <f t="shared" si="13"/>
        <v>100</v>
      </c>
      <c r="V31" s="1573" t="s">
        <v>11</v>
      </c>
      <c r="W31" s="1574">
        <f t="shared" si="14"/>
        <v>100</v>
      </c>
      <c r="X31" s="1567"/>
      <c r="Y31" s="3420"/>
      <c r="Z31" s="1575">
        <f t="shared" si="15"/>
        <v>111</v>
      </c>
      <c r="AA31" s="1576">
        <f t="shared" si="3"/>
        <v>1</v>
      </c>
      <c r="AB31" s="1576">
        <f t="shared" si="4"/>
        <v>1</v>
      </c>
      <c r="AC31" s="1576">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3"/>
      <c r="M32" s="2135"/>
      <c r="N32" s="2135"/>
      <c r="O32" s="2142"/>
      <c r="P32" s="3421" t="s">
        <v>550</v>
      </c>
      <c r="Q32" s="1572" t="str">
        <f t="shared" si="11"/>
        <v>建筑类型</v>
      </c>
      <c r="R32" s="1573" t="s">
        <v>11</v>
      </c>
      <c r="S32" s="1574">
        <f t="shared" si="12"/>
        <v>100</v>
      </c>
      <c r="T32" s="1573" t="s">
        <v>11</v>
      </c>
      <c r="U32" s="1574">
        <f t="shared" si="13"/>
        <v>102</v>
      </c>
      <c r="V32" s="1573" t="s">
        <v>11</v>
      </c>
      <c r="W32" s="1574">
        <f t="shared" si="14"/>
        <v>102</v>
      </c>
      <c r="X32" s="1567"/>
      <c r="Y32" s="3422" t="s">
        <v>550</v>
      </c>
      <c r="Z32" s="1575" t="str">
        <f t="shared" si="15"/>
        <v>建筑类型</v>
      </c>
      <c r="AA32" s="1576">
        <f t="shared" si="3"/>
        <v>1</v>
      </c>
      <c r="AB32" s="1576">
        <f t="shared" si="4"/>
        <v>0.98039215686274506</v>
      </c>
      <c r="AC32" s="1576">
        <f t="shared" si="5"/>
        <v>0.98039215686274506</v>
      </c>
    </row>
    <row r="33" spans="1:29" s="1339" customFormat="1" ht="15">
      <c r="A33" s="603"/>
      <c r="B33" s="527" t="s">
        <v>726</v>
      </c>
      <c r="C33" s="880">
        <f>'数据-汇总表'!E3</f>
        <v>78499.16</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1"/>
      <c r="M33" s="2172"/>
      <c r="N33" s="2172"/>
      <c r="O33" s="2144"/>
      <c r="P33" s="3422"/>
      <c r="Q33" s="1605" t="str">
        <f t="shared" si="11"/>
        <v>项目建筑规模</v>
      </c>
      <c r="R33" s="1577" t="s">
        <v>11</v>
      </c>
      <c r="S33" s="1578">
        <f t="shared" si="12"/>
        <v>101</v>
      </c>
      <c r="T33" s="1577" t="s">
        <v>11</v>
      </c>
      <c r="U33" s="1578">
        <f t="shared" si="13"/>
        <v>103</v>
      </c>
      <c r="V33" s="1577" t="s">
        <v>11</v>
      </c>
      <c r="W33" s="1578">
        <f t="shared" si="14"/>
        <v>102</v>
      </c>
      <c r="X33" s="1579"/>
      <c r="Y33" s="3422"/>
      <c r="Z33" s="1580" t="str">
        <f t="shared" si="15"/>
        <v>项目建筑规模</v>
      </c>
      <c r="AA33" s="1576">
        <f t="shared" si="3"/>
        <v>0.99009900990099009</v>
      </c>
      <c r="AB33" s="1576">
        <f t="shared" si="4"/>
        <v>0.970873786407767</v>
      </c>
      <c r="AC33" s="1576">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3"/>
      <c r="M34" s="2135"/>
      <c r="N34" s="2135"/>
      <c r="O34" s="2142"/>
      <c r="P34" s="3422"/>
      <c r="Q34" s="1572" t="str">
        <f t="shared" si="11"/>
        <v>建筑结构</v>
      </c>
      <c r="R34" s="1573" t="s">
        <v>11</v>
      </c>
      <c r="S34" s="1574">
        <f t="shared" si="12"/>
        <v>100</v>
      </c>
      <c r="T34" s="1573" t="s">
        <v>11</v>
      </c>
      <c r="U34" s="1574">
        <f t="shared" si="13"/>
        <v>100</v>
      </c>
      <c r="V34" s="1573" t="s">
        <v>11</v>
      </c>
      <c r="W34" s="1574">
        <f t="shared" si="14"/>
        <v>100</v>
      </c>
      <c r="X34" s="1567"/>
      <c r="Y34" s="3422"/>
      <c r="Z34" s="1575" t="str">
        <f t="shared" si="15"/>
        <v>建筑结构</v>
      </c>
      <c r="AA34" s="1576">
        <f t="shared" si="3"/>
        <v>1</v>
      </c>
      <c r="AB34" s="1576">
        <f t="shared" si="4"/>
        <v>1</v>
      </c>
      <c r="AC34" s="1576">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3"/>
      <c r="M35" s="2135"/>
      <c r="N35" s="2135"/>
      <c r="O35" s="2142"/>
      <c r="P35" s="3422"/>
      <c r="Q35" s="1572" t="str">
        <f t="shared" si="11"/>
        <v>建筑品质</v>
      </c>
      <c r="R35" s="1573" t="s">
        <v>11</v>
      </c>
      <c r="S35" s="1574">
        <f t="shared" si="12"/>
        <v>100</v>
      </c>
      <c r="T35" s="1573" t="s">
        <v>11</v>
      </c>
      <c r="U35" s="1574">
        <f t="shared" si="13"/>
        <v>100</v>
      </c>
      <c r="V35" s="1573" t="s">
        <v>11</v>
      </c>
      <c r="W35" s="1574">
        <f t="shared" si="14"/>
        <v>100</v>
      </c>
      <c r="X35" s="1567"/>
      <c r="Y35" s="3422"/>
      <c r="Z35" s="1575" t="str">
        <f t="shared" si="15"/>
        <v>建筑品质</v>
      </c>
      <c r="AA35" s="1576">
        <f t="shared" si="3"/>
        <v>1</v>
      </c>
      <c r="AB35" s="1576">
        <f t="shared" si="4"/>
        <v>1</v>
      </c>
      <c r="AC35" s="1576">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3"/>
      <c r="M36" s="2135"/>
      <c r="N36" s="2135"/>
      <c r="O36" s="2142"/>
      <c r="P36" s="3422"/>
      <c r="Q36" s="1572" t="str">
        <f t="shared" si="11"/>
        <v>公共部分装修</v>
      </c>
      <c r="R36" s="1573" t="s">
        <v>11</v>
      </c>
      <c r="S36" s="1574">
        <f t="shared" si="12"/>
        <v>100</v>
      </c>
      <c r="T36" s="1573" t="s">
        <v>11</v>
      </c>
      <c r="U36" s="1574">
        <f t="shared" si="13"/>
        <v>100</v>
      </c>
      <c r="V36" s="1573" t="s">
        <v>11</v>
      </c>
      <c r="W36" s="1574">
        <f t="shared" si="14"/>
        <v>100</v>
      </c>
      <c r="X36" s="1567"/>
      <c r="Y36" s="342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6"/>
      <c r="M37" s="2137"/>
      <c r="N37" s="2137"/>
      <c r="O37" s="2138"/>
      <c r="P37" s="3422"/>
      <c r="Q37" s="1151" t="str">
        <f t="shared" si="11"/>
        <v>成新度</v>
      </c>
      <c r="R37" s="1568" t="s">
        <v>11</v>
      </c>
      <c r="S37" s="1569">
        <f t="shared" si="12"/>
        <v>100</v>
      </c>
      <c r="T37" s="1568" t="s">
        <v>11</v>
      </c>
      <c r="U37" s="1569">
        <f t="shared" si="13"/>
        <v>100</v>
      </c>
      <c r="V37" s="1568" t="s">
        <v>11</v>
      </c>
      <c r="W37" s="1569">
        <f t="shared" si="14"/>
        <v>100</v>
      </c>
      <c r="X37" s="1570"/>
      <c r="Y37" s="3422"/>
      <c r="Z37" s="1150" t="str">
        <f t="shared" si="15"/>
        <v>成新度</v>
      </c>
      <c r="AA37" s="1571">
        <f t="shared" si="3"/>
        <v>1</v>
      </c>
      <c r="AB37" s="1571">
        <f t="shared" si="4"/>
        <v>1</v>
      </c>
      <c r="AC37" s="1571">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3"/>
      <c r="M38" s="2135"/>
      <c r="N38" s="2135"/>
      <c r="O38" s="2142"/>
      <c r="P38" s="3422" t="s">
        <v>550</v>
      </c>
      <c r="Q38" s="1572" t="str">
        <f t="shared" si="11"/>
        <v>物业管理</v>
      </c>
      <c r="R38" s="1573" t="s">
        <v>11</v>
      </c>
      <c r="S38" s="1574">
        <f t="shared" si="12"/>
        <v>100</v>
      </c>
      <c r="T38" s="1573" t="s">
        <v>11</v>
      </c>
      <c r="U38" s="1574">
        <f t="shared" si="13"/>
        <v>100</v>
      </c>
      <c r="V38" s="1573" t="s">
        <v>11</v>
      </c>
      <c r="W38" s="1574">
        <f t="shared" si="14"/>
        <v>100</v>
      </c>
      <c r="X38" s="1567"/>
      <c r="Y38" s="3422" t="s">
        <v>550</v>
      </c>
      <c r="Z38" s="1575" t="str">
        <f t="shared" si="15"/>
        <v>物业管理</v>
      </c>
      <c r="AA38" s="1576">
        <f t="shared" si="3"/>
        <v>1</v>
      </c>
      <c r="AB38" s="1576">
        <f t="shared" si="4"/>
        <v>1</v>
      </c>
      <c r="AC38" s="1576">
        <f t="shared" si="5"/>
        <v>1</v>
      </c>
    </row>
    <row r="39" spans="1:29" ht="15">
      <c r="A39" s="594"/>
      <c r="B39" s="1896"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3"/>
      <c r="M39" s="2135"/>
      <c r="N39" s="2135"/>
      <c r="O39" s="2142"/>
      <c r="P39" s="3422"/>
      <c r="Q39" s="1572" t="str">
        <f t="shared" si="11"/>
        <v>市政基础设施</v>
      </c>
      <c r="R39" s="1573" t="s">
        <v>11</v>
      </c>
      <c r="S39" s="1574">
        <f t="shared" si="12"/>
        <v>100</v>
      </c>
      <c r="T39" s="1573" t="s">
        <v>11</v>
      </c>
      <c r="U39" s="1574">
        <f t="shared" si="13"/>
        <v>100</v>
      </c>
      <c r="V39" s="1573" t="s">
        <v>11</v>
      </c>
      <c r="W39" s="1574">
        <f t="shared" si="14"/>
        <v>100</v>
      </c>
      <c r="X39" s="1567"/>
      <c r="Y39" s="342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3"/>
      <c r="M40" s="2135"/>
      <c r="N40" s="2135"/>
      <c r="O40" s="2142"/>
      <c r="P40" s="3422"/>
      <c r="Q40" s="1572" t="str">
        <f t="shared" si="11"/>
        <v>房型</v>
      </c>
      <c r="R40" s="1573" t="s">
        <v>11</v>
      </c>
      <c r="S40" s="1574">
        <f t="shared" si="12"/>
        <v>100</v>
      </c>
      <c r="T40" s="1573" t="s">
        <v>11</v>
      </c>
      <c r="U40" s="1574">
        <f t="shared" si="13"/>
        <v>100</v>
      </c>
      <c r="V40" s="1573" t="s">
        <v>11</v>
      </c>
      <c r="W40" s="1574">
        <f t="shared" si="14"/>
        <v>100</v>
      </c>
      <c r="X40" s="1567"/>
      <c r="Y40" s="342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22"/>
      <c r="Q41" s="1605" t="str">
        <f t="shared" si="11"/>
        <v>单套/主力户型建筑面积</v>
      </c>
      <c r="R41" s="1577" t="s">
        <v>11</v>
      </c>
      <c r="S41" s="1578">
        <f t="shared" si="12"/>
        <v>100</v>
      </c>
      <c r="T41" s="1577" t="s">
        <v>11</v>
      </c>
      <c r="U41" s="1578">
        <f t="shared" si="13"/>
        <v>100</v>
      </c>
      <c r="V41" s="1577" t="s">
        <v>11</v>
      </c>
      <c r="W41" s="1578">
        <f t="shared" si="14"/>
        <v>100</v>
      </c>
      <c r="X41" s="1579"/>
      <c r="Y41" s="3422"/>
      <c r="Z41" s="1580" t="str">
        <f t="shared" si="15"/>
        <v>单套/主力户型建筑面积</v>
      </c>
      <c r="AA41" s="1576">
        <f t="shared" si="3"/>
        <v>1</v>
      </c>
      <c r="AB41" s="1576">
        <f t="shared" si="4"/>
        <v>1</v>
      </c>
      <c r="AC41" s="1576">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3"/>
      <c r="M42" s="2135"/>
      <c r="N42" s="2135"/>
      <c r="O42" s="2142"/>
      <c r="P42" s="3422"/>
      <c r="Q42" s="1572" t="str">
        <f t="shared" si="11"/>
        <v>内部装修</v>
      </c>
      <c r="R42" s="1573" t="s">
        <v>11</v>
      </c>
      <c r="S42" s="1574">
        <f t="shared" si="12"/>
        <v>100</v>
      </c>
      <c r="T42" s="1573" t="s">
        <v>11</v>
      </c>
      <c r="U42" s="1574">
        <f t="shared" si="13"/>
        <v>100</v>
      </c>
      <c r="V42" s="1573" t="s">
        <v>11</v>
      </c>
      <c r="W42" s="1574">
        <f t="shared" si="14"/>
        <v>102</v>
      </c>
      <c r="X42" s="1567"/>
      <c r="Y42" s="3422"/>
      <c r="Z42" s="1575" t="str">
        <f t="shared" si="15"/>
        <v>内部装修</v>
      </c>
      <c r="AA42" s="1576">
        <f t="shared" si="3"/>
        <v>1</v>
      </c>
      <c r="AB42" s="1576">
        <f t="shared" si="4"/>
        <v>1</v>
      </c>
      <c r="AC42" s="1576">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3"/>
      <c r="M43" s="2135"/>
      <c r="N43" s="2135"/>
      <c r="O43" s="2142"/>
      <c r="P43" s="3422"/>
      <c r="Q43" s="1572" t="str">
        <f t="shared" si="11"/>
        <v>内部装修维护情况</v>
      </c>
      <c r="R43" s="1573" t="s">
        <v>11</v>
      </c>
      <c r="S43" s="1574">
        <f t="shared" si="12"/>
        <v>100</v>
      </c>
      <c r="T43" s="1573" t="s">
        <v>11</v>
      </c>
      <c r="U43" s="1574">
        <f t="shared" si="13"/>
        <v>100</v>
      </c>
      <c r="V43" s="1573" t="s">
        <v>11</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22"/>
      <c r="Q44" s="1151">
        <f t="shared" si="11"/>
        <v>111</v>
      </c>
      <c r="R44" s="1568" t="s">
        <v>11</v>
      </c>
      <c r="S44" s="1569">
        <f t="shared" si="12"/>
        <v>100</v>
      </c>
      <c r="T44" s="1568" t="s">
        <v>11</v>
      </c>
      <c r="U44" s="1569">
        <f t="shared" si="13"/>
        <v>100</v>
      </c>
      <c r="V44" s="1568" t="s">
        <v>11</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22"/>
      <c r="Q45" s="1572">
        <f t="shared" si="11"/>
        <v>111</v>
      </c>
      <c r="R45" s="1573" t="s">
        <v>11</v>
      </c>
      <c r="S45" s="1574">
        <f t="shared" si="12"/>
        <v>100</v>
      </c>
      <c r="T45" s="1573" t="s">
        <v>11</v>
      </c>
      <c r="U45" s="1574">
        <f t="shared" si="13"/>
        <v>100</v>
      </c>
      <c r="V45" s="1573" t="s">
        <v>11</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18"/>
      <c r="Q46" s="1572">
        <f t="shared" si="11"/>
        <v>111</v>
      </c>
      <c r="R46" s="1573" t="s">
        <v>10</v>
      </c>
      <c r="S46" s="1574">
        <f t="shared" si="12"/>
        <v>100</v>
      </c>
      <c r="T46" s="1573" t="s">
        <v>10</v>
      </c>
      <c r="U46" s="1574">
        <f t="shared" si="13"/>
        <v>100</v>
      </c>
      <c r="V46" s="1573" t="s">
        <v>10</v>
      </c>
      <c r="W46" s="1574">
        <f t="shared" si="14"/>
        <v>100</v>
      </c>
      <c r="X46" s="1567"/>
      <c r="Y46" s="3518"/>
      <c r="Z46" s="1575">
        <f t="shared" si="15"/>
        <v>111</v>
      </c>
      <c r="AA46" s="1576">
        <f t="shared" si="3"/>
        <v>1</v>
      </c>
      <c r="AB46" s="1576">
        <f t="shared" si="4"/>
        <v>1</v>
      </c>
      <c r="AC46" s="1576">
        <f t="shared" si="5"/>
        <v>1</v>
      </c>
    </row>
    <row r="47" spans="1:29" ht="15">
      <c r="A47" s="607" t="s">
        <v>736</v>
      </c>
      <c r="B47" s="887"/>
      <c r="C47" s="2628" t="s">
        <v>9</v>
      </c>
      <c r="D47" s="2629"/>
      <c r="E47" s="2630">
        <v>12900</v>
      </c>
      <c r="F47" s="2631"/>
      <c r="G47" s="2632">
        <v>13600</v>
      </c>
      <c r="H47" s="2633"/>
      <c r="I47" s="2630">
        <v>14000</v>
      </c>
      <c r="J47" s="2633"/>
      <c r="K47" s="1606"/>
      <c r="L47" s="2145"/>
      <c r="M47" s="2146"/>
      <c r="N47" s="2135"/>
      <c r="O47" s="2146"/>
      <c r="P47" s="3417" t="str">
        <f>A47</f>
        <v>成交单价（元/平方米）</v>
      </c>
      <c r="Q47" s="3417"/>
      <c r="R47" s="3517">
        <f>E47</f>
        <v>12900</v>
      </c>
      <c r="S47" s="3517"/>
      <c r="T47" s="3517">
        <f>G47</f>
        <v>13600</v>
      </c>
      <c r="U47" s="3517"/>
      <c r="V47" s="3517">
        <f>I47</f>
        <v>14000</v>
      </c>
      <c r="W47" s="3517"/>
      <c r="X47" s="1559"/>
      <c r="Y47" s="1581"/>
      <c r="Z47" s="1559"/>
      <c r="AA47" s="1559"/>
      <c r="AB47" s="1559"/>
      <c r="AC47" s="1559"/>
    </row>
    <row r="48" spans="1:29" ht="15.75" thickBot="1">
      <c r="A48" s="615" t="s">
        <v>2763</v>
      </c>
      <c r="B48" s="888"/>
      <c r="C48" s="2634">
        <f>R49</f>
        <v>15169</v>
      </c>
      <c r="D48" s="2635"/>
      <c r="E48" s="2636">
        <f>R48</f>
        <v>14938</v>
      </c>
      <c r="F48" s="2636"/>
      <c r="G48" s="2634">
        <f>T48</f>
        <v>15140</v>
      </c>
      <c r="H48" s="2635"/>
      <c r="I48" s="2636">
        <f>V48</f>
        <v>15430</v>
      </c>
      <c r="J48" s="2635"/>
      <c r="K48" s="1607"/>
      <c r="L48" s="2145"/>
      <c r="M48" s="2146"/>
      <c r="N48" s="2146"/>
      <c r="O48" s="2146"/>
      <c r="P48" s="3417" t="str">
        <f>A48</f>
        <v>比较价格（元/平方米）</v>
      </c>
      <c r="Q48" s="3417"/>
      <c r="R48" s="3517">
        <f>IF(F1="售价",ROUND(PRODUCT(R47,AA7:AA46),0),ROUND(PRODUCT(R47,AA7:AA46),1))</f>
        <v>14938</v>
      </c>
      <c r="S48" s="3517"/>
      <c r="T48" s="3517">
        <f>IF(F1="售价",ROUND(PRODUCT(T47,AB7:AB46),0),ROUND(PRODUCT(T47,AB7:AB46),1))</f>
        <v>15140</v>
      </c>
      <c r="U48" s="3517"/>
      <c r="V48" s="3517">
        <f>IF(F1="售价",ROUND(PRODUCT(V47,AC7:AC46),0),ROUND(PRODUCT(V47,AC7:AC46),1))</f>
        <v>15430</v>
      </c>
      <c r="W48" s="3517"/>
      <c r="X48" s="1559"/>
      <c r="Y48" s="1559"/>
      <c r="Z48" s="1559"/>
      <c r="AA48" s="1559"/>
      <c r="AB48" s="1559"/>
      <c r="AC48" s="1559"/>
    </row>
    <row r="49" spans="1:29" ht="15.75" thickBot="1">
      <c r="A49" s="621" t="s">
        <v>2940</v>
      </c>
      <c r="B49" s="622"/>
      <c r="C49" s="2637">
        <f>R49</f>
        <v>15169</v>
      </c>
      <c r="D49" s="2637"/>
      <c r="E49" s="2637"/>
      <c r="F49" s="2637"/>
      <c r="G49" s="2637"/>
      <c r="H49" s="2637"/>
      <c r="I49" s="2637"/>
      <c r="J49" s="2637"/>
      <c r="K49" s="1608"/>
      <c r="L49" s="2145"/>
      <c r="M49" s="2146"/>
      <c r="N49" s="2146"/>
      <c r="O49" s="2146"/>
      <c r="P49" s="3438" t="str">
        <f>A49</f>
        <v>估价对象XX用房的比较价格（楼面单价，元/平方米）</v>
      </c>
      <c r="Q49" s="3439"/>
      <c r="R49" s="3516">
        <f>IF(F1="售价",ROUND(AVERAGE(R48:V48),0),ROUND(AVERAGE(R48:V48),1))</f>
        <v>15169</v>
      </c>
      <c r="S49" s="3516"/>
      <c r="T49" s="3516"/>
      <c r="U49" s="3516"/>
      <c r="V49" s="3516"/>
      <c r="W49" s="35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0.15798449612403109</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1.3522559914312504E-2</v>
      </c>
      <c r="F53" s="627" t="str">
        <f>IF(OR(E53&gt;=0.2,E53&lt;=-0.2),"超过20%","")</f>
        <v/>
      </c>
      <c r="G53" s="626">
        <f>IF(G48&lt;I48,I48/G48-1,G48/I48-1)</f>
        <v>1.915455746367245E-2</v>
      </c>
      <c r="H53" s="627" t="str">
        <f>IF(OR(G53&gt;=0.2,G53&lt;=-0.2),"超过20%","")</f>
        <v/>
      </c>
      <c r="I53" s="626">
        <f>IF(I48&lt;E48,E48/I48-1,I48/E48-1)</f>
        <v>3.2936136028919538E-2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5.4263565891472965E-2</v>
      </c>
      <c r="F54" s="627" t="str">
        <f>IF(OR(E54&gt;=0.3,E54&lt;=-0.3),"超过30%","")</f>
        <v/>
      </c>
      <c r="G54" s="626">
        <f>IF(G47&lt;I47,I47/G47-1,G47/I47-1)</f>
        <v>2.9411764705882248E-2</v>
      </c>
      <c r="H54" s="627" t="str">
        <f>IF(OR(G54&gt;=0.3,G54&lt;=-0.3),"超过30%","")</f>
        <v/>
      </c>
      <c r="I54" s="626">
        <f>IF(I47&lt;E47,E47/I47-1,I47/E47-1)</f>
        <v>8.5271317829457294E-2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t="str">
        <f>C9</f>
        <v>住宅</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95</v>
      </c>
      <c r="E77" s="679">
        <f>D77-$K15</f>
        <v>90</v>
      </c>
      <c r="F77" s="679">
        <f>E77-$K15</f>
        <v>85</v>
      </c>
      <c r="G77" s="679">
        <f>F77-$K15</f>
        <v>80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95</v>
      </c>
      <c r="E85" s="679">
        <f>D85-$K23</f>
        <v>90</v>
      </c>
      <c r="F85" s="679">
        <f>E85-$K23</f>
        <v>85</v>
      </c>
      <c r="G85" s="679">
        <f>F85-$K23</f>
        <v>80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84" t="s">
        <v>3080</v>
      </c>
      <c r="D100" s="3184" t="s">
        <v>3082</v>
      </c>
      <c r="E100" s="3184" t="s">
        <v>3084</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500000</v>
      </c>
      <c r="E103" s="730">
        <v>1000000</v>
      </c>
      <c r="F103" s="730">
        <v>2000000</v>
      </c>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101</v>
      </c>
      <c r="E104" s="692">
        <v>102</v>
      </c>
      <c r="F104" s="671">
        <v>103</v>
      </c>
      <c r="G104" s="692"/>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3085</v>
      </c>
      <c r="D105" s="3186" t="s">
        <v>3086</v>
      </c>
      <c r="E105" s="3185" t="s">
        <v>3087</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3185" t="s">
        <v>3088</v>
      </c>
      <c r="D107" s="3185" t="s">
        <v>3090</v>
      </c>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3186" t="s">
        <v>3099</v>
      </c>
      <c r="D114" s="3186" t="s">
        <v>3100</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3186" t="s">
        <v>3101</v>
      </c>
      <c r="D116" s="3186" t="s">
        <v>3102</v>
      </c>
      <c r="E116" s="3186" t="s">
        <v>3103</v>
      </c>
      <c r="F116" s="3186" t="s">
        <v>3104</v>
      </c>
      <c r="G116" s="3186" t="s">
        <v>3105</v>
      </c>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90" zoomScaleNormal="9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2990</v>
      </c>
      <c r="D1" s="3127" t="s">
        <v>3077</v>
      </c>
      <c r="E1" s="2388" t="s">
        <v>2377</v>
      </c>
      <c r="F1" s="2389">
        <f ca="1">J53</f>
        <v>37.79</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5030</v>
      </c>
      <c r="C2" s="2058"/>
      <c r="D2" s="2056"/>
      <c r="E2" s="2057"/>
      <c r="F2" s="2057"/>
      <c r="G2" s="1590"/>
      <c r="H2" s="2058"/>
      <c r="I2" s="2058"/>
      <c r="J2" s="2058"/>
      <c r="K2" s="2059"/>
      <c r="L2" s="2058"/>
      <c r="M2" s="2058"/>
    </row>
    <row r="3" spans="1:33" ht="18" customHeight="1" thickBot="1">
      <c r="A3" s="833" t="s">
        <v>1728</v>
      </c>
      <c r="B3" s="834">
        <f ca="1">IF(ISERROR(B2*10000/F43),0,ROUND(B2*10000/F43,0))</f>
        <v>20637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280</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280</v>
      </c>
      <c r="D6" s="2498" t="s">
        <v>2465</v>
      </c>
      <c r="E6" s="784" t="s">
        <v>1739</v>
      </c>
      <c r="F6" s="785">
        <f ca="1">INDIRECT("'数据-取费表'!u"&amp;$G$1)</f>
        <v>3.5</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2437.37</v>
      </c>
      <c r="G7" s="1592"/>
      <c r="H7" s="2490"/>
      <c r="I7" s="3478"/>
      <c r="J7" s="788"/>
      <c r="K7" s="789"/>
      <c r="L7" s="784" t="s">
        <v>1740</v>
      </c>
      <c r="M7" s="785">
        <f ca="1">F7</f>
        <v>2437.37</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2622" t="s">
        <v>3078</v>
      </c>
      <c r="G10" s="1592"/>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1027</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684</v>
      </c>
      <c r="D14" s="1980" t="s">
        <v>1746</v>
      </c>
      <c r="E14" s="1981"/>
      <c r="F14" s="805"/>
      <c r="G14" s="1592"/>
      <c r="H14" s="1649" t="s">
        <v>1831</v>
      </c>
      <c r="I14" s="2232" t="s">
        <v>2829</v>
      </c>
      <c r="J14" s="53">
        <f ca="1">C29</f>
        <v>1027</v>
      </c>
      <c r="K14" s="26"/>
      <c r="L14" s="801"/>
      <c r="M14" s="802"/>
    </row>
    <row r="15" spans="1:33" s="2065" customFormat="1" ht="18" customHeight="1" thickBot="1">
      <c r="A15" s="1648" t="s">
        <v>1886</v>
      </c>
      <c r="B15" s="784" t="s">
        <v>647</v>
      </c>
      <c r="C15" s="53">
        <f ca="1">ROUND(C14*F15,0)</f>
        <v>21</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102</v>
      </c>
      <c r="K16" s="1822" t="s">
        <v>1751</v>
      </c>
      <c r="L16" s="2487"/>
      <c r="M16" s="2492"/>
    </row>
    <row r="17" spans="1:33" s="2065" customFormat="1" ht="18" customHeight="1">
      <c r="A17" s="1648" t="s">
        <v>1888</v>
      </c>
      <c r="B17" s="784" t="s">
        <v>653</v>
      </c>
      <c r="C17" s="53">
        <f ca="1">ROUND(F17*(F43+INDIRECT("'数据-取费表'!S"&amp;$G$1))/10000,0)</f>
        <v>37</v>
      </c>
      <c r="D17" s="784" t="s">
        <v>1752</v>
      </c>
      <c r="E17" s="784" t="s">
        <v>1753</v>
      </c>
      <c r="F17" s="56">
        <f>'数据-取费表'!B35</f>
        <v>150</v>
      </c>
      <c r="G17" s="1593"/>
      <c r="H17" s="1649" t="s">
        <v>1831</v>
      </c>
      <c r="I17" s="784" t="s">
        <v>656</v>
      </c>
      <c r="J17" s="53">
        <f ca="1">ROUND(IF(项目基本情况!B11="自然人",J5*M17,J18+J19+J20),0)</f>
        <v>87</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10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752</v>
      </c>
      <c r="D19" s="261" t="s">
        <v>1758</v>
      </c>
      <c r="E19" s="1983"/>
      <c r="F19" s="56"/>
      <c r="G19" s="1592"/>
      <c r="H19" s="1648" t="s">
        <v>1886</v>
      </c>
      <c r="I19" s="784" t="s">
        <v>1759</v>
      </c>
      <c r="J19" s="53">
        <f ca="1">IF(K19="按租金收入计税",ROUND(J5*M19,1),ROUND(C29*F33*0.7,1))</f>
        <v>86.3</v>
      </c>
      <c r="K19" s="811" t="s">
        <v>665</v>
      </c>
      <c r="L19" s="784" t="s">
        <v>1748</v>
      </c>
      <c r="M19" s="809">
        <f>IF(K19="按租金收入计税",'数据-取费表'!B51,'数据-取费表'!B50)</f>
        <v>1.2E-2</v>
      </c>
    </row>
    <row r="20" spans="1:33" s="2065" customFormat="1" ht="18" customHeight="1">
      <c r="A20" s="1649" t="s">
        <v>1890</v>
      </c>
      <c r="B20" s="784" t="s">
        <v>666</v>
      </c>
      <c r="C20" s="53">
        <f ca="1">ROUND(C19*F20,0)</f>
        <v>15</v>
      </c>
      <c r="D20" s="812" t="s">
        <v>1760</v>
      </c>
      <c r="E20" s="784" t="s">
        <v>1748</v>
      </c>
      <c r="F20" s="809">
        <f>'数据-取费表'!B37</f>
        <v>0.02</v>
      </c>
      <c r="G20" s="1593"/>
      <c r="H20" s="1651" t="s">
        <v>1881</v>
      </c>
      <c r="I20" s="341" t="s">
        <v>1761</v>
      </c>
      <c r="J20" s="54">
        <f ca="1">ROUND(M20*M21/10000,0)</f>
        <v>1</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611.43000000000006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15</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27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-102</v>
      </c>
      <c r="K25" s="2549" t="s">
        <v>1778</v>
      </c>
      <c r="L25" s="2550"/>
      <c r="M25" s="2551"/>
    </row>
    <row r="26" spans="1:33" ht="18" customHeight="1">
      <c r="A26" s="1648" t="s">
        <v>1832</v>
      </c>
      <c r="B26" s="784" t="s">
        <v>2441</v>
      </c>
      <c r="C26" s="53">
        <f ca="1">ROUND((C19+C20)*F26,0)</f>
        <v>153</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5.5E-2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1027</v>
      </c>
      <c r="D29" s="2546"/>
      <c r="E29" s="2547"/>
      <c r="F29" s="2548"/>
      <c r="G29" s="1593"/>
      <c r="H29" s="823" t="s">
        <v>1788</v>
      </c>
      <c r="I29" s="824" t="s">
        <v>1789</v>
      </c>
      <c r="J29" s="825">
        <f ca="1">ROUND(J26/(1+F40)^F41,0)</f>
        <v>0</v>
      </c>
      <c r="K29" s="826" t="s">
        <v>1790</v>
      </c>
      <c r="L29" s="827"/>
      <c r="M29" s="828">
        <f ca="1">INDIRECT("'数据-取费表'!k"&amp;$G$1)</f>
        <v>2437.37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49.1</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14.9</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33.6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0.6</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611.43000000000006</v>
      </c>
      <c r="G35" s="2063"/>
      <c r="H35" s="2066"/>
      <c r="I35" s="837" t="s">
        <v>1815</v>
      </c>
      <c r="J35" s="838">
        <f ca="1">ROUND(C13*J36,0)</f>
        <v>87</v>
      </c>
      <c r="K35" s="2079"/>
      <c r="L35" s="2078"/>
      <c r="M35" s="2078"/>
    </row>
    <row r="36" spans="1:18" ht="18" customHeight="1">
      <c r="A36" s="1649" t="s">
        <v>1890</v>
      </c>
      <c r="B36" s="784" t="s">
        <v>1803</v>
      </c>
      <c r="C36" s="53">
        <f ca="1">ROUND(C29*F36,1)</f>
        <v>15.4</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1.5</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2.8</v>
      </c>
      <c r="D38" s="2546" t="s">
        <v>1806</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211</v>
      </c>
      <c r="D39" s="2549" t="s">
        <v>1807</v>
      </c>
      <c r="E39" s="2550"/>
      <c r="F39" s="2551"/>
      <c r="G39" s="2063"/>
      <c r="H39" s="2078"/>
      <c r="I39" s="837" t="s">
        <v>1819</v>
      </c>
      <c r="J39" s="845">
        <f ca="1">ROUND(J35/C39,3)</f>
        <v>0.41199999999999998</v>
      </c>
      <c r="K39" s="2084"/>
      <c r="L39" s="2078"/>
      <c r="M39" s="2078"/>
    </row>
    <row r="40" spans="1:18" ht="18" customHeight="1">
      <c r="A40" s="781" t="s">
        <v>1896</v>
      </c>
      <c r="B40" s="2233" t="s">
        <v>2304</v>
      </c>
      <c r="C40" s="783">
        <f ca="1">ROUND(C39*(1-((1+F42)/(1+F40))^F41)/(F40-F42),0)</f>
        <v>5030</v>
      </c>
      <c r="D40" s="814" t="s">
        <v>1808</v>
      </c>
      <c r="E40" s="784" t="s">
        <v>2422</v>
      </c>
      <c r="F40" s="794">
        <f ca="1">INDIRECT("'数据-取费表'!I"&amp;$G$1)</f>
        <v>5.5E-2</v>
      </c>
      <c r="G40" s="2063"/>
      <c r="H40" s="2063"/>
      <c r="I40" s="837" t="s">
        <v>1820</v>
      </c>
      <c r="J40" s="845">
        <f ca="1">1-J39</f>
        <v>0.58800000000000008</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37.79</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0.20399999999999999</v>
      </c>
      <c r="K42" s="2083"/>
      <c r="L42" s="1989"/>
      <c r="M42" s="1989"/>
    </row>
    <row r="43" spans="1:18" ht="18" customHeight="1" thickBot="1">
      <c r="A43" s="823" t="s">
        <v>1788</v>
      </c>
      <c r="B43" s="824" t="s">
        <v>1811</v>
      </c>
      <c r="C43" s="825">
        <f ca="1">ROUND(C40*10000/F43,0)</f>
        <v>20637</v>
      </c>
      <c r="D43" s="826" t="s">
        <v>1812</v>
      </c>
      <c r="E43" s="827" t="s">
        <v>1813</v>
      </c>
      <c r="F43" s="828">
        <f ca="1">INDIRECT("'数据-取费表'!k"&amp;$G$1)</f>
        <v>2437.37</v>
      </c>
      <c r="G43" s="2063"/>
      <c r="H43" s="1989"/>
      <c r="I43" s="847" t="s">
        <v>1823</v>
      </c>
      <c r="J43" s="848">
        <f ca="1">1-J42</f>
        <v>0.79600000000000004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-5314</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39.29</v>
      </c>
      <c r="O48" s="2399" t="s">
        <v>2382</v>
      </c>
      <c r="P48" s="2400" t="s">
        <v>2408</v>
      </c>
      <c r="Q48" s="2401">
        <f ca="1">C40+J29</f>
        <v>5030</v>
      </c>
      <c r="R48" s="2400" t="s">
        <v>2383</v>
      </c>
    </row>
    <row r="49" spans="1:18" s="2060" customFormat="1" ht="18" customHeight="1" thickBot="1">
      <c r="A49" s="786"/>
      <c r="B49" s="787"/>
      <c r="C49" s="788"/>
      <c r="D49" s="789"/>
      <c r="E49" s="784" t="s">
        <v>1740</v>
      </c>
      <c r="F49" s="785">
        <f ca="1">F7</f>
        <v>2437.37</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1027</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2110</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37.79</v>
      </c>
      <c r="K53" s="3519" t="s">
        <v>2973</v>
      </c>
      <c r="L53" s="3520"/>
      <c r="O53" s="2402" t="s">
        <v>2391</v>
      </c>
      <c r="P53" s="2400" t="s">
        <v>2392</v>
      </c>
      <c r="Q53" s="2401">
        <f ca="1">J53</f>
        <v>37.79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5030</v>
      </c>
      <c r="R54" s="2404" t="s">
        <v>2395</v>
      </c>
    </row>
    <row r="55" spans="1:18" s="2060" customFormat="1" ht="18" customHeight="1" thickTop="1" thickBot="1">
      <c r="A55" s="797">
        <v>2</v>
      </c>
      <c r="B55" s="798" t="s">
        <v>644</v>
      </c>
      <c r="C55" s="799">
        <f ca="1">C13</f>
        <v>1027</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1027</v>
      </c>
      <c r="D56" s="2640"/>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18</v>
      </c>
      <c r="D57" s="26" t="s">
        <v>1751</v>
      </c>
      <c r="E57" s="2641"/>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5030</v>
      </c>
      <c r="R57" s="2400" t="s">
        <v>2383</v>
      </c>
    </row>
    <row r="58" spans="1:18" s="2060" customFormat="1" ht="28.5" customHeight="1" thickBot="1">
      <c r="A58" s="1649" t="s">
        <v>1825</v>
      </c>
      <c r="B58" s="784" t="s">
        <v>656</v>
      </c>
      <c r="C58" s="53">
        <f ca="1">ROUND(IF(项目基本情况!B11="自然人",C47*F58,C59+C60+C61),1)</f>
        <v>0.6</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0.6</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611.43000000000006</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15.4</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5030</v>
      </c>
      <c r="R63" s="2404" t="s">
        <v>2395</v>
      </c>
    </row>
    <row r="64" spans="1:18" s="2060" customFormat="1" ht="16.5" thickBot="1">
      <c r="A64" s="1649" t="s">
        <v>1891</v>
      </c>
      <c r="B64" s="784" t="s">
        <v>679</v>
      </c>
      <c r="C64" s="53">
        <f ca="1">ROUND(C55*F64,1)</f>
        <v>1.5</v>
      </c>
      <c r="D64" s="2640"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-18</v>
      </c>
      <c r="D66" s="2639" t="s">
        <v>700</v>
      </c>
      <c r="E66" s="2638"/>
      <c r="F66" s="820"/>
      <c r="K66" s="2087"/>
      <c r="O66" s="2399" t="s">
        <v>2382</v>
      </c>
      <c r="P66" s="2400" t="s">
        <v>2412</v>
      </c>
      <c r="Q66" s="2401">
        <f ca="1">C40+J29</f>
        <v>5030</v>
      </c>
      <c r="R66" s="2400" t="s">
        <v>2383</v>
      </c>
    </row>
    <row r="67" spans="1:18" s="2060" customFormat="1" ht="20.25" thickBot="1">
      <c r="A67" s="781" t="s">
        <v>1781</v>
      </c>
      <c r="B67" s="2233" t="s">
        <v>2304</v>
      </c>
      <c r="C67" s="783">
        <f ca="1">ROUND(C66*(1-((1+F69)/(1+F67))^F68)/(F67-F69),0)</f>
        <v>-284</v>
      </c>
      <c r="D67" s="814" t="s">
        <v>704</v>
      </c>
      <c r="E67" s="784" t="s">
        <v>705</v>
      </c>
      <c r="F67" s="794">
        <f ca="1">F40</f>
        <v>5.5E-2</v>
      </c>
      <c r="K67" s="2087"/>
      <c r="O67" s="2399" t="s">
        <v>2384</v>
      </c>
      <c r="P67" s="2400" t="s">
        <v>2415</v>
      </c>
      <c r="Q67" s="2401">
        <f ca="1">L60</f>
        <v>0</v>
      </c>
      <c r="R67" s="2404" t="s">
        <v>2417</v>
      </c>
    </row>
    <row r="68" spans="1:18" ht="21.75" thickBot="1">
      <c r="A68" s="786"/>
      <c r="B68" s="787"/>
      <c r="C68" s="788"/>
      <c r="D68" s="821" t="s">
        <v>1809</v>
      </c>
      <c r="E68" s="784" t="s">
        <v>1785</v>
      </c>
      <c r="F68" s="822">
        <f ca="1">F41</f>
        <v>37.79</v>
      </c>
      <c r="O68" s="2402" t="s">
        <v>2386</v>
      </c>
      <c r="P68" s="2400" t="s">
        <v>2416</v>
      </c>
      <c r="Q68" s="2406">
        <f ca="1">L51</f>
        <v>2110</v>
      </c>
      <c r="R68" s="2407" t="s">
        <v>2419</v>
      </c>
    </row>
    <row r="69" spans="1:18" ht="20.25" thickBot="1">
      <c r="A69" s="790"/>
      <c r="B69" s="791"/>
      <c r="C69" s="792"/>
      <c r="D69" s="816"/>
      <c r="E69" s="784" t="s">
        <v>710</v>
      </c>
      <c r="F69" s="2372"/>
      <c r="O69" s="2402" t="s">
        <v>2387</v>
      </c>
      <c r="P69" s="2408" t="s">
        <v>2401</v>
      </c>
      <c r="Q69" s="2401">
        <f ca="1">ROUND(Q70-Q71*Q72,0)</f>
        <v>124</v>
      </c>
      <c r="R69" s="2404"/>
    </row>
    <row r="70" spans="1:18" ht="15.75" thickBot="1">
      <c r="A70" s="823" t="s">
        <v>1788</v>
      </c>
      <c r="B70" s="824" t="s">
        <v>1811</v>
      </c>
      <c r="C70" s="825">
        <f ca="1">ROUND(C67*10000/F70,0)</f>
        <v>-1165</v>
      </c>
      <c r="D70" s="826" t="s">
        <v>1812</v>
      </c>
      <c r="E70" s="827" t="s">
        <v>1813</v>
      </c>
      <c r="F70" s="828">
        <f ca="1">F43</f>
        <v>2437.37</v>
      </c>
      <c r="O70" s="2402" t="s">
        <v>2402</v>
      </c>
      <c r="P70" s="2408" t="s">
        <v>2403</v>
      </c>
      <c r="Q70" s="2401">
        <f ca="1">C39</f>
        <v>211</v>
      </c>
      <c r="R70" s="2400" t="s">
        <v>2383</v>
      </c>
    </row>
    <row r="71" spans="1:18" ht="15.75" thickBot="1">
      <c r="O71" s="2402" t="s">
        <v>2404</v>
      </c>
      <c r="P71" s="2408" t="s">
        <v>2405</v>
      </c>
      <c r="Q71" s="2401">
        <f ca="1">C13</f>
        <v>1027</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5030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51" sqref="I5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f>ROUND(B3*D3/10000,0)</f>
        <v>5073</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f>C49</f>
        <v>20813</v>
      </c>
      <c r="C3" s="852" t="s">
        <v>722</v>
      </c>
      <c r="D3" s="851">
        <f>SUMIF('数据-汇总表'!$C19:$C33,D1,'数据-汇总表'!$E19:$E33)</f>
        <v>2437.37</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23" t="s">
        <v>522</v>
      </c>
      <c r="D4" s="3424"/>
      <c r="E4" s="3447" t="s">
        <v>523</v>
      </c>
      <c r="F4" s="3448"/>
      <c r="G4" s="3423" t="s">
        <v>524</v>
      </c>
      <c r="H4" s="3424"/>
      <c r="I4" s="3423" t="s">
        <v>525</v>
      </c>
      <c r="J4" s="3424"/>
      <c r="K4" s="514"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31" t="s">
        <v>524</v>
      </c>
      <c r="AC4" s="3406" t="s">
        <v>525</v>
      </c>
    </row>
    <row r="5" spans="1:29" ht="15">
      <c r="A5" s="515"/>
      <c r="B5" s="516"/>
      <c r="C5" s="3434" t="s">
        <v>2934</v>
      </c>
      <c r="D5" s="3435"/>
      <c r="E5" s="3514" t="s">
        <v>3112</v>
      </c>
      <c r="F5" s="3450"/>
      <c r="G5" s="3515" t="s">
        <v>3112</v>
      </c>
      <c r="H5" s="3435"/>
      <c r="I5" s="3515" t="s">
        <v>3112</v>
      </c>
      <c r="J5" s="3435"/>
      <c r="K5" s="514"/>
      <c r="L5" s="2134"/>
      <c r="M5" s="2135"/>
      <c r="N5" s="2135"/>
      <c r="O5" s="2135"/>
      <c r="P5" s="3427"/>
      <c r="Q5" s="3428"/>
      <c r="R5" s="3413"/>
      <c r="S5" s="3414"/>
      <c r="T5" s="3413"/>
      <c r="U5" s="3414"/>
      <c r="V5" s="3431"/>
      <c r="W5" s="3431"/>
      <c r="X5" s="1567"/>
      <c r="Y5" s="3413"/>
      <c r="Z5" s="3414"/>
      <c r="AA5" s="3407"/>
      <c r="AB5" s="3431"/>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31"/>
      <c r="AC6" s="3408"/>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6"/>
      <c r="M7" s="2137"/>
      <c r="N7" s="2137"/>
      <c r="O7" s="2137"/>
      <c r="P7" s="3409" t="s">
        <v>530</v>
      </c>
      <c r="Q7" s="3418"/>
      <c r="R7" s="1568" t="s">
        <v>8</v>
      </c>
      <c r="S7" s="1569">
        <f t="shared" ref="S7:S15" si="0">F7</f>
        <v>100</v>
      </c>
      <c r="T7" s="1568" t="s">
        <v>8</v>
      </c>
      <c r="U7" s="1569">
        <f t="shared" ref="U7:U15" si="1">H7</f>
        <v>100</v>
      </c>
      <c r="V7" s="1568" t="s">
        <v>8</v>
      </c>
      <c r="W7" s="1569">
        <f t="shared" ref="W7:W15" si="2">J7</f>
        <v>100</v>
      </c>
      <c r="X7" s="1570"/>
      <c r="Y7" s="3409" t="s">
        <v>530</v>
      </c>
      <c r="Z7" s="3410"/>
      <c r="AA7" s="1571">
        <f>D7/F7</f>
        <v>1</v>
      </c>
      <c r="AB7" s="1571">
        <f>D7/H7</f>
        <v>1</v>
      </c>
      <c r="AC7" s="1571">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6"/>
      <c r="M8" s="2137"/>
      <c r="N8" s="2137"/>
      <c r="O8" s="2137"/>
      <c r="P8" s="3409" t="s">
        <v>533</v>
      </c>
      <c r="Q8" s="3410"/>
      <c r="R8" s="1568" t="s">
        <v>8</v>
      </c>
      <c r="S8" s="1569">
        <f t="shared" si="0"/>
        <v>100</v>
      </c>
      <c r="T8" s="1568" t="s">
        <v>8</v>
      </c>
      <c r="U8" s="1569">
        <f t="shared" si="1"/>
        <v>100</v>
      </c>
      <c r="V8" s="1568" t="s">
        <v>8</v>
      </c>
      <c r="W8" s="1569">
        <f t="shared" si="2"/>
        <v>100</v>
      </c>
      <c r="X8" s="1570"/>
      <c r="Y8" s="3409" t="s">
        <v>533</v>
      </c>
      <c r="Z8" s="3410"/>
      <c r="AA8" s="1571">
        <f t="shared" ref="AA8:AA46" si="3">D8/F8</f>
        <v>1</v>
      </c>
      <c r="AB8" s="1571">
        <f t="shared" ref="AB8:AB46" si="4">D8/H8</f>
        <v>1</v>
      </c>
      <c r="AC8" s="1571">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39"/>
      <c r="M10" s="2179"/>
      <c r="N10" s="2179"/>
      <c r="O10" s="2140"/>
      <c r="P10" s="3417"/>
      <c r="Q10" s="1151" t="str">
        <f t="shared" si="6"/>
        <v>土地使用年限（年）</v>
      </c>
      <c r="R10" s="1568" t="s">
        <v>8</v>
      </c>
      <c r="S10" s="1569">
        <f t="shared" si="0"/>
        <v>97</v>
      </c>
      <c r="T10" s="1568" t="s">
        <v>8</v>
      </c>
      <c r="U10" s="1569">
        <f t="shared" si="1"/>
        <v>97</v>
      </c>
      <c r="V10" s="1568" t="s">
        <v>8</v>
      </c>
      <c r="W10" s="1569">
        <f t="shared" si="2"/>
        <v>97</v>
      </c>
      <c r="X10" s="1570"/>
      <c r="Y10" s="3374"/>
      <c r="Z10" s="1150" t="str">
        <f t="shared" si="7"/>
        <v>土地使用年限（年）</v>
      </c>
      <c r="AA10" s="1571">
        <f t="shared" si="3"/>
        <v>1.0309278350515463</v>
      </c>
      <c r="AB10" s="1571">
        <f t="shared" si="4"/>
        <v>1.0309278350515463</v>
      </c>
      <c r="AC10" s="1571">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1"/>
      <c r="M11" s="2135"/>
      <c r="N11" s="2135"/>
      <c r="O11" s="2142"/>
      <c r="P11" s="3417"/>
      <c r="Q11" s="1151" t="str">
        <f t="shared" si="6"/>
        <v>容积率</v>
      </c>
      <c r="R11" s="1568" t="s">
        <v>8</v>
      </c>
      <c r="S11" s="1569">
        <f t="shared" si="0"/>
        <v>100</v>
      </c>
      <c r="T11" s="1568" t="s">
        <v>8</v>
      </c>
      <c r="U11" s="1569">
        <f t="shared" si="1"/>
        <v>100</v>
      </c>
      <c r="V11" s="1568" t="s">
        <v>8</v>
      </c>
      <c r="W11" s="1569">
        <f t="shared" si="2"/>
        <v>100</v>
      </c>
      <c r="X11" s="1570"/>
      <c r="Y11" s="3374"/>
      <c r="Z11" s="1150" t="str">
        <f t="shared" si="7"/>
        <v>容积率</v>
      </c>
      <c r="AA11" s="1571">
        <f t="shared" si="3"/>
        <v>1</v>
      </c>
      <c r="AB11" s="1571">
        <f t="shared" si="4"/>
        <v>1</v>
      </c>
      <c r="AC11" s="1571">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3"/>
      <c r="M15" s="2135"/>
      <c r="N15" s="2135"/>
      <c r="O15" s="2142"/>
      <c r="P15" s="3419" t="s">
        <v>540</v>
      </c>
      <c r="Q15" s="1572" t="str">
        <f t="shared" si="6"/>
        <v>商业繁华度</v>
      </c>
      <c r="R15" s="1573" t="s">
        <v>8</v>
      </c>
      <c r="S15" s="1574">
        <f t="shared" si="0"/>
        <v>100</v>
      </c>
      <c r="T15" s="1573" t="s">
        <v>8</v>
      </c>
      <c r="U15" s="1574">
        <f t="shared" si="1"/>
        <v>100</v>
      </c>
      <c r="V15" s="1573" t="s">
        <v>8</v>
      </c>
      <c r="W15" s="1574">
        <f t="shared" si="2"/>
        <v>100</v>
      </c>
      <c r="X15" s="1567"/>
      <c r="Y15" s="3419" t="s">
        <v>540</v>
      </c>
      <c r="Z15" s="1575" t="str">
        <f t="shared" si="7"/>
        <v>商业繁华度</v>
      </c>
      <c r="AA15" s="1576">
        <f t="shared" si="3"/>
        <v>1</v>
      </c>
      <c r="AB15" s="1576">
        <f t="shared" si="4"/>
        <v>1</v>
      </c>
      <c r="AC15" s="1576">
        <f t="shared" si="5"/>
        <v>1</v>
      </c>
    </row>
    <row r="16" spans="1:29" ht="15">
      <c r="A16" s="532"/>
      <c r="B16" s="869"/>
      <c r="C16" s="576" t="s">
        <v>3053</v>
      </c>
      <c r="D16" s="555"/>
      <c r="E16" s="576" t="s">
        <v>3053</v>
      </c>
      <c r="F16" s="557"/>
      <c r="G16" s="576" t="s">
        <v>3053</v>
      </c>
      <c r="H16" s="559"/>
      <c r="I16" s="576" t="s">
        <v>3053</v>
      </c>
      <c r="J16" s="555"/>
      <c r="K16" s="899"/>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3"/>
      <c r="M17" s="2135"/>
      <c r="N17" s="2135"/>
      <c r="O17" s="2142"/>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t="s">
        <v>3053</v>
      </c>
      <c r="D18" s="559"/>
      <c r="E18" s="568" t="s">
        <v>3053</v>
      </c>
      <c r="F18" s="563"/>
      <c r="G18" s="569" t="s">
        <v>3053</v>
      </c>
      <c r="H18" s="555"/>
      <c r="I18" s="568" t="s">
        <v>3053</v>
      </c>
      <c r="J18" s="555"/>
      <c r="K18" s="899"/>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3"/>
      <c r="M19" s="2135"/>
      <c r="N19" s="2135"/>
      <c r="O19" s="2142"/>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95"/>
      <c r="C20" s="576" t="s">
        <v>3053</v>
      </c>
      <c r="D20" s="555"/>
      <c r="E20" s="556" t="s">
        <v>3053</v>
      </c>
      <c r="F20" s="557"/>
      <c r="G20" s="558" t="s">
        <v>3053</v>
      </c>
      <c r="H20" s="555"/>
      <c r="I20" s="556" t="s">
        <v>3053</v>
      </c>
      <c r="J20" s="555"/>
      <c r="K20" s="899"/>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3"/>
      <c r="M21" s="2135"/>
      <c r="N21" s="2135"/>
      <c r="O21" s="2142"/>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922"/>
      <c r="C22" s="873" t="s">
        <v>3056</v>
      </c>
      <c r="D22" s="555"/>
      <c r="E22" s="576" t="s">
        <v>3056</v>
      </c>
      <c r="F22" s="557"/>
      <c r="G22" s="576" t="s">
        <v>3056</v>
      </c>
      <c r="H22" s="555"/>
      <c r="I22" s="576" t="s">
        <v>3056</v>
      </c>
      <c r="J22" s="555"/>
      <c r="K22" s="2603"/>
      <c r="L22" s="2143"/>
      <c r="M22" s="2135"/>
      <c r="N22" s="2135"/>
      <c r="O22" s="2142"/>
      <c r="P22" s="3420"/>
      <c r="Q22" s="2580"/>
      <c r="R22" s="1573"/>
      <c r="S22" s="1574"/>
      <c r="T22" s="1573"/>
      <c r="U22" s="1574"/>
      <c r="V22" s="1573"/>
      <c r="W22" s="1574"/>
      <c r="X22" s="2582"/>
      <c r="Y22" s="3420"/>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3"/>
      <c r="M23" s="2135"/>
      <c r="N23" s="2135"/>
      <c r="O23" s="2142"/>
      <c r="P23" s="3420"/>
      <c r="Q23" s="1572" t="str">
        <f>B23</f>
        <v>自然及人文环境</v>
      </c>
      <c r="R23" s="1573" t="s">
        <v>8</v>
      </c>
      <c r="S23" s="1574">
        <f>F23</f>
        <v>100</v>
      </c>
      <c r="T23" s="1573" t="s">
        <v>8</v>
      </c>
      <c r="U23" s="1574">
        <f>H23</f>
        <v>100</v>
      </c>
      <c r="V23" s="1573" t="s">
        <v>8</v>
      </c>
      <c r="W23" s="1574">
        <f>J23</f>
        <v>100</v>
      </c>
      <c r="X23" s="1567"/>
      <c r="Y23" s="3420"/>
      <c r="Z23" s="1575" t="str">
        <f>Q23</f>
        <v>自然及人文环境</v>
      </c>
      <c r="AA23" s="1576">
        <f t="shared" si="3"/>
        <v>1</v>
      </c>
      <c r="AB23" s="1576">
        <f t="shared" si="4"/>
        <v>1</v>
      </c>
      <c r="AC23" s="1576">
        <f t="shared" si="5"/>
        <v>1</v>
      </c>
    </row>
    <row r="24" spans="1:29" ht="15">
      <c r="A24" s="532"/>
      <c r="B24" s="595"/>
      <c r="C24" s="576" t="s">
        <v>3055</v>
      </c>
      <c r="D24" s="555"/>
      <c r="E24" s="556" t="s">
        <v>3055</v>
      </c>
      <c r="F24" s="557"/>
      <c r="G24" s="558" t="s">
        <v>3055</v>
      </c>
      <c r="H24" s="555"/>
      <c r="I24" s="556" t="s">
        <v>3055</v>
      </c>
      <c r="J24" s="555"/>
      <c r="K24" s="899"/>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3"/>
      <c r="M25" s="2135"/>
      <c r="N25" s="2135"/>
      <c r="O25" s="2142"/>
      <c r="P25" s="3420"/>
      <c r="Q25" s="1572" t="str">
        <f t="shared" ref="Q25:Q46" si="11">B25</f>
        <v>临街状况</v>
      </c>
      <c r="R25" s="1573" t="s">
        <v>8</v>
      </c>
      <c r="S25" s="1574">
        <f>F25</f>
        <v>100</v>
      </c>
      <c r="T25" s="1573" t="s">
        <v>8</v>
      </c>
      <c r="U25" s="1574">
        <f>H25</f>
        <v>100</v>
      </c>
      <c r="V25" s="1573" t="s">
        <v>8</v>
      </c>
      <c r="W25" s="1574">
        <f>J25</f>
        <v>100</v>
      </c>
      <c r="X25" s="1567"/>
      <c r="Y25" s="3420"/>
      <c r="Z25" s="1575" t="str">
        <f>Q25</f>
        <v>临街状况</v>
      </c>
      <c r="AA25" s="1576">
        <f t="shared" si="3"/>
        <v>1</v>
      </c>
      <c r="AB25" s="1576">
        <f t="shared" si="4"/>
        <v>1</v>
      </c>
      <c r="AC25" s="1576">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3"/>
      <c r="M26" s="2135"/>
      <c r="N26" s="2135"/>
      <c r="O26" s="2142"/>
      <c r="P26" s="3420"/>
      <c r="Q26" s="1572" t="str">
        <f t="shared" si="11"/>
        <v>平面位置/可视性</v>
      </c>
      <c r="R26" s="1573" t="s">
        <v>8</v>
      </c>
      <c r="S26" s="1574">
        <f>F26</f>
        <v>100</v>
      </c>
      <c r="T26" s="1573" t="s">
        <v>8</v>
      </c>
      <c r="U26" s="1574">
        <f>H26</f>
        <v>100</v>
      </c>
      <c r="V26" s="1573" t="s">
        <v>8</v>
      </c>
      <c r="W26" s="1574">
        <f>J26</f>
        <v>100</v>
      </c>
      <c r="X26" s="1567"/>
      <c r="Y26" s="3420"/>
      <c r="Z26" s="1575" t="str">
        <f>Q26</f>
        <v>平面位置/可视性</v>
      </c>
      <c r="AA26" s="1576">
        <f t="shared" si="3"/>
        <v>1</v>
      </c>
      <c r="AB26" s="1576">
        <f t="shared" si="4"/>
        <v>1</v>
      </c>
      <c r="AC26" s="1576">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6"/>
      <c r="M27" s="2137"/>
      <c r="N27" s="2137"/>
      <c r="O27" s="2138"/>
      <c r="P27" s="3420"/>
      <c r="Q27" s="1151" t="str">
        <f t="shared" si="11"/>
        <v>人流量</v>
      </c>
      <c r="R27" s="1568" t="s">
        <v>8</v>
      </c>
      <c r="S27" s="1569">
        <f>F27</f>
        <v>100</v>
      </c>
      <c r="T27" s="1568" t="s">
        <v>8</v>
      </c>
      <c r="U27" s="1569">
        <f>H27</f>
        <v>100</v>
      </c>
      <c r="V27" s="1568" t="s">
        <v>8</v>
      </c>
      <c r="W27" s="1569">
        <f>J27</f>
        <v>100</v>
      </c>
      <c r="X27" s="1570"/>
      <c r="Y27" s="3420"/>
      <c r="Z27" s="1150" t="str">
        <f>Q27</f>
        <v>人流量</v>
      </c>
      <c r="AA27" s="1576">
        <f>D27/F27</f>
        <v>1</v>
      </c>
      <c r="AB27" s="1576">
        <f>D27/H27</f>
        <v>1</v>
      </c>
      <c r="AC27" s="1576">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3"/>
      <c r="M28" s="2135"/>
      <c r="N28" s="2135"/>
      <c r="O28" s="2142"/>
      <c r="P28" s="342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0"/>
      <c r="Q29" s="1572">
        <f t="shared" si="11"/>
        <v>111</v>
      </c>
      <c r="R29" s="1573" t="s">
        <v>8</v>
      </c>
      <c r="S29" s="1574">
        <f t="shared" si="12"/>
        <v>100</v>
      </c>
      <c r="T29" s="1573" t="s">
        <v>8</v>
      </c>
      <c r="U29" s="1574">
        <f t="shared" si="13"/>
        <v>100</v>
      </c>
      <c r="V29" s="1573" t="s">
        <v>8</v>
      </c>
      <c r="W29" s="1574">
        <f t="shared" si="14"/>
        <v>100</v>
      </c>
      <c r="X29" s="1567"/>
      <c r="Y29" s="342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3"/>
      <c r="M32" s="2135"/>
      <c r="N32" s="2135"/>
      <c r="O32" s="2142"/>
      <c r="P32" s="3421" t="s">
        <v>550</v>
      </c>
      <c r="Q32" s="1572" t="str">
        <f t="shared" si="11"/>
        <v>商业类型</v>
      </c>
      <c r="R32" s="1573" t="s">
        <v>8</v>
      </c>
      <c r="S32" s="1574">
        <f t="shared" si="12"/>
        <v>100</v>
      </c>
      <c r="T32" s="1573" t="s">
        <v>8</v>
      </c>
      <c r="U32" s="1574">
        <f t="shared" si="13"/>
        <v>100</v>
      </c>
      <c r="V32" s="1573" t="s">
        <v>8</v>
      </c>
      <c r="W32" s="1574">
        <f t="shared" si="14"/>
        <v>100</v>
      </c>
      <c r="X32" s="1567"/>
      <c r="Y32" s="342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1"/>
      <c r="M33" s="2172"/>
      <c r="N33" s="2172"/>
      <c r="O33" s="2144"/>
      <c r="P33" s="3422"/>
      <c r="Q33" s="1605" t="str">
        <f t="shared" si="11"/>
        <v>项目建筑规模</v>
      </c>
      <c r="R33" s="1577" t="s">
        <v>8</v>
      </c>
      <c r="S33" s="1578">
        <f t="shared" si="12"/>
        <v>100</v>
      </c>
      <c r="T33" s="1577" t="s">
        <v>8</v>
      </c>
      <c r="U33" s="1578">
        <f t="shared" si="13"/>
        <v>100</v>
      </c>
      <c r="V33" s="1577" t="s">
        <v>8</v>
      </c>
      <c r="W33" s="1578">
        <f t="shared" si="14"/>
        <v>100</v>
      </c>
      <c r="X33" s="1579"/>
      <c r="Y33" s="3422"/>
      <c r="Z33" s="1580" t="str">
        <f t="shared" si="15"/>
        <v>项目建筑规模</v>
      </c>
      <c r="AA33" s="1576">
        <f t="shared" si="3"/>
        <v>1</v>
      </c>
      <c r="AB33" s="1576">
        <f t="shared" si="4"/>
        <v>1</v>
      </c>
      <c r="AC33" s="1576">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3"/>
      <c r="M34" s="2135"/>
      <c r="N34" s="2135"/>
      <c r="O34" s="2142"/>
      <c r="P34" s="3422"/>
      <c r="Q34" s="1572" t="str">
        <f t="shared" si="11"/>
        <v>建筑结构</v>
      </c>
      <c r="R34" s="1573" t="s">
        <v>8</v>
      </c>
      <c r="S34" s="1574">
        <f t="shared" si="12"/>
        <v>100</v>
      </c>
      <c r="T34" s="1573" t="s">
        <v>8</v>
      </c>
      <c r="U34" s="1574">
        <f t="shared" si="13"/>
        <v>100</v>
      </c>
      <c r="V34" s="1573" t="s">
        <v>8</v>
      </c>
      <c r="W34" s="1574">
        <f t="shared" si="14"/>
        <v>100</v>
      </c>
      <c r="X34" s="1567"/>
      <c r="Y34" s="3422"/>
      <c r="Z34" s="1575" t="str">
        <f t="shared" si="15"/>
        <v>建筑结构</v>
      </c>
      <c r="AA34" s="1576">
        <f t="shared" si="3"/>
        <v>1</v>
      </c>
      <c r="AB34" s="1576">
        <f t="shared" si="4"/>
        <v>1</v>
      </c>
      <c r="AC34" s="1576">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3"/>
      <c r="M35" s="2135"/>
      <c r="N35" s="2135"/>
      <c r="O35" s="2142"/>
      <c r="P35" s="3422"/>
      <c r="Q35" s="1572" t="str">
        <f t="shared" si="11"/>
        <v>公共部分装修</v>
      </c>
      <c r="R35" s="1573" t="s">
        <v>8</v>
      </c>
      <c r="S35" s="1574">
        <f t="shared" si="12"/>
        <v>100</v>
      </c>
      <c r="T35" s="1573" t="s">
        <v>8</v>
      </c>
      <c r="U35" s="1574">
        <f t="shared" si="13"/>
        <v>100</v>
      </c>
      <c r="V35" s="1573" t="s">
        <v>8</v>
      </c>
      <c r="W35" s="1574">
        <f t="shared" si="14"/>
        <v>100</v>
      </c>
      <c r="X35" s="1567"/>
      <c r="Y35" s="3422"/>
      <c r="Z35" s="1575" t="str">
        <f t="shared" si="15"/>
        <v>公共部分装修</v>
      </c>
      <c r="AA35" s="1576">
        <f t="shared" si="3"/>
        <v>1</v>
      </c>
      <c r="AB35" s="1576">
        <f t="shared" si="4"/>
        <v>1</v>
      </c>
      <c r="AC35" s="1576">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3"/>
      <c r="M36" s="2135"/>
      <c r="N36" s="2135"/>
      <c r="O36" s="2142"/>
      <c r="P36" s="3422"/>
      <c r="Q36" s="1572" t="str">
        <f t="shared" si="11"/>
        <v>成新度</v>
      </c>
      <c r="R36" s="1573" t="s">
        <v>8</v>
      </c>
      <c r="S36" s="1574">
        <f t="shared" si="12"/>
        <v>100</v>
      </c>
      <c r="T36" s="1573" t="s">
        <v>8</v>
      </c>
      <c r="U36" s="1574">
        <f t="shared" si="13"/>
        <v>100</v>
      </c>
      <c r="V36" s="1573" t="s">
        <v>8</v>
      </c>
      <c r="W36" s="1574">
        <f t="shared" si="14"/>
        <v>100</v>
      </c>
      <c r="X36" s="1567"/>
      <c r="Y36" s="3422"/>
      <c r="Z36" s="1575" t="str">
        <f t="shared" si="15"/>
        <v>成新度</v>
      </c>
      <c r="AA36" s="1576">
        <f t="shared" si="3"/>
        <v>1</v>
      </c>
      <c r="AB36" s="1576">
        <f t="shared" si="4"/>
        <v>1</v>
      </c>
      <c r="AC36" s="1576">
        <f t="shared" si="5"/>
        <v>1</v>
      </c>
    </row>
    <row r="37" spans="1:29" s="1220" customFormat="1" ht="15">
      <c r="A37" s="600"/>
      <c r="B37" s="1896"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6"/>
      <c r="M37" s="2137"/>
      <c r="N37" s="2137"/>
      <c r="O37" s="2138"/>
      <c r="P37" s="3422"/>
      <c r="Q37" s="1151" t="str">
        <f t="shared" si="11"/>
        <v>市政基础设施</v>
      </c>
      <c r="R37" s="1568" t="s">
        <v>8</v>
      </c>
      <c r="S37" s="1569">
        <f t="shared" si="12"/>
        <v>100</v>
      </c>
      <c r="T37" s="1568" t="s">
        <v>8</v>
      </c>
      <c r="U37" s="1569">
        <f t="shared" si="13"/>
        <v>100</v>
      </c>
      <c r="V37" s="1568" t="s">
        <v>8</v>
      </c>
      <c r="W37" s="1569">
        <f t="shared" si="14"/>
        <v>100</v>
      </c>
      <c r="X37" s="1570"/>
      <c r="Y37" s="3422"/>
      <c r="Z37" s="1150" t="str">
        <f t="shared" si="15"/>
        <v>市政基础设施</v>
      </c>
      <c r="AA37" s="1571">
        <f t="shared" si="3"/>
        <v>1</v>
      </c>
      <c r="AB37" s="1571">
        <f t="shared" si="4"/>
        <v>1</v>
      </c>
      <c r="AC37" s="1571">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3"/>
      <c r="M38" s="2135"/>
      <c r="N38" s="2135"/>
      <c r="O38" s="2142"/>
      <c r="P38" s="3422" t="s">
        <v>766</v>
      </c>
      <c r="Q38" s="1572" t="str">
        <f t="shared" si="11"/>
        <v>业态</v>
      </c>
      <c r="R38" s="1573" t="s">
        <v>8</v>
      </c>
      <c r="S38" s="1574">
        <f t="shared" si="12"/>
        <v>100</v>
      </c>
      <c r="T38" s="1573" t="s">
        <v>8</v>
      </c>
      <c r="U38" s="1574">
        <f t="shared" si="13"/>
        <v>100</v>
      </c>
      <c r="V38" s="1573" t="s">
        <v>8</v>
      </c>
      <c r="W38" s="1574">
        <f t="shared" si="14"/>
        <v>100</v>
      </c>
      <c r="X38" s="1567"/>
      <c r="Y38" s="3422" t="s">
        <v>766</v>
      </c>
      <c r="Z38" s="1575" t="str">
        <f t="shared" si="15"/>
        <v>业态</v>
      </c>
      <c r="AA38" s="1576">
        <f t="shared" si="3"/>
        <v>1</v>
      </c>
      <c r="AB38" s="1576">
        <f t="shared" si="4"/>
        <v>1</v>
      </c>
      <c r="AC38" s="1576">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3"/>
      <c r="M39" s="2135"/>
      <c r="N39" s="2135"/>
      <c r="O39" s="2142"/>
      <c r="P39" s="3422"/>
      <c r="Q39" s="1572" t="str">
        <f t="shared" si="11"/>
        <v>层高</v>
      </c>
      <c r="R39" s="1573" t="s">
        <v>8</v>
      </c>
      <c r="S39" s="1574">
        <f t="shared" si="12"/>
        <v>100</v>
      </c>
      <c r="T39" s="1573" t="s">
        <v>8</v>
      </c>
      <c r="U39" s="1574">
        <f t="shared" si="13"/>
        <v>100</v>
      </c>
      <c r="V39" s="1573" t="s">
        <v>8</v>
      </c>
      <c r="W39" s="1574">
        <f t="shared" si="14"/>
        <v>100</v>
      </c>
      <c r="X39" s="1567"/>
      <c r="Y39" s="342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22"/>
      <c r="Q40" s="1572" t="str">
        <f t="shared" si="11"/>
        <v>单套建筑面积</v>
      </c>
      <c r="R40" s="1573" t="s">
        <v>8</v>
      </c>
      <c r="S40" s="1574">
        <f t="shared" si="12"/>
        <v>100</v>
      </c>
      <c r="T40" s="1573" t="s">
        <v>8</v>
      </c>
      <c r="U40" s="1574">
        <f t="shared" si="13"/>
        <v>100</v>
      </c>
      <c r="V40" s="1573" t="s">
        <v>8</v>
      </c>
      <c r="W40" s="1574">
        <f t="shared" si="14"/>
        <v>100</v>
      </c>
      <c r="X40" s="1567"/>
      <c r="Y40" s="3422"/>
      <c r="Z40" s="1575" t="str">
        <f t="shared" si="15"/>
        <v>单套建筑面积</v>
      </c>
      <c r="AA40" s="1576">
        <f t="shared" si="3"/>
        <v>1</v>
      </c>
      <c r="AB40" s="1576">
        <f t="shared" si="4"/>
        <v>1</v>
      </c>
      <c r="AC40" s="1576">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1"/>
      <c r="M41" s="2172"/>
      <c r="N41" s="2172"/>
      <c r="O41" s="2144"/>
      <c r="P41" s="3422"/>
      <c r="Q41" s="1605" t="str">
        <f t="shared" si="11"/>
        <v>进深比</v>
      </c>
      <c r="R41" s="1577" t="s">
        <v>8</v>
      </c>
      <c r="S41" s="1578">
        <f t="shared" si="12"/>
        <v>100</v>
      </c>
      <c r="T41" s="1577" t="s">
        <v>8</v>
      </c>
      <c r="U41" s="1578">
        <f t="shared" si="13"/>
        <v>100</v>
      </c>
      <c r="V41" s="1577" t="s">
        <v>8</v>
      </c>
      <c r="W41" s="1578">
        <f t="shared" si="14"/>
        <v>100</v>
      </c>
      <c r="X41" s="1579"/>
      <c r="Y41" s="3422"/>
      <c r="Z41" s="1580" t="str">
        <f t="shared" si="15"/>
        <v>进深比</v>
      </c>
      <c r="AA41" s="1576">
        <f t="shared" si="3"/>
        <v>1</v>
      </c>
      <c r="AB41" s="1576">
        <f t="shared" si="4"/>
        <v>1</v>
      </c>
      <c r="AC41" s="1576">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3"/>
      <c r="M42" s="2135"/>
      <c r="N42" s="2135"/>
      <c r="O42" s="2142"/>
      <c r="P42" s="3422"/>
      <c r="Q42" s="1572" t="str">
        <f t="shared" si="11"/>
        <v>内部装修</v>
      </c>
      <c r="R42" s="1573" t="s">
        <v>8</v>
      </c>
      <c r="S42" s="1574">
        <f t="shared" si="12"/>
        <v>100</v>
      </c>
      <c r="T42" s="1573" t="s">
        <v>8</v>
      </c>
      <c r="U42" s="1574">
        <f t="shared" si="13"/>
        <v>106</v>
      </c>
      <c r="V42" s="1573" t="s">
        <v>8</v>
      </c>
      <c r="W42" s="1574">
        <f t="shared" si="14"/>
        <v>106</v>
      </c>
      <c r="X42" s="1567"/>
      <c r="Y42" s="3422"/>
      <c r="Z42" s="1575" t="str">
        <f t="shared" si="15"/>
        <v>内部装修</v>
      </c>
      <c r="AA42" s="1576">
        <f t="shared" si="3"/>
        <v>1</v>
      </c>
      <c r="AB42" s="1576">
        <f t="shared" si="4"/>
        <v>0.94339622641509435</v>
      </c>
      <c r="AC42" s="1576">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3"/>
      <c r="M43" s="2135"/>
      <c r="N43" s="2135"/>
      <c r="O43" s="2142"/>
      <c r="P43" s="3422"/>
      <c r="Q43" s="1572" t="str">
        <f t="shared" si="11"/>
        <v>内部装修维护情况</v>
      </c>
      <c r="R43" s="1573" t="s">
        <v>8</v>
      </c>
      <c r="S43" s="1574">
        <f t="shared" si="12"/>
        <v>100</v>
      </c>
      <c r="T43" s="1573" t="s">
        <v>8</v>
      </c>
      <c r="U43" s="1574">
        <f t="shared" si="13"/>
        <v>100</v>
      </c>
      <c r="V43" s="1573" t="s">
        <v>8</v>
      </c>
      <c r="W43" s="1574">
        <f t="shared" si="14"/>
        <v>100</v>
      </c>
      <c r="X43" s="1567"/>
      <c r="Y43" s="342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22"/>
      <c r="Q44" s="1151">
        <f t="shared" si="11"/>
        <v>111</v>
      </c>
      <c r="R44" s="1568" t="s">
        <v>8</v>
      </c>
      <c r="S44" s="1569">
        <f t="shared" si="12"/>
        <v>100</v>
      </c>
      <c r="T44" s="1568" t="s">
        <v>8</v>
      </c>
      <c r="U44" s="1569">
        <f t="shared" si="13"/>
        <v>100</v>
      </c>
      <c r="V44" s="1568" t="s">
        <v>8</v>
      </c>
      <c r="W44" s="1569">
        <f t="shared" si="14"/>
        <v>100</v>
      </c>
      <c r="X44" s="1570"/>
      <c r="Y44" s="342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22"/>
      <c r="Q45" s="1572">
        <f t="shared" si="11"/>
        <v>111</v>
      </c>
      <c r="R45" s="1573" t="s">
        <v>8</v>
      </c>
      <c r="S45" s="1574">
        <f t="shared" si="12"/>
        <v>100</v>
      </c>
      <c r="T45" s="1573" t="s">
        <v>8</v>
      </c>
      <c r="U45" s="1574">
        <f t="shared" si="13"/>
        <v>100</v>
      </c>
      <c r="V45" s="1573" t="s">
        <v>8</v>
      </c>
      <c r="W45" s="1574">
        <f t="shared" si="14"/>
        <v>100</v>
      </c>
      <c r="X45" s="1567"/>
      <c r="Y45" s="342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18"/>
      <c r="Q46" s="1572">
        <f t="shared" si="11"/>
        <v>111</v>
      </c>
      <c r="R46" s="1573" t="s">
        <v>8</v>
      </c>
      <c r="S46" s="1574">
        <f t="shared" si="12"/>
        <v>100</v>
      </c>
      <c r="T46" s="1573" t="s">
        <v>8</v>
      </c>
      <c r="U46" s="1574">
        <f t="shared" si="13"/>
        <v>100</v>
      </c>
      <c r="V46" s="1573" t="s">
        <v>8</v>
      </c>
      <c r="W46" s="1574">
        <f t="shared" si="14"/>
        <v>100</v>
      </c>
      <c r="X46" s="1567"/>
      <c r="Y46" s="3518"/>
      <c r="Z46" s="1575">
        <f t="shared" si="15"/>
        <v>111</v>
      </c>
      <c r="AA46" s="1576">
        <f t="shared" si="3"/>
        <v>1</v>
      </c>
      <c r="AB46" s="1576">
        <f t="shared" si="4"/>
        <v>1</v>
      </c>
      <c r="AC46" s="1576">
        <f t="shared" si="5"/>
        <v>1</v>
      </c>
    </row>
    <row r="47" spans="1:29" ht="15">
      <c r="A47" s="607" t="s">
        <v>736</v>
      </c>
      <c r="B47" s="887"/>
      <c r="C47" s="2628" t="s">
        <v>1</v>
      </c>
      <c r="D47" s="2629"/>
      <c r="E47" s="2630">
        <v>20000</v>
      </c>
      <c r="F47" s="2631"/>
      <c r="G47" s="2632">
        <v>22000</v>
      </c>
      <c r="H47" s="2633"/>
      <c r="I47" s="2630">
        <v>21000</v>
      </c>
      <c r="J47" s="2633"/>
      <c r="K47" s="1611"/>
      <c r="L47" s="2145"/>
      <c r="M47" s="2146"/>
      <c r="N47" s="2135"/>
      <c r="O47" s="2146"/>
      <c r="P47" s="3417" t="str">
        <f>A47</f>
        <v>成交单价（元/平方米）</v>
      </c>
      <c r="Q47" s="3417"/>
      <c r="R47" s="3517">
        <f>E47</f>
        <v>20000</v>
      </c>
      <c r="S47" s="3517"/>
      <c r="T47" s="3517">
        <f>G47</f>
        <v>22000</v>
      </c>
      <c r="U47" s="3517"/>
      <c r="V47" s="3517">
        <f>I47</f>
        <v>21000</v>
      </c>
      <c r="W47" s="3517"/>
      <c r="X47" s="1559"/>
      <c r="Y47" s="1581"/>
      <c r="Z47" s="1559"/>
      <c r="AA47" s="1559"/>
      <c r="AB47" s="1559"/>
      <c r="AC47" s="1559"/>
    </row>
    <row r="48" spans="1:29" ht="15.75" thickBot="1">
      <c r="A48" s="615" t="s">
        <v>2763</v>
      </c>
      <c r="B48" s="888"/>
      <c r="C48" s="2634">
        <f>R49</f>
        <v>20813</v>
      </c>
      <c r="D48" s="2635"/>
      <c r="E48" s="2636">
        <f>R48</f>
        <v>20619</v>
      </c>
      <c r="F48" s="2636"/>
      <c r="G48" s="2634">
        <f>T48</f>
        <v>21397</v>
      </c>
      <c r="H48" s="2635"/>
      <c r="I48" s="2636">
        <f>V48</f>
        <v>20424</v>
      </c>
      <c r="J48" s="2635"/>
      <c r="K48" s="1612"/>
      <c r="L48" s="2145"/>
      <c r="M48" s="2146"/>
      <c r="N48" s="2135"/>
      <c r="O48" s="2146"/>
      <c r="P48" s="3417" t="str">
        <f>A48</f>
        <v>比较价格（元/平方米）</v>
      </c>
      <c r="Q48" s="3417"/>
      <c r="R48" s="3517">
        <f>IF(F1="售价",ROUND(PRODUCT(R47,AA7:AA46),0),ROUND(PRODUCT(R47,AA7:AA46),1))</f>
        <v>20619</v>
      </c>
      <c r="S48" s="3517"/>
      <c r="T48" s="3517">
        <f>IF(F1="售价",ROUND(PRODUCT(T47,AB7:AB46),0),ROUND(PRODUCT(T47,AB7:AB46),1))</f>
        <v>21397</v>
      </c>
      <c r="U48" s="3517"/>
      <c r="V48" s="3517">
        <f>IF(F1="售价",ROUND(PRODUCT(V47,AC7:AC46),0),ROUND(PRODUCT(V47,AC7:AC46),1))</f>
        <v>20424</v>
      </c>
      <c r="W48" s="3517"/>
      <c r="X48" s="1559"/>
      <c r="Y48" s="1559"/>
      <c r="Z48" s="1559"/>
      <c r="AA48" s="1559"/>
      <c r="AB48" s="1559"/>
      <c r="AC48" s="1559"/>
    </row>
    <row r="49" spans="1:29" ht="15.75" thickBot="1">
      <c r="A49" s="621" t="s">
        <v>2940</v>
      </c>
      <c r="B49" s="622"/>
      <c r="C49" s="2637">
        <f>R49</f>
        <v>20813</v>
      </c>
      <c r="D49" s="2637"/>
      <c r="E49" s="2637"/>
      <c r="F49" s="2637"/>
      <c r="G49" s="2637"/>
      <c r="H49" s="2637"/>
      <c r="I49" s="2637"/>
      <c r="J49" s="2637"/>
      <c r="K49" s="1613"/>
      <c r="L49" s="2145"/>
      <c r="M49" s="2146"/>
      <c r="N49" s="2135"/>
      <c r="O49" s="2146"/>
      <c r="P49" s="3438" t="str">
        <f>A49</f>
        <v>估价对象XX用房的比较价格（楼面单价，元/平方米）</v>
      </c>
      <c r="Q49" s="3439"/>
      <c r="R49" s="3516">
        <f>IF(F1="售价",ROUND(AVERAGE(R48:V48),0),ROUND(AVERAGE(R48:V48),1))</f>
        <v>20813</v>
      </c>
      <c r="S49" s="3516"/>
      <c r="T49" s="3516"/>
      <c r="U49" s="3516"/>
      <c r="V49" s="3516"/>
      <c r="W49" s="3516"/>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t="str">
        <f>C9</f>
        <v>商业</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v>100</v>
      </c>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v>1</v>
      </c>
      <c r="E68" s="541">
        <v>2</v>
      </c>
      <c r="F68" s="541">
        <v>3</v>
      </c>
      <c r="G68" s="541">
        <v>4</v>
      </c>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98</v>
      </c>
      <c r="E77" s="679">
        <f>D77-$K15</f>
        <v>96</v>
      </c>
      <c r="F77" s="679">
        <f>E77-$K15</f>
        <v>94</v>
      </c>
      <c r="G77" s="679">
        <f>F77-$K15</f>
        <v>92</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98</v>
      </c>
      <c r="E79" s="679">
        <f>D79-$K17</f>
        <v>96</v>
      </c>
      <c r="F79" s="679">
        <f>E79-$K17</f>
        <v>94</v>
      </c>
      <c r="G79" s="679">
        <f>F79-$K17</f>
        <v>92</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98</v>
      </c>
      <c r="E81" s="679">
        <f>D81-$K19</f>
        <v>96</v>
      </c>
      <c r="F81" s="679">
        <f>E81-$K19</f>
        <v>94</v>
      </c>
      <c r="G81" s="679">
        <f>F81-$K19</f>
        <v>92</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98</v>
      </c>
      <c r="E83" s="679">
        <f>D83-$K21</f>
        <v>96</v>
      </c>
      <c r="F83" s="679">
        <f>E83-$K21</f>
        <v>94</v>
      </c>
      <c r="G83" s="679">
        <f>F83-$K21</f>
        <v>92</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v>100</v>
      </c>
      <c r="D89" s="671">
        <v>98</v>
      </c>
      <c r="E89" s="671">
        <v>96</v>
      </c>
      <c r="F89" s="671">
        <v>94</v>
      </c>
      <c r="G89" s="671">
        <v>92</v>
      </c>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t="s">
        <v>3126</v>
      </c>
      <c r="D92" s="688" t="s">
        <v>3127</v>
      </c>
      <c r="E92" s="688" t="s">
        <v>3128</v>
      </c>
      <c r="F92" s="688" t="s">
        <v>3129</v>
      </c>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v>100</v>
      </c>
      <c r="D93" s="671">
        <v>70</v>
      </c>
      <c r="E93" s="671">
        <v>60</v>
      </c>
      <c r="F93" s="671">
        <v>50</v>
      </c>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3184" t="s">
        <v>3130</v>
      </c>
      <c r="D100" s="3184" t="s">
        <v>3131</v>
      </c>
      <c r="E100" s="3184" t="s">
        <v>3133</v>
      </c>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v>50</v>
      </c>
      <c r="E103" s="730">
        <v>100</v>
      </c>
      <c r="F103" s="730">
        <v>150</v>
      </c>
      <c r="G103" s="730">
        <v>200</v>
      </c>
      <c r="H103" s="730">
        <v>250</v>
      </c>
      <c r="I103" s="730">
        <v>300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3186" t="s">
        <v>3134</v>
      </c>
      <c r="D105" s="3186" t="s">
        <v>3135</v>
      </c>
      <c r="E105" s="3185" t="s">
        <v>3136</v>
      </c>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3186" t="s">
        <v>3141</v>
      </c>
      <c r="D112" s="3186" t="s">
        <v>3142</v>
      </c>
      <c r="E112" s="3186" t="s">
        <v>3144</v>
      </c>
      <c r="F112" s="3186" t="s">
        <v>3145</v>
      </c>
      <c r="G112" s="3186" t="s">
        <v>3146</v>
      </c>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3186" t="s">
        <v>3148</v>
      </c>
      <c r="D114" s="3186" t="s">
        <v>3149</v>
      </c>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3186" t="s">
        <v>3150</v>
      </c>
      <c r="D116" s="3186" t="s">
        <v>3152</v>
      </c>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23" t="s">
        <v>522</v>
      </c>
      <c r="D4" s="3424"/>
      <c r="E4" s="3447" t="s">
        <v>523</v>
      </c>
      <c r="F4" s="3448"/>
      <c r="G4" s="3423" t="s">
        <v>524</v>
      </c>
      <c r="H4" s="3424"/>
      <c r="I4" s="3423" t="s">
        <v>525</v>
      </c>
      <c r="J4" s="3424"/>
      <c r="K4" s="514" t="s">
        <v>526</v>
      </c>
      <c r="L4" s="2134"/>
      <c r="M4" s="2135"/>
      <c r="N4" s="2135"/>
      <c r="O4" s="2135"/>
      <c r="P4" s="3521" t="s">
        <v>527</v>
      </c>
      <c r="Q4" s="3426"/>
      <c r="R4" s="3411" t="s">
        <v>523</v>
      </c>
      <c r="S4" s="3412"/>
      <c r="T4" s="3411" t="s">
        <v>524</v>
      </c>
      <c r="U4" s="3412"/>
      <c r="V4" s="3431" t="s">
        <v>525</v>
      </c>
      <c r="W4" s="3431"/>
      <c r="X4" s="1567"/>
      <c r="Y4" s="3411" t="s">
        <v>527</v>
      </c>
      <c r="Z4" s="3412"/>
      <c r="AA4" s="3406" t="s">
        <v>523</v>
      </c>
      <c r="AB4" s="3406" t="s">
        <v>524</v>
      </c>
      <c r="AC4" s="3406" t="s">
        <v>525</v>
      </c>
    </row>
    <row r="5" spans="1:29" ht="15">
      <c r="A5" s="515"/>
      <c r="B5" s="516"/>
      <c r="C5" s="3434" t="s">
        <v>2934</v>
      </c>
      <c r="D5" s="3435"/>
      <c r="E5" s="3449" t="s">
        <v>2935</v>
      </c>
      <c r="F5" s="3450"/>
      <c r="G5" s="3434" t="s">
        <v>2936</v>
      </c>
      <c r="H5" s="3435"/>
      <c r="I5" s="3434" t="s">
        <v>2937</v>
      </c>
      <c r="J5" s="3435"/>
      <c r="K5" s="514"/>
      <c r="L5" s="2134"/>
      <c r="M5" s="2135"/>
      <c r="N5" s="2135"/>
      <c r="O5" s="2135"/>
      <c r="P5" s="3522"/>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523"/>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8" t="s">
        <v>530</v>
      </c>
      <c r="Q7" s="3418"/>
      <c r="R7" s="1568" t="s">
        <v>8</v>
      </c>
      <c r="S7" s="1569">
        <f t="shared" ref="S7:S15" si="0">F7</f>
        <v>0</v>
      </c>
      <c r="T7" s="1568" t="s">
        <v>8</v>
      </c>
      <c r="U7" s="1569">
        <f t="shared" ref="U7:U15" si="1">H7</f>
        <v>0</v>
      </c>
      <c r="V7" s="1568" t="s">
        <v>8</v>
      </c>
      <c r="W7" s="1569">
        <f t="shared" ref="W7:W15"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8" t="s">
        <v>533</v>
      </c>
      <c r="Q8" s="3410"/>
      <c r="R8" s="1568" t="s">
        <v>8</v>
      </c>
      <c r="S8" s="1569">
        <f t="shared" si="0"/>
        <v>0</v>
      </c>
      <c r="T8" s="1568" t="s">
        <v>8</v>
      </c>
      <c r="U8" s="1569">
        <f t="shared" si="1"/>
        <v>0</v>
      </c>
      <c r="V8" s="1568" t="s">
        <v>8</v>
      </c>
      <c r="W8" s="1569">
        <f t="shared" si="2"/>
        <v>0</v>
      </c>
      <c r="X8" s="1570"/>
      <c r="Y8" s="3409" t="s">
        <v>533</v>
      </c>
      <c r="Z8" s="3410"/>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17"/>
      <c r="Q11" s="1151" t="str">
        <f t="shared" si="6"/>
        <v>容积率</v>
      </c>
      <c r="R11" s="1568" t="s">
        <v>8</v>
      </c>
      <c r="S11" s="1569" t="e">
        <f t="shared" si="0"/>
        <v>#N/A</v>
      </c>
      <c r="T11" s="1568" t="s">
        <v>8</v>
      </c>
      <c r="U11" s="1569" t="e">
        <f t="shared" si="1"/>
        <v>#N/A</v>
      </c>
      <c r="V11" s="1568" t="s">
        <v>8</v>
      </c>
      <c r="W11" s="1569" t="e">
        <f t="shared" si="2"/>
        <v>#N/A</v>
      </c>
      <c r="X11" s="1570"/>
      <c r="Y11" s="337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9" t="s">
        <v>540</v>
      </c>
      <c r="Q15" s="1572" t="str">
        <f t="shared" si="6"/>
        <v>办公集聚程度</v>
      </c>
      <c r="R15" s="1573" t="s">
        <v>8</v>
      </c>
      <c r="S15" s="1574">
        <f t="shared" si="0"/>
        <v>100</v>
      </c>
      <c r="T15" s="1573" t="s">
        <v>8</v>
      </c>
      <c r="U15" s="1574">
        <f t="shared" si="1"/>
        <v>100</v>
      </c>
      <c r="V15" s="1573" t="s">
        <v>8</v>
      </c>
      <c r="W15" s="1574">
        <f t="shared" si="2"/>
        <v>100</v>
      </c>
      <c r="X15" s="1567"/>
      <c r="Y15" s="341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0"/>
      <c r="Q16" s="1572"/>
      <c r="R16" s="1573"/>
      <c r="S16" s="1574"/>
      <c r="T16" s="1573"/>
      <c r="U16" s="1574"/>
      <c r="V16" s="1573"/>
      <c r="W16" s="1574"/>
      <c r="X16" s="1567"/>
      <c r="Y16" s="3420"/>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0"/>
      <c r="Q18" s="1572"/>
      <c r="R18" s="1573"/>
      <c r="S18" s="1574"/>
      <c r="T18" s="1573"/>
      <c r="U18" s="1574"/>
      <c r="V18" s="1573"/>
      <c r="W18" s="1574"/>
      <c r="X18" s="1567"/>
      <c r="Y18" s="3420"/>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0"/>
      <c r="Q20" s="1572"/>
      <c r="R20" s="1573"/>
      <c r="S20" s="1574"/>
      <c r="T20" s="1573"/>
      <c r="U20" s="1574"/>
      <c r="V20" s="1573"/>
      <c r="W20" s="1574"/>
      <c r="X20" s="1567"/>
      <c r="Y20" s="3420"/>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20"/>
      <c r="Q22" s="2580"/>
      <c r="R22" s="1573"/>
      <c r="S22" s="1574"/>
      <c r="T22" s="1573"/>
      <c r="U22" s="1574"/>
      <c r="V22" s="1573"/>
      <c r="W22" s="1574"/>
      <c r="X22" s="2582"/>
      <c r="Y22" s="3420"/>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0"/>
      <c r="Q24" s="1572"/>
      <c r="R24" s="1573"/>
      <c r="S24" s="1574"/>
      <c r="T24" s="1573"/>
      <c r="U24" s="1574"/>
      <c r="V24" s="1573"/>
      <c r="W24" s="1574"/>
      <c r="X24" s="1567"/>
      <c r="Y24" s="342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0"/>
      <c r="Q25" s="1572" t="str">
        <f>B25</f>
        <v>毗邻道路的类型与等级</v>
      </c>
      <c r="R25" s="1573" t="s">
        <v>8</v>
      </c>
      <c r="S25" s="1574">
        <f>F25</f>
        <v>100</v>
      </c>
      <c r="T25" s="1573" t="s">
        <v>8</v>
      </c>
      <c r="U25" s="1574">
        <f>H25</f>
        <v>100</v>
      </c>
      <c r="V25" s="1573" t="s">
        <v>8</v>
      </c>
      <c r="W25" s="1574">
        <f>J25</f>
        <v>100</v>
      </c>
      <c r="X25" s="1567"/>
      <c r="Y25" s="342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0"/>
      <c r="Q26" s="1572"/>
      <c r="R26" s="1573"/>
      <c r="S26" s="1574"/>
      <c r="T26" s="1573"/>
      <c r="U26" s="1574"/>
      <c r="V26" s="1573"/>
      <c r="W26" s="1574"/>
      <c r="X26" s="1567"/>
      <c r="Y26" s="342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0"/>
      <c r="Q27" s="1572" t="str">
        <f t="shared" ref="Q27:Q47" si="11">B27</f>
        <v>楼层</v>
      </c>
      <c r="R27" s="1573" t="s">
        <v>8</v>
      </c>
      <c r="S27" s="1574">
        <f>F27</f>
        <v>100</v>
      </c>
      <c r="T27" s="1573" t="s">
        <v>8</v>
      </c>
      <c r="U27" s="1574">
        <f>H27</f>
        <v>100</v>
      </c>
      <c r="V27" s="1573" t="s">
        <v>8</v>
      </c>
      <c r="W27" s="1574">
        <f>J27</f>
        <v>100</v>
      </c>
      <c r="X27" s="1567"/>
      <c r="Y27" s="342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0"/>
      <c r="Q28" s="1151" t="str">
        <f t="shared" si="11"/>
        <v>朝向</v>
      </c>
      <c r="R28" s="1568" t="s">
        <v>8</v>
      </c>
      <c r="S28" s="1569">
        <f>F28</f>
        <v>100</v>
      </c>
      <c r="T28" s="1568" t="s">
        <v>8</v>
      </c>
      <c r="U28" s="1569">
        <f>H28</f>
        <v>100</v>
      </c>
      <c r="V28" s="1568" t="s">
        <v>8</v>
      </c>
      <c r="W28" s="1569">
        <f>J28</f>
        <v>100</v>
      </c>
      <c r="X28" s="1570"/>
      <c r="Y28" s="342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0"/>
      <c r="Q29" s="1572">
        <f t="shared" si="11"/>
        <v>111</v>
      </c>
      <c r="R29" s="1573" t="s">
        <v>8</v>
      </c>
      <c r="S29" s="1574">
        <f t="shared" ref="S29:S47" si="12">F29</f>
        <v>100</v>
      </c>
      <c r="T29" s="1573" t="s">
        <v>8</v>
      </c>
      <c r="U29" s="1574">
        <f t="shared" ref="U29:U47" si="13">H29</f>
        <v>100</v>
      </c>
      <c r="V29" s="1573" t="s">
        <v>8</v>
      </c>
      <c r="W29" s="1574">
        <f t="shared" ref="W29:W47" si="14">J29</f>
        <v>100</v>
      </c>
      <c r="X29" s="1567"/>
      <c r="Y29" s="342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0"/>
      <c r="Q30" s="1572">
        <f t="shared" si="11"/>
        <v>111</v>
      </c>
      <c r="R30" s="1573" t="s">
        <v>8</v>
      </c>
      <c r="S30" s="1574">
        <f t="shared" si="12"/>
        <v>100</v>
      </c>
      <c r="T30" s="1573" t="s">
        <v>8</v>
      </c>
      <c r="U30" s="1574">
        <f t="shared" si="13"/>
        <v>100</v>
      </c>
      <c r="V30" s="1573" t="s">
        <v>8</v>
      </c>
      <c r="W30" s="1574">
        <f t="shared" si="14"/>
        <v>100</v>
      </c>
      <c r="X30" s="1567"/>
      <c r="Y30" s="342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0"/>
      <c r="Q31" s="1572">
        <f t="shared" si="11"/>
        <v>111</v>
      </c>
      <c r="R31" s="1573" t="s">
        <v>8</v>
      </c>
      <c r="S31" s="1574">
        <f t="shared" si="12"/>
        <v>100</v>
      </c>
      <c r="T31" s="1573" t="s">
        <v>8</v>
      </c>
      <c r="U31" s="1574">
        <f t="shared" si="13"/>
        <v>100</v>
      </c>
      <c r="V31" s="1573" t="s">
        <v>8</v>
      </c>
      <c r="W31" s="1574">
        <f t="shared" si="14"/>
        <v>100</v>
      </c>
      <c r="X31" s="1567"/>
      <c r="Y31" s="342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0"/>
      <c r="Q32" s="1572">
        <f t="shared" si="11"/>
        <v>111</v>
      </c>
      <c r="R32" s="1573" t="s">
        <v>8</v>
      </c>
      <c r="S32" s="1574">
        <f t="shared" si="12"/>
        <v>100</v>
      </c>
      <c r="T32" s="1573" t="s">
        <v>8</v>
      </c>
      <c r="U32" s="1574">
        <f t="shared" si="13"/>
        <v>100</v>
      </c>
      <c r="V32" s="1573" t="s">
        <v>8</v>
      </c>
      <c r="W32" s="1574">
        <f t="shared" si="14"/>
        <v>100</v>
      </c>
      <c r="X32" s="1567"/>
      <c r="Y32" s="3420"/>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1" t="s">
        <v>550</v>
      </c>
      <c r="Q33" s="1572" t="str">
        <f t="shared" si="11"/>
        <v>建筑类型</v>
      </c>
      <c r="R33" s="1573" t="s">
        <v>8</v>
      </c>
      <c r="S33" s="1574">
        <f t="shared" si="12"/>
        <v>100</v>
      </c>
      <c r="T33" s="1573" t="s">
        <v>8</v>
      </c>
      <c r="U33" s="1574">
        <f t="shared" si="13"/>
        <v>100</v>
      </c>
      <c r="V33" s="1573" t="s">
        <v>8</v>
      </c>
      <c r="W33" s="1574">
        <f t="shared" si="14"/>
        <v>100</v>
      </c>
      <c r="X33" s="1567"/>
      <c r="Y33" s="342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22"/>
      <c r="Q34" s="1605" t="str">
        <f t="shared" si="11"/>
        <v>项目建筑规模</v>
      </c>
      <c r="R34" s="1577" t="s">
        <v>8</v>
      </c>
      <c r="S34" s="1578" t="e">
        <f t="shared" si="12"/>
        <v>#N/A</v>
      </c>
      <c r="T34" s="1577" t="s">
        <v>8</v>
      </c>
      <c r="U34" s="1578" t="e">
        <f t="shared" si="13"/>
        <v>#N/A</v>
      </c>
      <c r="V34" s="1577" t="s">
        <v>8</v>
      </c>
      <c r="W34" s="1578" t="e">
        <f t="shared" si="14"/>
        <v>#N/A</v>
      </c>
      <c r="X34" s="1579"/>
      <c r="Y34" s="342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22"/>
      <c r="Q35" s="1572" t="str">
        <f t="shared" si="11"/>
        <v>建筑结构</v>
      </c>
      <c r="R35" s="1573" t="s">
        <v>8</v>
      </c>
      <c r="S35" s="1574">
        <f t="shared" si="12"/>
        <v>100</v>
      </c>
      <c r="T35" s="1573" t="s">
        <v>8</v>
      </c>
      <c r="U35" s="1574">
        <f t="shared" si="13"/>
        <v>100</v>
      </c>
      <c r="V35" s="1573" t="s">
        <v>8</v>
      </c>
      <c r="W35" s="1574">
        <f t="shared" si="14"/>
        <v>100</v>
      </c>
      <c r="X35" s="1567"/>
      <c r="Y35" s="342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22"/>
      <c r="Q36" s="1572" t="str">
        <f t="shared" si="11"/>
        <v>公共部分装修</v>
      </c>
      <c r="R36" s="1573" t="s">
        <v>8</v>
      </c>
      <c r="S36" s="1574">
        <f t="shared" si="12"/>
        <v>100</v>
      </c>
      <c r="T36" s="1573" t="s">
        <v>8</v>
      </c>
      <c r="U36" s="1574">
        <f t="shared" si="13"/>
        <v>100</v>
      </c>
      <c r="V36" s="1573" t="s">
        <v>8</v>
      </c>
      <c r="W36" s="1574">
        <f t="shared" si="14"/>
        <v>100</v>
      </c>
      <c r="X36" s="1567"/>
      <c r="Y36" s="342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22"/>
      <c r="Q37" s="1572" t="str">
        <f t="shared" si="11"/>
        <v>成新度</v>
      </c>
      <c r="R37" s="1573" t="s">
        <v>8</v>
      </c>
      <c r="S37" s="1574" t="e">
        <f t="shared" si="12"/>
        <v>#N/A</v>
      </c>
      <c r="T37" s="1573" t="s">
        <v>8</v>
      </c>
      <c r="U37" s="1574" t="e">
        <f t="shared" si="13"/>
        <v>#N/A</v>
      </c>
      <c r="V37" s="1573" t="s">
        <v>8</v>
      </c>
      <c r="W37" s="1574" t="e">
        <f t="shared" si="14"/>
        <v>#N/A</v>
      </c>
      <c r="X37" s="1567"/>
      <c r="Y37" s="342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22"/>
      <c r="Q38" s="1151" t="str">
        <f t="shared" si="11"/>
        <v>写字楼等级</v>
      </c>
      <c r="R38" s="1568" t="s">
        <v>8</v>
      </c>
      <c r="S38" s="1569">
        <f t="shared" si="12"/>
        <v>100</v>
      </c>
      <c r="T38" s="1568" t="s">
        <v>8</v>
      </c>
      <c r="U38" s="1569">
        <f t="shared" si="13"/>
        <v>100</v>
      </c>
      <c r="V38" s="1568" t="s">
        <v>8</v>
      </c>
      <c r="W38" s="1569">
        <f t="shared" si="14"/>
        <v>100</v>
      </c>
      <c r="X38" s="1570"/>
      <c r="Y38" s="342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22" t="s">
        <v>550</v>
      </c>
      <c r="Q39" s="1572" t="str">
        <f t="shared" si="11"/>
        <v>物业管理</v>
      </c>
      <c r="R39" s="1573" t="s">
        <v>8</v>
      </c>
      <c r="S39" s="1574">
        <f t="shared" si="12"/>
        <v>100</v>
      </c>
      <c r="T39" s="1573" t="s">
        <v>8</v>
      </c>
      <c r="U39" s="1574">
        <f t="shared" si="13"/>
        <v>100</v>
      </c>
      <c r="V39" s="1573" t="s">
        <v>8</v>
      </c>
      <c r="W39" s="1574">
        <f t="shared" si="14"/>
        <v>100</v>
      </c>
      <c r="X39" s="1567"/>
      <c r="Y39" s="3422"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22"/>
      <c r="Q40" s="1572" t="str">
        <f t="shared" si="11"/>
        <v>市政基础设施</v>
      </c>
      <c r="R40" s="1573" t="s">
        <v>8</v>
      </c>
      <c r="S40" s="1574">
        <f t="shared" si="12"/>
        <v>100</v>
      </c>
      <c r="T40" s="1573" t="s">
        <v>8</v>
      </c>
      <c r="U40" s="1574">
        <f t="shared" si="13"/>
        <v>100</v>
      </c>
      <c r="V40" s="1573" t="s">
        <v>8</v>
      </c>
      <c r="W40" s="1574">
        <f t="shared" si="14"/>
        <v>100</v>
      </c>
      <c r="X40" s="1567"/>
      <c r="Y40" s="342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22"/>
      <c r="Q41" s="1572" t="str">
        <f t="shared" si="11"/>
        <v>层高</v>
      </c>
      <c r="R41" s="1573" t="s">
        <v>8</v>
      </c>
      <c r="S41" s="1574">
        <f t="shared" si="12"/>
        <v>100</v>
      </c>
      <c r="T41" s="1573" t="s">
        <v>8</v>
      </c>
      <c r="U41" s="1574">
        <f t="shared" si="13"/>
        <v>100</v>
      </c>
      <c r="V41" s="1573" t="s">
        <v>8</v>
      </c>
      <c r="W41" s="1574">
        <f t="shared" si="14"/>
        <v>100</v>
      </c>
      <c r="X41" s="1567"/>
      <c r="Y41" s="342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22"/>
      <c r="Q42" s="1605" t="str">
        <f t="shared" si="11"/>
        <v>单套建筑面积</v>
      </c>
      <c r="R42" s="1577" t="s">
        <v>8</v>
      </c>
      <c r="S42" s="1578">
        <f t="shared" si="12"/>
        <v>100</v>
      </c>
      <c r="T42" s="1577" t="s">
        <v>8</v>
      </c>
      <c r="U42" s="1578">
        <f t="shared" si="13"/>
        <v>100</v>
      </c>
      <c r="V42" s="1577" t="s">
        <v>8</v>
      </c>
      <c r="W42" s="1578">
        <f t="shared" si="14"/>
        <v>100</v>
      </c>
      <c r="X42" s="1579"/>
      <c r="Y42" s="342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22"/>
      <c r="Q43" s="1572" t="str">
        <f t="shared" si="11"/>
        <v>内部装修</v>
      </c>
      <c r="R43" s="1573" t="s">
        <v>8</v>
      </c>
      <c r="S43" s="1574">
        <f t="shared" si="12"/>
        <v>100</v>
      </c>
      <c r="T43" s="1573" t="s">
        <v>8</v>
      </c>
      <c r="U43" s="1574">
        <f t="shared" si="13"/>
        <v>100</v>
      </c>
      <c r="V43" s="1573" t="s">
        <v>8</v>
      </c>
      <c r="W43" s="1574">
        <f t="shared" si="14"/>
        <v>100</v>
      </c>
      <c r="X43" s="1567"/>
      <c r="Y43" s="342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22"/>
      <c r="Q44" s="1572" t="str">
        <f t="shared" si="11"/>
        <v>内部装修维护情况</v>
      </c>
      <c r="R44" s="1573" t="s">
        <v>8</v>
      </c>
      <c r="S44" s="1574">
        <f t="shared" si="12"/>
        <v>100</v>
      </c>
      <c r="T44" s="1573" t="s">
        <v>8</v>
      </c>
      <c r="U44" s="1574">
        <f t="shared" si="13"/>
        <v>100</v>
      </c>
      <c r="V44" s="1573" t="s">
        <v>8</v>
      </c>
      <c r="W44" s="1574">
        <f t="shared" si="14"/>
        <v>100</v>
      </c>
      <c r="X44" s="1567"/>
      <c r="Y44" s="342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22"/>
      <c r="Q45" s="1151">
        <f t="shared" si="11"/>
        <v>111</v>
      </c>
      <c r="R45" s="1568" t="s">
        <v>8</v>
      </c>
      <c r="S45" s="1569">
        <f t="shared" si="12"/>
        <v>100</v>
      </c>
      <c r="T45" s="1568" t="s">
        <v>8</v>
      </c>
      <c r="U45" s="1569">
        <f t="shared" si="13"/>
        <v>100</v>
      </c>
      <c r="V45" s="1568" t="s">
        <v>8</v>
      </c>
      <c r="W45" s="1569">
        <f t="shared" si="14"/>
        <v>100</v>
      </c>
      <c r="X45" s="1570"/>
      <c r="Y45" s="342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22"/>
      <c r="Q46" s="1572">
        <f t="shared" si="11"/>
        <v>111</v>
      </c>
      <c r="R46" s="1573" t="s">
        <v>8</v>
      </c>
      <c r="S46" s="1574">
        <f t="shared" si="12"/>
        <v>100</v>
      </c>
      <c r="T46" s="1573" t="s">
        <v>8</v>
      </c>
      <c r="U46" s="1574">
        <f t="shared" si="13"/>
        <v>100</v>
      </c>
      <c r="V46" s="1573" t="s">
        <v>8</v>
      </c>
      <c r="W46" s="1574">
        <f t="shared" si="14"/>
        <v>100</v>
      </c>
      <c r="X46" s="1567"/>
      <c r="Y46" s="342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18"/>
      <c r="Q47" s="1572">
        <f t="shared" si="11"/>
        <v>111</v>
      </c>
      <c r="R47" s="1573" t="s">
        <v>8</v>
      </c>
      <c r="S47" s="1574">
        <f t="shared" si="12"/>
        <v>100</v>
      </c>
      <c r="T47" s="1573" t="s">
        <v>8</v>
      </c>
      <c r="U47" s="1574">
        <f t="shared" si="13"/>
        <v>100</v>
      </c>
      <c r="V47" s="1573" t="s">
        <v>8</v>
      </c>
      <c r="W47" s="1574">
        <f t="shared" si="14"/>
        <v>100</v>
      </c>
      <c r="X47" s="1567"/>
      <c r="Y47" s="3518"/>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39" t="str">
        <f>A48</f>
        <v>成交单价（元/平方米）</v>
      </c>
      <c r="Q48" s="3417"/>
      <c r="R48" s="3517">
        <f>E48</f>
        <v>0</v>
      </c>
      <c r="S48" s="3517"/>
      <c r="T48" s="3517">
        <f>G48</f>
        <v>0</v>
      </c>
      <c r="U48" s="3517"/>
      <c r="V48" s="3517">
        <f>I48</f>
        <v>0</v>
      </c>
      <c r="W48" s="3517"/>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39" t="str">
        <f>A49</f>
        <v>比较价格（元/平方米）</v>
      </c>
      <c r="Q49" s="3417"/>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1559"/>
      <c r="Y49" s="1559"/>
      <c r="Z49" s="1559"/>
      <c r="AA49" s="1559"/>
      <c r="AB49" s="1559"/>
      <c r="AC49" s="1559"/>
    </row>
    <row r="50" spans="1:29" ht="15.75" thickBot="1">
      <c r="A50" s="621" t="s">
        <v>2940</v>
      </c>
      <c r="B50" s="622"/>
      <c r="C50" s="2637" t="e">
        <f>R50</f>
        <v>#DIV/0!</v>
      </c>
      <c r="D50" s="2637"/>
      <c r="E50" s="2637"/>
      <c r="F50" s="2637"/>
      <c r="G50" s="2637"/>
      <c r="H50" s="2637"/>
      <c r="I50" s="2637"/>
      <c r="J50" s="2637"/>
      <c r="K50" s="1613"/>
      <c r="L50" s="2145"/>
      <c r="M50" s="2135"/>
      <c r="N50" s="2135"/>
      <c r="O50" s="2135"/>
      <c r="P50" s="3524" t="str">
        <f>A50</f>
        <v>估价对象XX用房的比较价格（楼面单价，元/平方米）</v>
      </c>
      <c r="Q50" s="3439"/>
      <c r="R50" s="3516" t="e">
        <f>IF(F1="售价",ROUND(AVERAGE(R49:V49),0),ROUND(AVERAGE(R49:V49),1))</f>
        <v>#DIV/0!</v>
      </c>
      <c r="S50" s="3516"/>
      <c r="T50" s="3516"/>
      <c r="U50" s="3516"/>
      <c r="V50" s="3516"/>
      <c r="W50" s="3516"/>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23" t="s">
        <v>522</v>
      </c>
      <c r="D4" s="3424"/>
      <c r="E4" s="3447" t="s">
        <v>523</v>
      </c>
      <c r="F4" s="3448"/>
      <c r="G4" s="3423" t="s">
        <v>524</v>
      </c>
      <c r="H4" s="3424"/>
      <c r="I4" s="3423" t="s">
        <v>525</v>
      </c>
      <c r="J4" s="3424"/>
      <c r="K4" s="514" t="s">
        <v>526</v>
      </c>
      <c r="L4" s="2134"/>
      <c r="M4" s="2135"/>
      <c r="N4" s="2135"/>
      <c r="O4" s="2135"/>
      <c r="P4" s="3425" t="s">
        <v>527</v>
      </c>
      <c r="Q4" s="3426"/>
      <c r="R4" s="3411" t="s">
        <v>523</v>
      </c>
      <c r="S4" s="3412"/>
      <c r="T4" s="3411" t="s">
        <v>524</v>
      </c>
      <c r="U4" s="3412"/>
      <c r="V4" s="3431" t="s">
        <v>525</v>
      </c>
      <c r="W4" s="3431"/>
      <c r="X4" s="1567"/>
      <c r="Y4" s="3411" t="s">
        <v>527</v>
      </c>
      <c r="Z4" s="3412"/>
      <c r="AA4" s="3406" t="s">
        <v>523</v>
      </c>
      <c r="AB4" s="3407" t="s">
        <v>524</v>
      </c>
      <c r="AC4" s="3406" t="s">
        <v>525</v>
      </c>
    </row>
    <row r="5" spans="1:29" ht="15">
      <c r="A5" s="515"/>
      <c r="B5" s="516"/>
      <c r="C5" s="3434" t="s">
        <v>2934</v>
      </c>
      <c r="D5" s="3435"/>
      <c r="E5" s="3449" t="s">
        <v>2935</v>
      </c>
      <c r="F5" s="3450"/>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9" t="s">
        <v>530</v>
      </c>
      <c r="Q7" s="3418"/>
      <c r="R7" s="1568" t="s">
        <v>8</v>
      </c>
      <c r="S7" s="1569">
        <f t="shared" ref="S7:S15" si="0">F7</f>
        <v>0</v>
      </c>
      <c r="T7" s="1568" t="s">
        <v>8</v>
      </c>
      <c r="U7" s="1569">
        <f t="shared" ref="U7:U15" si="1">H7</f>
        <v>0</v>
      </c>
      <c r="V7" s="1568" t="s">
        <v>8</v>
      </c>
      <c r="W7" s="1569">
        <f t="shared" ref="W7:W15"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17" t="s">
        <v>535</v>
      </c>
      <c r="Q9" s="1151" t="str">
        <f t="shared" ref="Q9:Q15" si="6">B9</f>
        <v>用途</v>
      </c>
      <c r="R9" s="1568" t="s">
        <v>8</v>
      </c>
      <c r="S9" s="1569">
        <f t="shared" si="0"/>
        <v>100</v>
      </c>
      <c r="T9" s="1568" t="s">
        <v>8</v>
      </c>
      <c r="U9" s="1569">
        <f t="shared" si="1"/>
        <v>100</v>
      </c>
      <c r="V9" s="1568" t="s">
        <v>8</v>
      </c>
      <c r="W9" s="1569">
        <f t="shared" si="2"/>
        <v>100</v>
      </c>
      <c r="X9" s="1570"/>
      <c r="Y9" s="3374"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17"/>
      <c r="Q11" s="1151" t="str">
        <f t="shared" si="6"/>
        <v>容积率</v>
      </c>
      <c r="R11" s="1568" t="s">
        <v>8</v>
      </c>
      <c r="S11" s="1569" t="e">
        <f t="shared" si="0"/>
        <v>#N/A</v>
      </c>
      <c r="T11" s="1568" t="s">
        <v>8</v>
      </c>
      <c r="U11" s="1569" t="e">
        <f t="shared" si="1"/>
        <v>#N/A</v>
      </c>
      <c r="V11" s="1568" t="s">
        <v>8</v>
      </c>
      <c r="W11" s="1569" t="e">
        <f t="shared" si="2"/>
        <v>#N/A</v>
      </c>
      <c r="X11" s="1570"/>
      <c r="Y11" s="3374"/>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17"/>
      <c r="Q14" s="1151">
        <f t="shared" si="6"/>
        <v>111</v>
      </c>
      <c r="R14" s="1568" t="s">
        <v>8</v>
      </c>
      <c r="S14" s="1569">
        <f t="shared" si="0"/>
        <v>100</v>
      </c>
      <c r="T14" s="1568" t="s">
        <v>8</v>
      </c>
      <c r="U14" s="1569">
        <f t="shared" si="1"/>
        <v>100</v>
      </c>
      <c r="V14" s="1568" t="s">
        <v>8</v>
      </c>
      <c r="W14" s="1569">
        <f t="shared" si="2"/>
        <v>100</v>
      </c>
      <c r="X14" s="1570"/>
      <c r="Y14" s="3374"/>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9" t="s">
        <v>540</v>
      </c>
      <c r="Q15" s="1572" t="str">
        <f t="shared" si="6"/>
        <v>产业集聚程度</v>
      </c>
      <c r="R15" s="1573" t="s">
        <v>8</v>
      </c>
      <c r="S15" s="1574">
        <f t="shared" si="0"/>
        <v>100</v>
      </c>
      <c r="T15" s="1573" t="s">
        <v>8</v>
      </c>
      <c r="U15" s="1574">
        <f t="shared" si="1"/>
        <v>100</v>
      </c>
      <c r="V15" s="1573" t="s">
        <v>8</v>
      </c>
      <c r="W15" s="1574">
        <f t="shared" si="2"/>
        <v>100</v>
      </c>
      <c r="X15" s="1567"/>
      <c r="Y15" s="341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0"/>
      <c r="Q16" s="1572"/>
      <c r="R16" s="1573"/>
      <c r="S16" s="1574"/>
      <c r="T16" s="1573"/>
      <c r="U16" s="1574"/>
      <c r="V16" s="1573"/>
      <c r="W16" s="1574"/>
      <c r="X16" s="1567"/>
      <c r="Y16" s="342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0"/>
      <c r="Q17" s="1572" t="str">
        <f>B17</f>
        <v>交通便捷度</v>
      </c>
      <c r="R17" s="1573" t="s">
        <v>8</v>
      </c>
      <c r="S17" s="1574">
        <f>F17</f>
        <v>100</v>
      </c>
      <c r="T17" s="1573" t="s">
        <v>8</v>
      </c>
      <c r="U17" s="1574">
        <f>H17</f>
        <v>100</v>
      </c>
      <c r="V17" s="1573" t="s">
        <v>8</v>
      </c>
      <c r="W17" s="1574">
        <f>J17</f>
        <v>100</v>
      </c>
      <c r="X17" s="1567"/>
      <c r="Y17" s="342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0"/>
      <c r="Q18" s="1572"/>
      <c r="R18" s="1573"/>
      <c r="S18" s="1574"/>
      <c r="T18" s="1573"/>
      <c r="U18" s="1574"/>
      <c r="V18" s="1573"/>
      <c r="W18" s="1574"/>
      <c r="X18" s="1567"/>
      <c r="Y18" s="3420"/>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0"/>
      <c r="Q19" s="1572" t="str">
        <f>B19</f>
        <v>公共配套设施</v>
      </c>
      <c r="R19" s="1573" t="s">
        <v>8</v>
      </c>
      <c r="S19" s="1574">
        <f>F19</f>
        <v>100</v>
      </c>
      <c r="T19" s="1573" t="s">
        <v>8</v>
      </c>
      <c r="U19" s="1574">
        <f>H19</f>
        <v>100</v>
      </c>
      <c r="V19" s="1573" t="s">
        <v>8</v>
      </c>
      <c r="W19" s="1574">
        <f>J19</f>
        <v>100</v>
      </c>
      <c r="X19" s="1567"/>
      <c r="Y19" s="342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0"/>
      <c r="Q20" s="1572"/>
      <c r="R20" s="1573"/>
      <c r="S20" s="1574"/>
      <c r="T20" s="1573"/>
      <c r="U20" s="1574"/>
      <c r="V20" s="1573"/>
      <c r="W20" s="1574"/>
      <c r="X20" s="1567"/>
      <c r="Y20" s="3420"/>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0"/>
      <c r="Q21" s="2580" t="str">
        <f>B21</f>
        <v>基础设施水平</v>
      </c>
      <c r="R21" s="1573" t="s">
        <v>8</v>
      </c>
      <c r="S21" s="1574">
        <f>F21</f>
        <v>100</v>
      </c>
      <c r="T21" s="1573" t="s">
        <v>8</v>
      </c>
      <c r="U21" s="1574">
        <f>H21</f>
        <v>100</v>
      </c>
      <c r="V21" s="1573" t="s">
        <v>8</v>
      </c>
      <c r="W21" s="1574">
        <f>J21</f>
        <v>100</v>
      </c>
      <c r="X21" s="2582"/>
      <c r="Y21" s="3420"/>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0"/>
      <c r="Q22" s="2580"/>
      <c r="R22" s="1573"/>
      <c r="S22" s="1574"/>
      <c r="T22" s="1573"/>
      <c r="U22" s="1574"/>
      <c r="V22" s="1573"/>
      <c r="W22" s="1574"/>
      <c r="X22" s="2582"/>
      <c r="Y22" s="3420"/>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0"/>
      <c r="Q23" s="1572" t="str">
        <f>B23</f>
        <v>环境质量</v>
      </c>
      <c r="R23" s="1573" t="s">
        <v>8</v>
      </c>
      <c r="S23" s="1574">
        <f>F23</f>
        <v>100</v>
      </c>
      <c r="T23" s="1573" t="s">
        <v>8</v>
      </c>
      <c r="U23" s="1574">
        <f>H23</f>
        <v>100</v>
      </c>
      <c r="V23" s="1573" t="s">
        <v>8</v>
      </c>
      <c r="W23" s="1574">
        <f>J23</f>
        <v>100</v>
      </c>
      <c r="X23" s="1567"/>
      <c r="Y23" s="342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0"/>
      <c r="Q24" s="1572"/>
      <c r="R24" s="1573"/>
      <c r="S24" s="1574"/>
      <c r="T24" s="1573"/>
      <c r="U24" s="1574"/>
      <c r="V24" s="1573"/>
      <c r="W24" s="1574"/>
      <c r="X24" s="1567"/>
      <c r="Y24" s="342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0"/>
      <c r="Q25" s="1572">
        <f>B25</f>
        <v>111</v>
      </c>
      <c r="R25" s="1573" t="s">
        <v>8</v>
      </c>
      <c r="S25" s="1574">
        <f>F25</f>
        <v>100</v>
      </c>
      <c r="T25" s="1573" t="s">
        <v>8</v>
      </c>
      <c r="U25" s="1574">
        <f>H25</f>
        <v>100</v>
      </c>
      <c r="V25" s="1573" t="s">
        <v>8</v>
      </c>
      <c r="W25" s="1574">
        <f>J25</f>
        <v>100</v>
      </c>
      <c r="X25" s="1567"/>
      <c r="Y25" s="342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0"/>
      <c r="Q26" s="1572">
        <f t="shared" ref="Q26:Q40" si="11">B26</f>
        <v>111</v>
      </c>
      <c r="R26" s="1573" t="s">
        <v>8</v>
      </c>
      <c r="S26" s="1574">
        <f>F26</f>
        <v>100</v>
      </c>
      <c r="T26" s="1573" t="s">
        <v>8</v>
      </c>
      <c r="U26" s="1574">
        <f>H26</f>
        <v>100</v>
      </c>
      <c r="V26" s="1573" t="s">
        <v>8</v>
      </c>
      <c r="W26" s="1574">
        <f>J26</f>
        <v>100</v>
      </c>
      <c r="X26" s="1567"/>
      <c r="Y26" s="342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0"/>
      <c r="Q27" s="1151">
        <f t="shared" si="11"/>
        <v>111</v>
      </c>
      <c r="R27" s="1568" t="s">
        <v>8</v>
      </c>
      <c r="S27" s="1569">
        <f>F27</f>
        <v>100</v>
      </c>
      <c r="T27" s="1568" t="s">
        <v>8</v>
      </c>
      <c r="U27" s="1569">
        <f>H27</f>
        <v>100</v>
      </c>
      <c r="V27" s="1568" t="s">
        <v>8</v>
      </c>
      <c r="W27" s="1569">
        <f>J27</f>
        <v>100</v>
      </c>
      <c r="X27" s="1570"/>
      <c r="Y27" s="342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0"/>
      <c r="Q28" s="1572">
        <f t="shared" si="11"/>
        <v>111</v>
      </c>
      <c r="R28" s="1573" t="s">
        <v>8</v>
      </c>
      <c r="S28" s="1574">
        <f t="shared" ref="S28:S40" si="12">F28</f>
        <v>100</v>
      </c>
      <c r="T28" s="1573" t="s">
        <v>8</v>
      </c>
      <c r="U28" s="1574">
        <f t="shared" ref="U28:U40" si="13">H28</f>
        <v>100</v>
      </c>
      <c r="V28" s="1573" t="s">
        <v>8</v>
      </c>
      <c r="W28" s="1574">
        <f t="shared" ref="W28:W40" si="14">J28</f>
        <v>100</v>
      </c>
      <c r="X28" s="1567"/>
      <c r="Y28" s="3420"/>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1" t="s">
        <v>550</v>
      </c>
      <c r="Q29" s="1572" t="str">
        <f t="shared" si="11"/>
        <v>建筑类型</v>
      </c>
      <c r="R29" s="1573" t="s">
        <v>8</v>
      </c>
      <c r="S29" s="1574">
        <f t="shared" si="12"/>
        <v>100</v>
      </c>
      <c r="T29" s="1573" t="s">
        <v>8</v>
      </c>
      <c r="U29" s="1574">
        <f t="shared" si="13"/>
        <v>100</v>
      </c>
      <c r="V29" s="1573" t="s">
        <v>8</v>
      </c>
      <c r="W29" s="1574">
        <f t="shared" si="14"/>
        <v>100</v>
      </c>
      <c r="X29" s="1567"/>
      <c r="Y29" s="342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22"/>
      <c r="Q30" s="1605" t="str">
        <f t="shared" si="11"/>
        <v>项目建筑规模</v>
      </c>
      <c r="R30" s="1577" t="s">
        <v>8</v>
      </c>
      <c r="S30" s="1578" t="e">
        <f t="shared" si="12"/>
        <v>#N/A</v>
      </c>
      <c r="T30" s="1577" t="s">
        <v>8</v>
      </c>
      <c r="U30" s="1578" t="e">
        <f t="shared" si="13"/>
        <v>#N/A</v>
      </c>
      <c r="V30" s="1577" t="s">
        <v>8</v>
      </c>
      <c r="W30" s="1578" t="e">
        <f t="shared" si="14"/>
        <v>#N/A</v>
      </c>
      <c r="X30" s="1579"/>
      <c r="Y30" s="342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22"/>
      <c r="Q31" s="1572" t="str">
        <f t="shared" si="11"/>
        <v>建筑结构</v>
      </c>
      <c r="R31" s="1573" t="s">
        <v>8</v>
      </c>
      <c r="S31" s="1574">
        <f t="shared" si="12"/>
        <v>100</v>
      </c>
      <c r="T31" s="1573" t="s">
        <v>8</v>
      </c>
      <c r="U31" s="1574">
        <f t="shared" si="13"/>
        <v>100</v>
      </c>
      <c r="V31" s="1573" t="s">
        <v>8</v>
      </c>
      <c r="W31" s="1574">
        <f t="shared" si="14"/>
        <v>100</v>
      </c>
      <c r="X31" s="1567"/>
      <c r="Y31" s="342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22"/>
      <c r="Q32" s="1572" t="str">
        <f t="shared" si="11"/>
        <v>公共部分装修</v>
      </c>
      <c r="R32" s="1573" t="s">
        <v>8</v>
      </c>
      <c r="S32" s="1574">
        <f t="shared" si="12"/>
        <v>100</v>
      </c>
      <c r="T32" s="1573" t="s">
        <v>8</v>
      </c>
      <c r="U32" s="1574">
        <f t="shared" si="13"/>
        <v>100</v>
      </c>
      <c r="V32" s="1573" t="s">
        <v>8</v>
      </c>
      <c r="W32" s="1574">
        <f t="shared" si="14"/>
        <v>100</v>
      </c>
      <c r="X32" s="1567"/>
      <c r="Y32" s="342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22"/>
      <c r="Q33" s="1572" t="str">
        <f t="shared" si="11"/>
        <v>成新度</v>
      </c>
      <c r="R33" s="1573" t="s">
        <v>8</v>
      </c>
      <c r="S33" s="1574" t="e">
        <f t="shared" si="12"/>
        <v>#N/A</v>
      </c>
      <c r="T33" s="1573" t="s">
        <v>8</v>
      </c>
      <c r="U33" s="1574" t="e">
        <f t="shared" si="13"/>
        <v>#N/A</v>
      </c>
      <c r="V33" s="1573" t="s">
        <v>8</v>
      </c>
      <c r="W33" s="1574" t="e">
        <f t="shared" si="14"/>
        <v>#N/A</v>
      </c>
      <c r="X33" s="1567"/>
      <c r="Y33" s="342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22"/>
      <c r="Q34" s="1151" t="str">
        <f t="shared" si="11"/>
        <v>物业管理</v>
      </c>
      <c r="R34" s="1568" t="s">
        <v>8</v>
      </c>
      <c r="S34" s="1569">
        <f t="shared" si="12"/>
        <v>100</v>
      </c>
      <c r="T34" s="1568" t="s">
        <v>8</v>
      </c>
      <c r="U34" s="1569">
        <f t="shared" si="13"/>
        <v>100</v>
      </c>
      <c r="V34" s="1568" t="s">
        <v>8</v>
      </c>
      <c r="W34" s="1569">
        <f t="shared" si="14"/>
        <v>100</v>
      </c>
      <c r="X34" s="1570"/>
      <c r="Y34" s="3422"/>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22" t="s">
        <v>550</v>
      </c>
      <c r="Q35" s="1572" t="str">
        <f t="shared" si="11"/>
        <v>市政基础设施</v>
      </c>
      <c r="R35" s="1573" t="s">
        <v>8</v>
      </c>
      <c r="S35" s="1574">
        <f t="shared" si="12"/>
        <v>100</v>
      </c>
      <c r="T35" s="1573" t="s">
        <v>8</v>
      </c>
      <c r="U35" s="1574">
        <f t="shared" si="13"/>
        <v>100</v>
      </c>
      <c r="V35" s="1573" t="s">
        <v>8</v>
      </c>
      <c r="W35" s="1574">
        <f t="shared" si="14"/>
        <v>100</v>
      </c>
      <c r="X35" s="1567"/>
      <c r="Y35" s="342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22"/>
      <c r="Q36" s="1572" t="str">
        <f t="shared" si="11"/>
        <v>内部装修</v>
      </c>
      <c r="R36" s="1573" t="s">
        <v>8</v>
      </c>
      <c r="S36" s="1574">
        <f t="shared" si="12"/>
        <v>100</v>
      </c>
      <c r="T36" s="1573" t="s">
        <v>8</v>
      </c>
      <c r="U36" s="1574">
        <f t="shared" si="13"/>
        <v>100</v>
      </c>
      <c r="V36" s="1573" t="s">
        <v>8</v>
      </c>
      <c r="W36" s="1574">
        <f t="shared" si="14"/>
        <v>100</v>
      </c>
      <c r="X36" s="1567"/>
      <c r="Y36" s="342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22"/>
      <c r="Q37" s="1572" t="str">
        <f t="shared" si="11"/>
        <v>内部装修状况</v>
      </c>
      <c r="R37" s="1573" t="s">
        <v>8</v>
      </c>
      <c r="S37" s="1574">
        <f t="shared" si="12"/>
        <v>100</v>
      </c>
      <c r="T37" s="1573" t="s">
        <v>8</v>
      </c>
      <c r="U37" s="1574">
        <f t="shared" si="13"/>
        <v>100</v>
      </c>
      <c r="V37" s="1573" t="s">
        <v>8</v>
      </c>
      <c r="W37" s="1574">
        <f t="shared" si="14"/>
        <v>100</v>
      </c>
      <c r="X37" s="1567"/>
      <c r="Y37" s="342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22"/>
      <c r="Q38" s="1605">
        <f t="shared" si="11"/>
        <v>111</v>
      </c>
      <c r="R38" s="1577" t="s">
        <v>8</v>
      </c>
      <c r="S38" s="1578">
        <f t="shared" si="12"/>
        <v>100</v>
      </c>
      <c r="T38" s="1577" t="s">
        <v>8</v>
      </c>
      <c r="U38" s="1578">
        <f t="shared" si="13"/>
        <v>100</v>
      </c>
      <c r="V38" s="1577" t="s">
        <v>8</v>
      </c>
      <c r="W38" s="1578">
        <f t="shared" si="14"/>
        <v>100</v>
      </c>
      <c r="X38" s="1579"/>
      <c r="Y38" s="342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22"/>
      <c r="Q39" s="1572">
        <f t="shared" si="11"/>
        <v>111</v>
      </c>
      <c r="R39" s="1573" t="s">
        <v>8</v>
      </c>
      <c r="S39" s="1574">
        <f t="shared" si="12"/>
        <v>100</v>
      </c>
      <c r="T39" s="1573" t="s">
        <v>8</v>
      </c>
      <c r="U39" s="1574">
        <f t="shared" si="13"/>
        <v>100</v>
      </c>
      <c r="V39" s="1573" t="s">
        <v>8</v>
      </c>
      <c r="W39" s="1574">
        <f t="shared" si="14"/>
        <v>100</v>
      </c>
      <c r="X39" s="1567"/>
      <c r="Y39" s="342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18"/>
      <c r="Q40" s="1572">
        <f t="shared" si="11"/>
        <v>111</v>
      </c>
      <c r="R40" s="1573" t="s">
        <v>8</v>
      </c>
      <c r="S40" s="1574">
        <f t="shared" si="12"/>
        <v>100</v>
      </c>
      <c r="T40" s="1573" t="s">
        <v>8</v>
      </c>
      <c r="U40" s="1574">
        <f t="shared" si="13"/>
        <v>100</v>
      </c>
      <c r="V40" s="1573" t="s">
        <v>8</v>
      </c>
      <c r="W40" s="1574">
        <f t="shared" si="14"/>
        <v>100</v>
      </c>
      <c r="X40" s="1567"/>
      <c r="Y40" s="3518"/>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17" t="str">
        <f>A41</f>
        <v>成交单价（元/平方米）</v>
      </c>
      <c r="Q41" s="3417"/>
      <c r="R41" s="3517">
        <f>E41</f>
        <v>0</v>
      </c>
      <c r="S41" s="3517"/>
      <c r="T41" s="3517">
        <f>G41</f>
        <v>0</v>
      </c>
      <c r="U41" s="3517"/>
      <c r="V41" s="3517">
        <f>I41</f>
        <v>0</v>
      </c>
      <c r="W41" s="3517"/>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17" t="str">
        <f>A42</f>
        <v>比较价格（元/平方米）</v>
      </c>
      <c r="Q42" s="3417"/>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1559"/>
      <c r="Y42" s="1559"/>
      <c r="Z42" s="1559"/>
      <c r="AA42" s="1559"/>
      <c r="AB42" s="1559"/>
      <c r="AC42" s="1559"/>
    </row>
    <row r="43" spans="1:29" ht="15.75" thickBot="1">
      <c r="A43" s="621" t="s">
        <v>2940</v>
      </c>
      <c r="B43" s="622"/>
      <c r="C43" s="2637" t="e">
        <f>R43</f>
        <v>#DIV/0!</v>
      </c>
      <c r="D43" s="2637"/>
      <c r="E43" s="2637"/>
      <c r="F43" s="2637"/>
      <c r="G43" s="2637"/>
      <c r="H43" s="2637"/>
      <c r="I43" s="2637"/>
      <c r="J43" s="2637"/>
      <c r="K43" s="1613"/>
      <c r="L43" s="2145"/>
      <c r="M43" s="2146"/>
      <c r="N43" s="2146"/>
      <c r="O43" s="2146"/>
      <c r="P43" s="3438" t="str">
        <f>A43</f>
        <v>估价对象XX用房的比较价格（楼面单价，元/平方米）</v>
      </c>
      <c r="Q43" s="3439"/>
      <c r="R43" s="3516" t="e">
        <f>IF(F1="售价",ROUND(AVERAGE(R42:V42),0),ROUND(AVERAGE(R42:V42),1))</f>
        <v>#DIV/0!</v>
      </c>
      <c r="S43" s="3516"/>
      <c r="T43" s="3516"/>
      <c r="U43" s="3516"/>
      <c r="V43" s="3516"/>
      <c r="W43" s="3516"/>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3" t="s">
        <v>798</v>
      </c>
      <c r="D4" s="3424"/>
      <c r="E4" s="3423" t="s">
        <v>799</v>
      </c>
      <c r="F4" s="3424"/>
      <c r="G4" s="3423" t="s">
        <v>800</v>
      </c>
      <c r="H4" s="3424"/>
      <c r="I4" s="3423" t="s">
        <v>801</v>
      </c>
      <c r="J4" s="3424"/>
      <c r="K4" s="514" t="s">
        <v>802</v>
      </c>
      <c r="L4" s="2134"/>
      <c r="M4" s="2135"/>
      <c r="N4" s="2135"/>
      <c r="O4" s="2135"/>
      <c r="P4" s="3425" t="s">
        <v>803</v>
      </c>
      <c r="Q4" s="3426"/>
      <c r="R4" s="3411" t="s">
        <v>799</v>
      </c>
      <c r="S4" s="3412"/>
      <c r="T4" s="3411" t="s">
        <v>800</v>
      </c>
      <c r="U4" s="3412"/>
      <c r="V4" s="3431" t="s">
        <v>801</v>
      </c>
      <c r="W4" s="3431"/>
      <c r="X4" s="1567"/>
      <c r="Y4" s="3411" t="s">
        <v>803</v>
      </c>
      <c r="Z4" s="3412"/>
      <c r="AA4" s="3406" t="s">
        <v>799</v>
      </c>
      <c r="AB4" s="3407" t="s">
        <v>800</v>
      </c>
      <c r="AC4" s="3406" t="s">
        <v>801</v>
      </c>
    </row>
    <row r="5" spans="1:29" ht="15">
      <c r="A5" s="515"/>
      <c r="B5" s="516"/>
      <c r="C5" s="3434" t="s">
        <v>2934</v>
      </c>
      <c r="D5" s="3435"/>
      <c r="E5" s="3434" t="s">
        <v>2935</v>
      </c>
      <c r="F5" s="3435"/>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36" t="s">
        <v>2938</v>
      </c>
      <c r="F6" s="3437"/>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9" t="s">
        <v>530</v>
      </c>
      <c r="Q7" s="3418"/>
      <c r="R7" s="1568" t="s">
        <v>8</v>
      </c>
      <c r="S7" s="1569">
        <f t="shared" ref="S7:S14" si="0">F7</f>
        <v>0</v>
      </c>
      <c r="T7" s="1568" t="s">
        <v>8</v>
      </c>
      <c r="U7" s="1569">
        <f t="shared" ref="U7:U14" si="1">H7</f>
        <v>0</v>
      </c>
      <c r="V7" s="1568" t="s">
        <v>8</v>
      </c>
      <c r="W7" s="1569">
        <f t="shared" ref="W7:W14"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17" t="s">
        <v>535</v>
      </c>
      <c r="Q9" s="1151" t="str">
        <f t="shared" ref="Q9:Q14" si="6">B9</f>
        <v>用途</v>
      </c>
      <c r="R9" s="1568" t="s">
        <v>8</v>
      </c>
      <c r="S9" s="1569">
        <f t="shared" si="0"/>
        <v>100</v>
      </c>
      <c r="T9" s="1568" t="s">
        <v>8</v>
      </c>
      <c r="U9" s="1569">
        <f t="shared" si="1"/>
        <v>100</v>
      </c>
      <c r="V9" s="1568" t="s">
        <v>8</v>
      </c>
      <c r="W9" s="1569">
        <f t="shared" si="2"/>
        <v>100</v>
      </c>
      <c r="X9" s="1570"/>
      <c r="Y9" s="3374"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17"/>
      <c r="Q11" s="1151">
        <f t="shared" si="6"/>
        <v>111</v>
      </c>
      <c r="R11" s="1568" t="s">
        <v>8</v>
      </c>
      <c r="S11" s="1569">
        <f t="shared" si="0"/>
        <v>100</v>
      </c>
      <c r="T11" s="1568" t="s">
        <v>8</v>
      </c>
      <c r="U11" s="1569">
        <f t="shared" si="1"/>
        <v>100</v>
      </c>
      <c r="V11" s="1568" t="s">
        <v>8</v>
      </c>
      <c r="W11" s="1569">
        <f t="shared" si="2"/>
        <v>100</v>
      </c>
      <c r="X11" s="1570"/>
      <c r="Y11" s="3374"/>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0"/>
      <c r="Q15" s="1572"/>
      <c r="R15" s="1573"/>
      <c r="S15" s="1574"/>
      <c r="T15" s="1573"/>
      <c r="U15" s="1574"/>
      <c r="V15" s="1573"/>
      <c r="W15" s="1574"/>
      <c r="X15" s="1567"/>
      <c r="Y15" s="3420"/>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0"/>
      <c r="Q17" s="1572"/>
      <c r="R17" s="1573"/>
      <c r="S17" s="1574"/>
      <c r="T17" s="1573"/>
      <c r="U17" s="1574"/>
      <c r="V17" s="1573"/>
      <c r="W17" s="1574"/>
      <c r="X17" s="1567"/>
      <c r="Y17" s="3420"/>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0"/>
      <c r="Q18" s="2580" t="str">
        <f>B18</f>
        <v>基础设施水平</v>
      </c>
      <c r="R18" s="1573" t="s">
        <v>8</v>
      </c>
      <c r="S18" s="1574">
        <f>F18</f>
        <v>100</v>
      </c>
      <c r="T18" s="1573" t="s">
        <v>8</v>
      </c>
      <c r="U18" s="1574">
        <f>H18</f>
        <v>100</v>
      </c>
      <c r="V18" s="1573" t="s">
        <v>8</v>
      </c>
      <c r="W18" s="1574">
        <f>J18</f>
        <v>100</v>
      </c>
      <c r="X18" s="2582"/>
      <c r="Y18" s="3420"/>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20"/>
      <c r="Q19" s="2580"/>
      <c r="R19" s="1573"/>
      <c r="S19" s="1574"/>
      <c r="T19" s="1573"/>
      <c r="U19" s="1574"/>
      <c r="V19" s="1573"/>
      <c r="W19" s="1574"/>
      <c r="X19" s="2582"/>
      <c r="Y19" s="3420"/>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0"/>
      <c r="Q21" s="1572"/>
      <c r="R21" s="1573"/>
      <c r="S21" s="1574"/>
      <c r="T21" s="1573"/>
      <c r="U21" s="1574"/>
      <c r="V21" s="1573"/>
      <c r="W21" s="1574"/>
      <c r="X21" s="1567"/>
      <c r="Y21" s="342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0"/>
      <c r="Q24" s="1572">
        <f t="shared" ref="Q24:Q36"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22"/>
      <c r="Q27" s="1605" t="str">
        <f t="shared" si="11"/>
        <v>项目停车位配比</v>
      </c>
      <c r="R27" s="1577" t="s">
        <v>8</v>
      </c>
      <c r="S27" s="1578">
        <f t="shared" si="12"/>
        <v>100</v>
      </c>
      <c r="T27" s="1577" t="s">
        <v>8</v>
      </c>
      <c r="U27" s="1578">
        <f t="shared" si="13"/>
        <v>100</v>
      </c>
      <c r="V27" s="1577" t="s">
        <v>8</v>
      </c>
      <c r="W27" s="1578">
        <f t="shared" si="14"/>
        <v>100</v>
      </c>
      <c r="X27" s="1579"/>
      <c r="Y27" s="342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22"/>
      <c r="Q28" s="1572" t="str">
        <f t="shared" si="11"/>
        <v>公共部分装修</v>
      </c>
      <c r="R28" s="1573" t="s">
        <v>8</v>
      </c>
      <c r="S28" s="1574">
        <f t="shared" si="12"/>
        <v>100</v>
      </c>
      <c r="T28" s="1573" t="s">
        <v>8</v>
      </c>
      <c r="U28" s="1574">
        <f t="shared" si="13"/>
        <v>100</v>
      </c>
      <c r="V28" s="1573" t="s">
        <v>8</v>
      </c>
      <c r="W28" s="1574">
        <f t="shared" si="14"/>
        <v>100</v>
      </c>
      <c r="X28" s="1567"/>
      <c r="Y28" s="342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22"/>
      <c r="Q29" s="1572" t="str">
        <f t="shared" si="11"/>
        <v>成新率</v>
      </c>
      <c r="R29" s="1573" t="s">
        <v>8</v>
      </c>
      <c r="S29" s="1574" t="e">
        <f t="shared" si="12"/>
        <v>#N/A</v>
      </c>
      <c r="T29" s="1573" t="s">
        <v>8</v>
      </c>
      <c r="U29" s="1574" t="e">
        <f t="shared" si="13"/>
        <v>#N/A</v>
      </c>
      <c r="V29" s="1573" t="s">
        <v>8</v>
      </c>
      <c r="W29" s="1574" t="e">
        <f t="shared" si="14"/>
        <v>#N/A</v>
      </c>
      <c r="X29" s="1567"/>
      <c r="Y29" s="342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22"/>
      <c r="Q30" s="1572" t="str">
        <f t="shared" si="11"/>
        <v>物业等级</v>
      </c>
      <c r="R30" s="1573" t="s">
        <v>8</v>
      </c>
      <c r="S30" s="1574">
        <f t="shared" si="12"/>
        <v>100</v>
      </c>
      <c r="T30" s="1573" t="s">
        <v>8</v>
      </c>
      <c r="U30" s="1574">
        <f t="shared" si="13"/>
        <v>100</v>
      </c>
      <c r="V30" s="1573" t="s">
        <v>8</v>
      </c>
      <c r="W30" s="1574">
        <f t="shared" si="14"/>
        <v>100</v>
      </c>
      <c r="X30" s="1567"/>
      <c r="Y30" s="342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22"/>
      <c r="Q31" s="1151" t="str">
        <f t="shared" si="11"/>
        <v>停车位面积</v>
      </c>
      <c r="R31" s="1568" t="s">
        <v>8</v>
      </c>
      <c r="S31" s="1569" t="e">
        <f t="shared" si="12"/>
        <v>#N/A</v>
      </c>
      <c r="T31" s="1568" t="s">
        <v>8</v>
      </c>
      <c r="U31" s="1569" t="e">
        <f t="shared" si="13"/>
        <v>#N/A</v>
      </c>
      <c r="V31" s="1568" t="s">
        <v>8</v>
      </c>
      <c r="W31" s="1569" t="e">
        <f t="shared" si="14"/>
        <v>#N/A</v>
      </c>
      <c r="X31" s="1570"/>
      <c r="Y31" s="342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22" t="s">
        <v>550</v>
      </c>
      <c r="Q32" s="1572" t="str">
        <f t="shared" si="11"/>
        <v>车位类型</v>
      </c>
      <c r="R32" s="1573" t="s">
        <v>8</v>
      </c>
      <c r="S32" s="1574">
        <f t="shared" si="12"/>
        <v>100</v>
      </c>
      <c r="T32" s="1573" t="s">
        <v>8</v>
      </c>
      <c r="U32" s="1574">
        <f t="shared" si="13"/>
        <v>100</v>
      </c>
      <c r="V32" s="1573" t="s">
        <v>8</v>
      </c>
      <c r="W32" s="1574">
        <f t="shared" si="14"/>
        <v>100</v>
      </c>
      <c r="X32" s="1567"/>
      <c r="Y32" s="342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22"/>
      <c r="Q33" s="1572" t="str">
        <f t="shared" si="11"/>
        <v>是否直接入户</v>
      </c>
      <c r="R33" s="1573" t="s">
        <v>8</v>
      </c>
      <c r="S33" s="1574">
        <f t="shared" si="12"/>
        <v>100</v>
      </c>
      <c r="T33" s="1573" t="s">
        <v>8</v>
      </c>
      <c r="U33" s="1574">
        <f t="shared" si="13"/>
        <v>100</v>
      </c>
      <c r="V33" s="1573" t="s">
        <v>8</v>
      </c>
      <c r="W33" s="1574">
        <f t="shared" si="14"/>
        <v>100</v>
      </c>
      <c r="X33" s="1567"/>
      <c r="Y33" s="342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22"/>
      <c r="Q35" s="1605">
        <f t="shared" si="11"/>
        <v>111</v>
      </c>
      <c r="R35" s="1577" t="s">
        <v>8</v>
      </c>
      <c r="S35" s="1578">
        <f t="shared" si="12"/>
        <v>100</v>
      </c>
      <c r="T35" s="1577" t="s">
        <v>8</v>
      </c>
      <c r="U35" s="1578">
        <f t="shared" si="13"/>
        <v>100</v>
      </c>
      <c r="V35" s="1577" t="s">
        <v>8</v>
      </c>
      <c r="W35" s="1578">
        <f t="shared" si="14"/>
        <v>100</v>
      </c>
      <c r="X35" s="1579"/>
      <c r="Y35" s="342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22"/>
      <c r="Q36" s="1572">
        <f t="shared" si="11"/>
        <v>111</v>
      </c>
      <c r="R36" s="1573" t="s">
        <v>8</v>
      </c>
      <c r="S36" s="1574">
        <f t="shared" si="12"/>
        <v>100</v>
      </c>
      <c r="T36" s="1573" t="s">
        <v>8</v>
      </c>
      <c r="U36" s="1574">
        <f t="shared" si="13"/>
        <v>100</v>
      </c>
      <c r="V36" s="1573" t="s">
        <v>8</v>
      </c>
      <c r="W36" s="1574">
        <f t="shared" si="14"/>
        <v>100</v>
      </c>
      <c r="X36" s="1567"/>
      <c r="Y36" s="3422"/>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17" t="str">
        <f>A37</f>
        <v>成交单价</v>
      </c>
      <c r="Q37" s="3417"/>
      <c r="R37" s="3517">
        <f>E37</f>
        <v>0</v>
      </c>
      <c r="S37" s="3517"/>
      <c r="T37" s="3517">
        <f>G37</f>
        <v>0</v>
      </c>
      <c r="U37" s="3517"/>
      <c r="V37" s="3517">
        <f>I37</f>
        <v>0</v>
      </c>
      <c r="W37" s="3517"/>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17" t="str">
        <f>A38</f>
        <v>比较价格（元/平方米）</v>
      </c>
      <c r="Q38" s="3417"/>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1559"/>
      <c r="Y38" s="1559"/>
      <c r="Z38" s="1559"/>
      <c r="AA38" s="1559"/>
      <c r="AB38" s="1559"/>
      <c r="AC38" s="1559"/>
    </row>
    <row r="39" spans="1:29" ht="15.75" thickBot="1">
      <c r="A39" s="621" t="s">
        <v>2940</v>
      </c>
      <c r="B39" s="622"/>
      <c r="C39" s="2637" t="e">
        <f>R39</f>
        <v>#DIV/0!</v>
      </c>
      <c r="D39" s="2637"/>
      <c r="E39" s="2637"/>
      <c r="F39" s="2637"/>
      <c r="G39" s="2637"/>
      <c r="H39" s="2637"/>
      <c r="I39" s="2637"/>
      <c r="J39" s="2637"/>
      <c r="K39" s="1613"/>
      <c r="L39" s="2145"/>
      <c r="M39" s="2146"/>
      <c r="N39" s="2146"/>
      <c r="O39" s="2146"/>
      <c r="P39" s="3438" t="str">
        <f>A39</f>
        <v>估价对象XX用房的比较价格（楼面单价，元/平方米）</v>
      </c>
      <c r="Q39" s="3439"/>
      <c r="R39" s="3516" t="e">
        <f>IF(F1="售价",ROUND(AVERAGE(R38:V38),0),ROUND(AVERAGE(R38:V38),1))</f>
        <v>#DIV/0!</v>
      </c>
      <c r="S39" s="3516"/>
      <c r="T39" s="3516"/>
      <c r="U39" s="3516"/>
      <c r="V39" s="3516"/>
      <c r="W39" s="3516"/>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23" t="s">
        <v>798</v>
      </c>
      <c r="D4" s="3424"/>
      <c r="E4" s="3447" t="s">
        <v>799</v>
      </c>
      <c r="F4" s="3448"/>
      <c r="G4" s="3423" t="s">
        <v>800</v>
      </c>
      <c r="H4" s="3424"/>
      <c r="I4" s="3423" t="s">
        <v>801</v>
      </c>
      <c r="J4" s="3424"/>
      <c r="K4" s="514" t="s">
        <v>802</v>
      </c>
      <c r="L4" s="2134"/>
      <c r="M4" s="2135"/>
      <c r="N4" s="2135"/>
      <c r="O4" s="2135"/>
      <c r="P4" s="3425" t="s">
        <v>803</v>
      </c>
      <c r="Q4" s="3426"/>
      <c r="R4" s="3411" t="s">
        <v>799</v>
      </c>
      <c r="S4" s="3412"/>
      <c r="T4" s="3411" t="s">
        <v>800</v>
      </c>
      <c r="U4" s="3412"/>
      <c r="V4" s="3431" t="s">
        <v>801</v>
      </c>
      <c r="W4" s="3431"/>
      <c r="X4" s="1567"/>
      <c r="Y4" s="3411" t="s">
        <v>803</v>
      </c>
      <c r="Z4" s="3412"/>
      <c r="AA4" s="3406" t="s">
        <v>799</v>
      </c>
      <c r="AB4" s="3407" t="s">
        <v>800</v>
      </c>
      <c r="AC4" s="3406" t="s">
        <v>801</v>
      </c>
    </row>
    <row r="5" spans="1:29" ht="15">
      <c r="A5" s="515"/>
      <c r="B5" s="516"/>
      <c r="C5" s="3434" t="s">
        <v>2934</v>
      </c>
      <c r="D5" s="3435"/>
      <c r="E5" s="3449" t="s">
        <v>2935</v>
      </c>
      <c r="F5" s="3450"/>
      <c r="G5" s="3434" t="s">
        <v>2936</v>
      </c>
      <c r="H5" s="3435"/>
      <c r="I5" s="3434" t="s">
        <v>2937</v>
      </c>
      <c r="J5" s="3435"/>
      <c r="K5" s="514"/>
      <c r="L5" s="2134"/>
      <c r="M5" s="2135"/>
      <c r="N5" s="2135"/>
      <c r="O5" s="2135"/>
      <c r="P5" s="3427"/>
      <c r="Q5" s="3428"/>
      <c r="R5" s="3413"/>
      <c r="S5" s="3414"/>
      <c r="T5" s="3413"/>
      <c r="U5" s="3414"/>
      <c r="V5" s="3431"/>
      <c r="W5" s="3431"/>
      <c r="X5" s="1567"/>
      <c r="Y5" s="3413"/>
      <c r="Z5" s="3414"/>
      <c r="AA5" s="3407"/>
      <c r="AB5" s="3407"/>
      <c r="AC5" s="3407"/>
    </row>
    <row r="6" spans="1:29" ht="15.75" thickBot="1">
      <c r="A6" s="517"/>
      <c r="B6" s="518"/>
      <c r="C6" s="3432" t="s">
        <v>2938</v>
      </c>
      <c r="D6" s="3433"/>
      <c r="E6" s="3451" t="s">
        <v>2938</v>
      </c>
      <c r="F6" s="3452"/>
      <c r="G6" s="3432" t="s">
        <v>2938</v>
      </c>
      <c r="H6" s="3433"/>
      <c r="I6" s="3432" t="s">
        <v>2938</v>
      </c>
      <c r="J6" s="3433"/>
      <c r="K6" s="514" t="s">
        <v>528</v>
      </c>
      <c r="L6" s="2134"/>
      <c r="M6" s="2135"/>
      <c r="N6" s="2135"/>
      <c r="O6" s="2135"/>
      <c r="P6" s="3429"/>
      <c r="Q6" s="3430"/>
      <c r="R6" s="3413"/>
      <c r="S6" s="3414"/>
      <c r="T6" s="3415"/>
      <c r="U6" s="3416"/>
      <c r="V6" s="3431"/>
      <c r="W6" s="3431"/>
      <c r="X6" s="1567"/>
      <c r="Y6" s="3415"/>
      <c r="Z6" s="3416"/>
      <c r="AA6" s="3408"/>
      <c r="AB6" s="3408"/>
      <c r="AC6" s="3408"/>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9" t="s">
        <v>530</v>
      </c>
      <c r="Q7" s="3418"/>
      <c r="R7" s="1568" t="s">
        <v>8</v>
      </c>
      <c r="S7" s="1569">
        <f t="shared" ref="S7:S14" si="0">F7</f>
        <v>0</v>
      </c>
      <c r="T7" s="1568" t="s">
        <v>8</v>
      </c>
      <c r="U7" s="1569">
        <f t="shared" ref="U7:U14" si="1">H7</f>
        <v>0</v>
      </c>
      <c r="V7" s="1568" t="s">
        <v>8</v>
      </c>
      <c r="W7" s="1569">
        <f t="shared" ref="W7:W14" si="2">J7</f>
        <v>0</v>
      </c>
      <c r="X7" s="1570"/>
      <c r="Y7" s="3409" t="s">
        <v>530</v>
      </c>
      <c r="Z7" s="3410"/>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9" t="s">
        <v>533</v>
      </c>
      <c r="Q8" s="3410"/>
      <c r="R8" s="1568" t="s">
        <v>8</v>
      </c>
      <c r="S8" s="1569">
        <f t="shared" si="0"/>
        <v>0</v>
      </c>
      <c r="T8" s="1568" t="s">
        <v>8</v>
      </c>
      <c r="U8" s="1569">
        <f t="shared" si="1"/>
        <v>0</v>
      </c>
      <c r="V8" s="1568" t="s">
        <v>8</v>
      </c>
      <c r="W8" s="1569">
        <f t="shared" si="2"/>
        <v>0</v>
      </c>
      <c r="X8" s="1570"/>
      <c r="Y8" s="3409" t="s">
        <v>533</v>
      </c>
      <c r="Z8" s="3410"/>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17" t="s">
        <v>535</v>
      </c>
      <c r="Q9" s="1151" t="str">
        <f t="shared" ref="Q9:Q14" si="6">B9</f>
        <v>用途</v>
      </c>
      <c r="R9" s="1568" t="s">
        <v>8</v>
      </c>
      <c r="S9" s="1569">
        <f t="shared" si="0"/>
        <v>100</v>
      </c>
      <c r="T9" s="1568" t="s">
        <v>8</v>
      </c>
      <c r="U9" s="1569">
        <f t="shared" si="1"/>
        <v>100</v>
      </c>
      <c r="V9" s="1568" t="s">
        <v>8</v>
      </c>
      <c r="W9" s="1569">
        <f t="shared" si="2"/>
        <v>100</v>
      </c>
      <c r="X9" s="1570"/>
      <c r="Y9" s="3374"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17"/>
      <c r="Q10" s="1151" t="str">
        <f t="shared" si="6"/>
        <v>土地使用年限（年）</v>
      </c>
      <c r="R10" s="1568" t="s">
        <v>8</v>
      </c>
      <c r="S10" s="1569">
        <f t="shared" si="0"/>
        <v>100</v>
      </c>
      <c r="T10" s="1568" t="s">
        <v>8</v>
      </c>
      <c r="U10" s="1569">
        <f t="shared" si="1"/>
        <v>100</v>
      </c>
      <c r="V10" s="1568" t="s">
        <v>8</v>
      </c>
      <c r="W10" s="1569">
        <f t="shared" si="2"/>
        <v>100</v>
      </c>
      <c r="X10" s="1570"/>
      <c r="Y10" s="3374"/>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17"/>
      <c r="Q11" s="1151">
        <f t="shared" si="6"/>
        <v>111</v>
      </c>
      <c r="R11" s="1568" t="s">
        <v>8</v>
      </c>
      <c r="S11" s="1569">
        <f t="shared" si="0"/>
        <v>100</v>
      </c>
      <c r="T11" s="1568" t="s">
        <v>8</v>
      </c>
      <c r="U11" s="1569">
        <f t="shared" si="1"/>
        <v>100</v>
      </c>
      <c r="V11" s="1568" t="s">
        <v>8</v>
      </c>
      <c r="W11" s="1569">
        <f t="shared" si="2"/>
        <v>100</v>
      </c>
      <c r="X11" s="1570"/>
      <c r="Y11" s="3374"/>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17"/>
      <c r="Q12" s="1151">
        <f t="shared" si="6"/>
        <v>111</v>
      </c>
      <c r="R12" s="1568" t="s">
        <v>8</v>
      </c>
      <c r="S12" s="1569">
        <f t="shared" si="0"/>
        <v>100</v>
      </c>
      <c r="T12" s="1568" t="s">
        <v>8</v>
      </c>
      <c r="U12" s="1569">
        <f t="shared" si="1"/>
        <v>100</v>
      </c>
      <c r="V12" s="1568" t="s">
        <v>8</v>
      </c>
      <c r="W12" s="1569">
        <f t="shared" si="2"/>
        <v>100</v>
      </c>
      <c r="X12" s="1570"/>
      <c r="Y12" s="3374"/>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17"/>
      <c r="Q13" s="1151">
        <f t="shared" si="6"/>
        <v>111</v>
      </c>
      <c r="R13" s="1568" t="s">
        <v>8</v>
      </c>
      <c r="S13" s="1569">
        <f t="shared" si="0"/>
        <v>100</v>
      </c>
      <c r="T13" s="1568" t="s">
        <v>8</v>
      </c>
      <c r="U13" s="1569">
        <f t="shared" si="1"/>
        <v>100</v>
      </c>
      <c r="V13" s="1568" t="s">
        <v>8</v>
      </c>
      <c r="W13" s="1569">
        <f t="shared" si="2"/>
        <v>100</v>
      </c>
      <c r="X13" s="1570"/>
      <c r="Y13" s="3374"/>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9" t="s">
        <v>540</v>
      </c>
      <c r="Q14" s="1572" t="str">
        <f t="shared" si="6"/>
        <v>交通便捷度</v>
      </c>
      <c r="R14" s="1573" t="s">
        <v>8</v>
      </c>
      <c r="S14" s="1574">
        <f t="shared" si="0"/>
        <v>100</v>
      </c>
      <c r="T14" s="1573" t="s">
        <v>8</v>
      </c>
      <c r="U14" s="1574">
        <f t="shared" si="1"/>
        <v>100</v>
      </c>
      <c r="V14" s="1573" t="s">
        <v>8</v>
      </c>
      <c r="W14" s="1574">
        <f t="shared" si="2"/>
        <v>100</v>
      </c>
      <c r="X14" s="1567"/>
      <c r="Y14" s="341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0"/>
      <c r="Q15" s="1572"/>
      <c r="R15" s="1573"/>
      <c r="S15" s="1574"/>
      <c r="T15" s="1573"/>
      <c r="U15" s="1574"/>
      <c r="V15" s="1573"/>
      <c r="W15" s="1574"/>
      <c r="X15" s="1567"/>
      <c r="Y15" s="3420"/>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0"/>
      <c r="Q16" s="1572" t="str">
        <f>B16</f>
        <v>公共配套设施</v>
      </c>
      <c r="R16" s="1573" t="s">
        <v>8</v>
      </c>
      <c r="S16" s="1574">
        <f>F16</f>
        <v>100</v>
      </c>
      <c r="T16" s="1573" t="s">
        <v>8</v>
      </c>
      <c r="U16" s="1574">
        <f>H16</f>
        <v>100</v>
      </c>
      <c r="V16" s="1573" t="s">
        <v>8</v>
      </c>
      <c r="W16" s="1574">
        <f>J16</f>
        <v>100</v>
      </c>
      <c r="X16" s="1567"/>
      <c r="Y16" s="342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0"/>
      <c r="Q17" s="1572"/>
      <c r="R17" s="1573"/>
      <c r="S17" s="1574"/>
      <c r="T17" s="1573"/>
      <c r="U17" s="1574"/>
      <c r="V17" s="1573"/>
      <c r="W17" s="1574"/>
      <c r="X17" s="1567"/>
      <c r="Y17" s="3420"/>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0"/>
      <c r="Q18" s="2580" t="str">
        <f>B18</f>
        <v>基础设施水平</v>
      </c>
      <c r="R18" s="1573" t="s">
        <v>8</v>
      </c>
      <c r="S18" s="1574">
        <f>F18</f>
        <v>100</v>
      </c>
      <c r="T18" s="1573" t="s">
        <v>8</v>
      </c>
      <c r="U18" s="1574">
        <f>H18</f>
        <v>100</v>
      </c>
      <c r="V18" s="1573" t="s">
        <v>8</v>
      </c>
      <c r="W18" s="1574">
        <f>J18</f>
        <v>100</v>
      </c>
      <c r="X18" s="2582"/>
      <c r="Y18" s="3420"/>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0"/>
      <c r="Q19" s="2580"/>
      <c r="R19" s="1573"/>
      <c r="S19" s="1574"/>
      <c r="T19" s="1573"/>
      <c r="U19" s="1574"/>
      <c r="V19" s="1573"/>
      <c r="W19" s="1574"/>
      <c r="X19" s="2582"/>
      <c r="Y19" s="3420"/>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0"/>
      <c r="Q20" s="1572" t="str">
        <f>B20</f>
        <v>自然及人文环境</v>
      </c>
      <c r="R20" s="1573" t="s">
        <v>8</v>
      </c>
      <c r="S20" s="1574">
        <f>F20</f>
        <v>100</v>
      </c>
      <c r="T20" s="1573" t="s">
        <v>8</v>
      </c>
      <c r="U20" s="1574">
        <f>H20</f>
        <v>100</v>
      </c>
      <c r="V20" s="1573" t="s">
        <v>8</v>
      </c>
      <c r="W20" s="1574">
        <f>J20</f>
        <v>100</v>
      </c>
      <c r="X20" s="1567"/>
      <c r="Y20" s="342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0"/>
      <c r="Q21" s="1572"/>
      <c r="R21" s="1573"/>
      <c r="S21" s="1574"/>
      <c r="T21" s="1573"/>
      <c r="U21" s="1574"/>
      <c r="V21" s="1573"/>
      <c r="W21" s="1574"/>
      <c r="X21" s="1567"/>
      <c r="Y21" s="342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0"/>
      <c r="Q22" s="1572" t="str">
        <f>B22</f>
        <v>楼层</v>
      </c>
      <c r="R22" s="1573" t="s">
        <v>8</v>
      </c>
      <c r="S22" s="1574">
        <f>F22</f>
        <v>100</v>
      </c>
      <c r="T22" s="1573" t="s">
        <v>8</v>
      </c>
      <c r="U22" s="1574">
        <f>H22</f>
        <v>100</v>
      </c>
      <c r="V22" s="1573" t="s">
        <v>8</v>
      </c>
      <c r="W22" s="1574">
        <f>J22</f>
        <v>100</v>
      </c>
      <c r="X22" s="1567"/>
      <c r="Y22" s="342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0"/>
      <c r="Q23" s="1572">
        <f>B23</f>
        <v>111</v>
      </c>
      <c r="R23" s="1573" t="s">
        <v>8</v>
      </c>
      <c r="S23" s="1574">
        <f>F23</f>
        <v>100</v>
      </c>
      <c r="T23" s="1573" t="s">
        <v>8</v>
      </c>
      <c r="U23" s="1574">
        <f>H23</f>
        <v>100</v>
      </c>
      <c r="V23" s="1573" t="s">
        <v>8</v>
      </c>
      <c r="W23" s="1574">
        <f>J23</f>
        <v>100</v>
      </c>
      <c r="X23" s="1567"/>
      <c r="Y23" s="342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0"/>
      <c r="Q24" s="1572">
        <f t="shared" ref="Q24:Q34" si="11">B24</f>
        <v>111</v>
      </c>
      <c r="R24" s="1573" t="s">
        <v>8</v>
      </c>
      <c r="S24" s="1574">
        <f>F24</f>
        <v>100</v>
      </c>
      <c r="T24" s="1573" t="s">
        <v>8</v>
      </c>
      <c r="U24" s="1574">
        <f>H24</f>
        <v>100</v>
      </c>
      <c r="V24" s="1573" t="s">
        <v>8</v>
      </c>
      <c r="W24" s="1574">
        <f>J24</f>
        <v>100</v>
      </c>
      <c r="X24" s="1567"/>
      <c r="Y24" s="342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0"/>
      <c r="Q25" s="1151">
        <f t="shared" si="11"/>
        <v>111</v>
      </c>
      <c r="R25" s="1568" t="s">
        <v>8</v>
      </c>
      <c r="S25" s="1569">
        <f>F25</f>
        <v>100</v>
      </c>
      <c r="T25" s="1568" t="s">
        <v>8</v>
      </c>
      <c r="U25" s="1569">
        <f>H25</f>
        <v>100</v>
      </c>
      <c r="V25" s="1568" t="s">
        <v>8</v>
      </c>
      <c r="W25" s="1569">
        <f>J25</f>
        <v>100</v>
      </c>
      <c r="X25" s="1570"/>
      <c r="Y25" s="3420"/>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22"/>
      <c r="Q27" s="1605" t="str">
        <f t="shared" si="11"/>
        <v>成新率</v>
      </c>
      <c r="R27" s="1577" t="s">
        <v>8</v>
      </c>
      <c r="S27" s="1578" t="e">
        <f t="shared" si="12"/>
        <v>#N/A</v>
      </c>
      <c r="T27" s="1577" t="s">
        <v>8</v>
      </c>
      <c r="U27" s="1578" t="e">
        <f t="shared" si="13"/>
        <v>#N/A</v>
      </c>
      <c r="V27" s="1577" t="s">
        <v>8</v>
      </c>
      <c r="W27" s="1578" t="e">
        <f t="shared" si="14"/>
        <v>#N/A</v>
      </c>
      <c r="X27" s="1579"/>
      <c r="Y27" s="342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22"/>
      <c r="Q28" s="1572" t="str">
        <f t="shared" si="11"/>
        <v>物业等级</v>
      </c>
      <c r="R28" s="1573" t="s">
        <v>8</v>
      </c>
      <c r="S28" s="1574">
        <f t="shared" si="12"/>
        <v>100</v>
      </c>
      <c r="T28" s="1573" t="s">
        <v>8</v>
      </c>
      <c r="U28" s="1574">
        <f t="shared" si="13"/>
        <v>100</v>
      </c>
      <c r="V28" s="1573" t="s">
        <v>8</v>
      </c>
      <c r="W28" s="1574">
        <f t="shared" si="14"/>
        <v>100</v>
      </c>
      <c r="X28" s="1567"/>
      <c r="Y28" s="342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22"/>
      <c r="Q29" s="1572" t="str">
        <f t="shared" si="11"/>
        <v>有无电梯</v>
      </c>
      <c r="R29" s="1573" t="s">
        <v>8</v>
      </c>
      <c r="S29" s="1574">
        <f t="shared" si="12"/>
        <v>100</v>
      </c>
      <c r="T29" s="1573" t="s">
        <v>8</v>
      </c>
      <c r="U29" s="1574">
        <f t="shared" si="13"/>
        <v>100</v>
      </c>
      <c r="V29" s="1573" t="s">
        <v>8</v>
      </c>
      <c r="W29" s="1574">
        <f t="shared" si="14"/>
        <v>100</v>
      </c>
      <c r="X29" s="1567"/>
      <c r="Y29" s="342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22"/>
      <c r="Q30" s="1572" t="str">
        <f t="shared" si="11"/>
        <v>建筑面积</v>
      </c>
      <c r="R30" s="1573" t="s">
        <v>8</v>
      </c>
      <c r="S30" s="1574" t="e">
        <f t="shared" si="12"/>
        <v>#N/A</v>
      </c>
      <c r="T30" s="1573" t="s">
        <v>8</v>
      </c>
      <c r="U30" s="1574" t="e">
        <f t="shared" si="13"/>
        <v>#N/A</v>
      </c>
      <c r="V30" s="1573" t="s">
        <v>8</v>
      </c>
      <c r="W30" s="1574" t="e">
        <f t="shared" si="14"/>
        <v>#N/A</v>
      </c>
      <c r="X30" s="1567"/>
      <c r="Y30" s="342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22"/>
      <c r="Q31" s="1151" t="str">
        <f t="shared" si="11"/>
        <v>是否封闭</v>
      </c>
      <c r="R31" s="1568" t="s">
        <v>8</v>
      </c>
      <c r="S31" s="1569">
        <f t="shared" si="12"/>
        <v>100</v>
      </c>
      <c r="T31" s="1568" t="s">
        <v>8</v>
      </c>
      <c r="U31" s="1569">
        <f t="shared" si="13"/>
        <v>100</v>
      </c>
      <c r="V31" s="1568" t="s">
        <v>8</v>
      </c>
      <c r="W31" s="1569">
        <f t="shared" si="14"/>
        <v>100</v>
      </c>
      <c r="X31" s="1570"/>
      <c r="Y31" s="342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22" t="s">
        <v>550</v>
      </c>
      <c r="Q32" s="1572">
        <f t="shared" si="11"/>
        <v>111</v>
      </c>
      <c r="R32" s="1573" t="s">
        <v>8</v>
      </c>
      <c r="S32" s="1574">
        <f t="shared" si="12"/>
        <v>100</v>
      </c>
      <c r="T32" s="1573" t="s">
        <v>8</v>
      </c>
      <c r="U32" s="1574">
        <f t="shared" si="13"/>
        <v>100</v>
      </c>
      <c r="V32" s="1573" t="s">
        <v>8</v>
      </c>
      <c r="W32" s="1574">
        <f t="shared" si="14"/>
        <v>100</v>
      </c>
      <c r="X32" s="1567"/>
      <c r="Y32" s="342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22"/>
      <c r="Q33" s="1572">
        <f t="shared" si="11"/>
        <v>111</v>
      </c>
      <c r="R33" s="1573" t="s">
        <v>8</v>
      </c>
      <c r="S33" s="1574">
        <f t="shared" si="12"/>
        <v>100</v>
      </c>
      <c r="T33" s="1573" t="s">
        <v>8</v>
      </c>
      <c r="U33" s="1574">
        <f t="shared" si="13"/>
        <v>100</v>
      </c>
      <c r="V33" s="1573" t="s">
        <v>8</v>
      </c>
      <c r="W33" s="1574">
        <f t="shared" si="14"/>
        <v>100</v>
      </c>
      <c r="X33" s="1567"/>
      <c r="Y33" s="342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22"/>
      <c r="Q34" s="1572">
        <f t="shared" si="11"/>
        <v>111</v>
      </c>
      <c r="R34" s="1573" t="s">
        <v>8</v>
      </c>
      <c r="S34" s="1574">
        <f t="shared" si="12"/>
        <v>100</v>
      </c>
      <c r="T34" s="1573" t="s">
        <v>8</v>
      </c>
      <c r="U34" s="1574">
        <f t="shared" si="13"/>
        <v>100</v>
      </c>
      <c r="V34" s="1573" t="s">
        <v>8</v>
      </c>
      <c r="W34" s="1574">
        <f t="shared" si="14"/>
        <v>100</v>
      </c>
      <c r="X34" s="1567"/>
      <c r="Y34" s="3422"/>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17" t="str">
        <f>A35</f>
        <v>成交单价（元/平方米）</v>
      </c>
      <c r="Q35" s="3417"/>
      <c r="R35" s="3517">
        <f>E35</f>
        <v>0</v>
      </c>
      <c r="S35" s="3517"/>
      <c r="T35" s="3517">
        <f>G35</f>
        <v>0</v>
      </c>
      <c r="U35" s="3517"/>
      <c r="V35" s="3517">
        <f>I35</f>
        <v>0</v>
      </c>
      <c r="W35" s="3517"/>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17" t="str">
        <f>A36</f>
        <v>比较价格（元/平方米）</v>
      </c>
      <c r="Q36" s="3417"/>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1559"/>
      <c r="Y36" s="1559"/>
      <c r="Z36" s="1559"/>
      <c r="AA36" s="1559"/>
      <c r="AB36" s="1559"/>
      <c r="AC36" s="1559"/>
    </row>
    <row r="37" spans="1:29" ht="15.75" thickBot="1">
      <c r="A37" s="621" t="s">
        <v>2940</v>
      </c>
      <c r="B37" s="622"/>
      <c r="C37" s="2637" t="e">
        <f>R37</f>
        <v>#DIV/0!</v>
      </c>
      <c r="D37" s="2637"/>
      <c r="E37" s="2637"/>
      <c r="F37" s="2637"/>
      <c r="G37" s="2637"/>
      <c r="H37" s="2637"/>
      <c r="I37" s="2637"/>
      <c r="J37" s="2637"/>
      <c r="K37" s="1613"/>
      <c r="L37" s="2145"/>
      <c r="M37" s="2146"/>
      <c r="N37" s="2146"/>
      <c r="O37" s="2146"/>
      <c r="P37" s="3438" t="str">
        <f>A37</f>
        <v>估价对象XX用房的比较价格（楼面单价，元/平方米）</v>
      </c>
      <c r="Q37" s="3439"/>
      <c r="R37" s="3516" t="e">
        <f>IF(F1="售价",ROUND(AVERAGE(R36:V36),0),ROUND(AVERAGE(R36:V36),1))</f>
        <v>#DIV/0!</v>
      </c>
      <c r="S37" s="3516"/>
      <c r="T37" s="3516"/>
      <c r="U37" s="3516"/>
      <c r="V37" s="3516"/>
      <c r="W37" s="3516"/>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28" t="s">
        <v>2307</v>
      </c>
      <c r="D1" s="3529"/>
      <c r="E1" s="3529"/>
      <c r="F1" s="3529"/>
      <c r="G1" s="3529"/>
      <c r="H1" s="3529"/>
      <c r="I1" s="3529"/>
      <c r="J1" s="3529"/>
      <c r="K1" s="3529"/>
      <c r="L1" s="3529"/>
      <c r="M1" s="3529"/>
      <c r="N1" s="3529"/>
      <c r="O1" s="3529"/>
      <c r="P1" s="3529"/>
      <c r="Q1" s="3529"/>
      <c r="R1" s="3529"/>
      <c r="S1" s="3530"/>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2946</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25" t="s">
        <v>20</v>
      </c>
      <c r="D22" s="3526"/>
      <c r="E22" s="3526"/>
      <c r="F22" s="3526"/>
      <c r="G22" s="3526"/>
      <c r="H22" s="3526"/>
      <c r="I22" s="3526"/>
      <c r="J22" s="3526"/>
      <c r="K22" s="3526"/>
      <c r="L22" s="3526"/>
      <c r="M22" s="3526"/>
      <c r="N22" s="3526"/>
      <c r="O22" s="3526"/>
      <c r="P22" s="3526"/>
      <c r="Q22" s="352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19604.2平方米。根据《建设工程规划许可证》[]、《出让合同》[]，估价对象规划建筑面积为78499.16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2018年9月19日（评估专业人员勘察现场之日）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根据《国有土地使用证》[]，估价对象（分摊）出让国有建设用地使用权面积为19604.2平方米。根据《建设工程规划许可证》[]、《出让合同》[]，估价对象规划建筑面积为78499.16平方米。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1.5</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58" sqref="E5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3204</v>
      </c>
      <c r="D1" s="3127" t="s">
        <v>3077</v>
      </c>
      <c r="E1" s="2388" t="s">
        <v>2377</v>
      </c>
      <c r="F1" s="2389" t="e">
        <f ca="1">J53</f>
        <v>#N/A</v>
      </c>
      <c r="G1" s="774" t="e">
        <f>MATCH(C1,'数据-取费表'!A6:A16,0)+5</f>
        <v>#N/A</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t="e">
        <f ca="1">C6+C10+C12</f>
        <v>#N/A</v>
      </c>
      <c r="D5" s="2497" t="s">
        <v>2464</v>
      </c>
      <c r="E5" s="2491"/>
      <c r="F5" s="2492"/>
      <c r="G5" s="1592"/>
      <c r="H5" s="781">
        <v>1</v>
      </c>
      <c r="I5" s="782" t="s">
        <v>2461</v>
      </c>
      <c r="J5" s="55" t="e">
        <f ca="1">J6+J10+J12</f>
        <v>#N/A</v>
      </c>
      <c r="K5" s="2497" t="s">
        <v>2464</v>
      </c>
      <c r="L5" s="2491"/>
      <c r="M5" s="2492"/>
    </row>
    <row r="6" spans="1:33" ht="18" customHeight="1">
      <c r="A6" s="1831" t="s">
        <v>1825</v>
      </c>
      <c r="B6" s="3477" t="s">
        <v>2466</v>
      </c>
      <c r="C6" s="783" t="e">
        <f ca="1">ROUND(F6*F8*F7*(1-F9)/10000,0)</f>
        <v>#N/A</v>
      </c>
      <c r="D6" s="2498" t="s">
        <v>2465</v>
      </c>
      <c r="E6" s="784" t="s">
        <v>1739</v>
      </c>
      <c r="F6" s="785" t="e">
        <f ca="1">INDIRECT("'数据-取费表'!u"&amp;$G$1)</f>
        <v>#N/A</v>
      </c>
      <c r="G6" s="1592"/>
      <c r="H6" s="2505" t="s">
        <v>2471</v>
      </c>
      <c r="I6" s="3477" t="s">
        <v>2466</v>
      </c>
      <c r="J6" s="783" t="e">
        <f ca="1">ROUND(M6*M8*M7*(1-M9)/10000,0)</f>
        <v>#N/A</v>
      </c>
      <c r="K6" s="341" t="s">
        <v>1738</v>
      </c>
      <c r="L6" s="784" t="s">
        <v>1739</v>
      </c>
      <c r="M6" s="785" t="e">
        <f ca="1">INDIRECT("'数据-取费表'!z"&amp;$G$1)</f>
        <v>#N/A</v>
      </c>
    </row>
    <row r="7" spans="1:33" ht="18" customHeight="1">
      <c r="A7" s="2501"/>
      <c r="B7" s="3478"/>
      <c r="C7" s="788"/>
      <c r="D7" s="789"/>
      <c r="E7" s="784" t="s">
        <v>1740</v>
      </c>
      <c r="F7" s="785" t="e">
        <f ca="1">IF(INDIRECT("'数据-取费表'!ah"&amp;$G$1)="",INDIRECT("'数据-取费表'!k"&amp;$G$1),INDIRECT("'数据-取费表'!ah"&amp;$G$1))</f>
        <v>#N/A</v>
      </c>
      <c r="G7" s="1592"/>
      <c r="H7" s="2490"/>
      <c r="I7" s="3478"/>
      <c r="J7" s="788"/>
      <c r="K7" s="789"/>
      <c r="L7" s="784" t="s">
        <v>1740</v>
      </c>
      <c r="M7" s="785" t="e">
        <f ca="1">F7</f>
        <v>#N/A</v>
      </c>
    </row>
    <row r="8" spans="1:33" ht="18" customHeight="1">
      <c r="A8" s="2494"/>
      <c r="B8" s="3479"/>
      <c r="C8" s="788"/>
      <c r="D8" s="789"/>
      <c r="E8" s="784" t="s">
        <v>1741</v>
      </c>
      <c r="F8" s="785" t="e">
        <f ca="1">INDIRECT("'数据-取费表'!ai"&amp;$G$1)</f>
        <v>#N/A</v>
      </c>
      <c r="G8" s="1592"/>
      <c r="H8" s="2490"/>
      <c r="I8" s="3479"/>
      <c r="J8" s="788"/>
      <c r="K8" s="789"/>
      <c r="L8" s="784" t="s">
        <v>1741</v>
      </c>
      <c r="M8" s="785" t="e">
        <f ca="1">INDIRECT("'数据-取费表'!ai"&amp;$G$1)</f>
        <v>#N/A</v>
      </c>
    </row>
    <row r="9" spans="1:33" ht="18" customHeight="1">
      <c r="A9" s="786"/>
      <c r="B9" s="3480"/>
      <c r="C9" s="788"/>
      <c r="D9" s="789"/>
      <c r="E9" s="784" t="s">
        <v>1742</v>
      </c>
      <c r="F9" s="794" t="e">
        <f ca="1">INDIRECT("'数据-取费表'!w"&amp;$G$1)</f>
        <v>#N/A</v>
      </c>
      <c r="G9" s="1592"/>
      <c r="H9" s="2506"/>
      <c r="I9" s="3479"/>
      <c r="J9" s="788"/>
      <c r="K9" s="789"/>
      <c r="L9" s="795" t="s">
        <v>1742</v>
      </c>
      <c r="M9" s="796" t="e">
        <f ca="1">INDIRECT("'数据-取费表'!ab"&amp;$G$1)</f>
        <v>#N/A</v>
      </c>
    </row>
    <row r="10" spans="1:33" ht="18" customHeight="1">
      <c r="A10" s="1831" t="s">
        <v>2469</v>
      </c>
      <c r="B10" s="2495" t="s">
        <v>2462</v>
      </c>
      <c r="C10" s="799" t="e">
        <f ca="1">ROUND(IF(F10="押一",C6/12*F11,IF(F10="押二",C6/12*2*F11,IF(F10="押三",C6/12*3*F11,C11*F11))),0)</f>
        <v>#N/A</v>
      </c>
      <c r="D10" s="2502" t="s">
        <v>2981</v>
      </c>
      <c r="E10" s="2499" t="s">
        <v>2467</v>
      </c>
      <c r="F10" s="2622" t="s">
        <v>3078</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t="e">
        <f ca="1">ROUND(C29*F13,0)</f>
        <v>#N/A</v>
      </c>
      <c r="D13" s="1835" t="s">
        <v>2300</v>
      </c>
      <c r="E13" s="1835" t="s">
        <v>1745</v>
      </c>
      <c r="F13" s="2537" t="e">
        <f ca="1">INDIRECT("'数据-取费表'!y"&amp;$G$1)</f>
        <v>#N/A</v>
      </c>
      <c r="G13" s="1592"/>
      <c r="H13" s="1830">
        <v>2</v>
      </c>
      <c r="I13" s="1828" t="s">
        <v>1743</v>
      </c>
      <c r="J13" s="1820" t="e">
        <f ca="1">ROUND(J14*J15,0)</f>
        <v>#N/A</v>
      </c>
      <c r="K13" s="1822" t="s">
        <v>1744</v>
      </c>
      <c r="L13" s="2553"/>
      <c r="M13" s="2554"/>
    </row>
    <row r="14" spans="1:33" ht="18" customHeight="1">
      <c r="A14" s="1648" t="s">
        <v>1885</v>
      </c>
      <c r="B14" s="784" t="s">
        <v>645</v>
      </c>
      <c r="C14" s="804" t="e">
        <f ca="1">INDIRECT("'数据-取费表'!m"&amp;$G$1)+INDIRECT("'数据-取费表'!t"&amp;$G$1)</f>
        <v>#N/A</v>
      </c>
      <c r="D14" s="3193" t="s">
        <v>1746</v>
      </c>
      <c r="E14" s="3192"/>
      <c r="F14" s="805"/>
      <c r="G14" s="1592"/>
      <c r="H14" s="1649" t="s">
        <v>1831</v>
      </c>
      <c r="I14" s="2232" t="s">
        <v>2829</v>
      </c>
      <c r="J14" s="53" t="e">
        <f ca="1">C29</f>
        <v>#N/A</v>
      </c>
      <c r="K14" s="26"/>
      <c r="L14" s="801"/>
      <c r="M14" s="802"/>
    </row>
    <row r="15" spans="1:33" s="2065" customFormat="1" ht="18" customHeight="1" thickBot="1">
      <c r="A15" s="1648" t="s">
        <v>1886</v>
      </c>
      <c r="B15" s="784" t="s">
        <v>647</v>
      </c>
      <c r="C15" s="53" t="e">
        <f ca="1">ROUND(C14*F15,0)</f>
        <v>#N/A</v>
      </c>
      <c r="D15" s="806" t="s">
        <v>1747</v>
      </c>
      <c r="E15" s="806" t="s">
        <v>1748</v>
      </c>
      <c r="F15" s="807">
        <f>'数据-取费表'!B33</f>
        <v>0.03</v>
      </c>
      <c r="G15" s="1593"/>
      <c r="H15" s="2552" t="s">
        <v>1890</v>
      </c>
      <c r="I15" s="2547" t="s">
        <v>1745</v>
      </c>
      <c r="J15" s="2556" t="e">
        <f ca="1">INDIRECT("'数据-取费表'!ad"&amp;$G$1)</f>
        <v>#N/A</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30" t="s">
        <v>1749</v>
      </c>
      <c r="I16" s="1828" t="s">
        <v>1750</v>
      </c>
      <c r="J16" s="792" t="e">
        <f ca="1">ROUND(J17+J22+J23+J24,0)</f>
        <v>#N/A</v>
      </c>
      <c r="K16" s="1822" t="s">
        <v>1751</v>
      </c>
      <c r="L16" s="3195"/>
      <c r="M16" s="2492"/>
    </row>
    <row r="17" spans="1:33" s="2065" customFormat="1" ht="18" customHeight="1">
      <c r="A17" s="1648" t="s">
        <v>1888</v>
      </c>
      <c r="B17" s="784" t="s">
        <v>653</v>
      </c>
      <c r="C17" s="53" t="e">
        <f ca="1">ROUND(F17*(F43+INDIRECT("'数据-取费表'!S"&amp;$G$1))/10000,0)</f>
        <v>#N/A</v>
      </c>
      <c r="D17" s="784" t="s">
        <v>1752</v>
      </c>
      <c r="E17" s="784" t="s">
        <v>1753</v>
      </c>
      <c r="F17" s="56">
        <f>'数据-取费表'!B35</f>
        <v>150</v>
      </c>
      <c r="G17" s="1593"/>
      <c r="H17" s="1649" t="s">
        <v>1831</v>
      </c>
      <c r="I17" s="784" t="s">
        <v>656</v>
      </c>
      <c r="J17" s="53" t="e">
        <f ca="1">ROUND(IF(项目基本情况!B11="自然人",J5*M17,J18+J19+J20),0)</f>
        <v>#N/A</v>
      </c>
      <c r="K17" s="3193" t="s">
        <v>1754</v>
      </c>
      <c r="L17" s="3194" t="s">
        <v>1755</v>
      </c>
      <c r="M17" s="810" t="e">
        <f ca="1">IF(项目基本情况!B11="企业","",IF(INDIRECT("'数据-取费表'!c"&amp;$G$1)="住宅",5%,IF(M6*M7*M8/12/(1+'数据-取费表'!C42)&gt;20000,12%,7%)))</f>
        <v>#N/A</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t="e">
        <f ca="1">SUM(C14:C18)</f>
        <v>#N/A</v>
      </c>
      <c r="D19" s="261" t="s">
        <v>1758</v>
      </c>
      <c r="E19" s="3196"/>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t="e">
        <f ca="1">INDIRECT("'数据-取费表'!r"&amp;$G$1)</f>
        <v>#N/A</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t="e">
        <f ca="1">ROUND(J14*M22,0)</f>
        <v>#N/A</v>
      </c>
      <c r="K22" s="3194" t="s">
        <v>1770</v>
      </c>
      <c r="L22" s="784" t="s">
        <v>1748</v>
      </c>
      <c r="M22" s="817" t="e">
        <f ca="1">INDIRECT("'数据-取费表'!Ak"&amp;$G$1)</f>
        <v>#N/A</v>
      </c>
    </row>
    <row r="23" spans="1:33" s="2065" customFormat="1" ht="18" customHeight="1">
      <c r="A23" s="1648" t="s">
        <v>1832</v>
      </c>
      <c r="B23" s="784" t="s">
        <v>2538</v>
      </c>
      <c r="C23" s="53" t="e">
        <f ca="1">ROUND(IF('数据-取费表'!B22&lt;=1,(C19+C20)*F24*F23/2,(C19+C20)*(POWER((1+F24),F23/2)-1)),0)</f>
        <v>#N/A</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t="e">
        <f ca="1">ROUND(J13*M23,0)</f>
        <v>#N/A</v>
      </c>
      <c r="K23" s="3194" t="s">
        <v>1772</v>
      </c>
      <c r="L23" s="784" t="s">
        <v>1748</v>
      </c>
      <c r="M23" s="818" t="e">
        <f ca="1">INDIRECT("'数据-取费表'!Al"&amp;$G$1)</f>
        <v>#N/A</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t="e">
        <f ca="1">ROUND(J5*M24,0)</f>
        <v>#N/A</v>
      </c>
      <c r="K24" s="2546" t="s">
        <v>1775</v>
      </c>
      <c r="L24" s="2547" t="s">
        <v>1748</v>
      </c>
      <c r="M24" s="2543" t="e">
        <f ca="1">INDIRECT("'数据-取费表'!Am"&amp;$G$1)</f>
        <v>#N/A</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t="e">
        <f ca="1">J5-J16</f>
        <v>#N/A</v>
      </c>
      <c r="K25" s="2549" t="s">
        <v>1778</v>
      </c>
      <c r="L25" s="2550"/>
      <c r="M25" s="2551"/>
    </row>
    <row r="26" spans="1:33" ht="18" customHeight="1">
      <c r="A26" s="1648" t="s">
        <v>1832</v>
      </c>
      <c r="B26" s="784" t="s">
        <v>2441</v>
      </c>
      <c r="C26" s="53" t="e">
        <f ca="1">ROUND((C19+C20)*F26,0)</f>
        <v>#N/A</v>
      </c>
      <c r="D26" s="812" t="s">
        <v>1779</v>
      </c>
      <c r="E26" s="795" t="s">
        <v>1780</v>
      </c>
      <c r="F26" s="794" t="e">
        <f ca="1">INDIRECT("'数据-取费表'!q"&amp;$G$1)</f>
        <v>#N/A</v>
      </c>
      <c r="G26" s="1592"/>
      <c r="H26" s="2503" t="s">
        <v>1781</v>
      </c>
      <c r="I26" s="2233" t="s">
        <v>2830</v>
      </c>
      <c r="J26" s="783" t="e">
        <f ca="1">IF(J5&lt;&gt;0,ROUND(J25*(1-((1+M28)/(1+M26))^M27)/(M26-M28),0),0)</f>
        <v>#N/A</v>
      </c>
      <c r="K26" s="814" t="s">
        <v>1782</v>
      </c>
      <c r="L26" s="784" t="s">
        <v>2422</v>
      </c>
      <c r="M26" s="794" t="e">
        <f ca="1">INDIRECT("'数据-取费表'!I"&amp;$G$1)</f>
        <v>#N/A</v>
      </c>
    </row>
    <row r="27" spans="1:33" ht="18" customHeight="1">
      <c r="A27" s="1648" t="s">
        <v>1833</v>
      </c>
      <c r="B27" s="784" t="s">
        <v>686</v>
      </c>
      <c r="C27" s="53" t="e">
        <f ca="1">ROUND(F21*F26,4)</f>
        <v>#N/A</v>
      </c>
      <c r="D27" s="812" t="s">
        <v>1783</v>
      </c>
      <c r="E27" s="806"/>
      <c r="F27" s="807"/>
      <c r="G27" s="1592"/>
      <c r="H27" s="2504"/>
      <c r="I27" s="787"/>
      <c r="J27" s="788"/>
      <c r="K27" s="821" t="s">
        <v>1784</v>
      </c>
      <c r="L27" s="784" t="s">
        <v>1785</v>
      </c>
      <c r="M27" s="822" t="e">
        <f ca="1">INDIRECT("'数据-取费表'!ag"&amp;$G$1)</f>
        <v>#N/A</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t="e">
        <f ca="1">INDIRECT("'数据-取费表'!aa"&amp;$G$1)</f>
        <v>#N/A</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t="e">
        <f ca="1">ROUND((C19+C20+C23+C26)/(1-F21-C24-C27-C28),0)</f>
        <v>#N/A</v>
      </c>
      <c r="D29" s="2546"/>
      <c r="E29" s="2547"/>
      <c r="F29" s="2548"/>
      <c r="G29" s="1593"/>
      <c r="H29" s="823" t="s">
        <v>1788</v>
      </c>
      <c r="I29" s="824" t="s">
        <v>1789</v>
      </c>
      <c r="J29" s="825" t="e">
        <f ca="1">ROUND(J26/(1+F40)^F41,0)</f>
        <v>#N/A</v>
      </c>
      <c r="K29" s="826" t="s">
        <v>1790</v>
      </c>
      <c r="L29" s="827"/>
      <c r="M29" s="828" t="e">
        <f ca="1">INDIRECT("'数据-取费表'!k"&amp;$G$1)</f>
        <v>#N/A</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3195"/>
      <c r="F30" s="2492"/>
      <c r="G30" s="2063"/>
      <c r="H30" s="2066"/>
      <c r="I30" s="2067"/>
      <c r="J30" s="2068"/>
      <c r="K30" s="2069"/>
      <c r="L30" s="2070"/>
      <c r="M30" s="2071"/>
    </row>
    <row r="31" spans="1:33" ht="18" customHeight="1">
      <c r="A31" s="1649" t="s">
        <v>1831</v>
      </c>
      <c r="B31" s="784" t="s">
        <v>656</v>
      </c>
      <c r="C31" s="53" t="e">
        <f ca="1">ROUND(IF(项目基本情况!B11="自然人",C5*F31,C32+C33+C34),1)</f>
        <v>#N/A</v>
      </c>
      <c r="D31" s="3193" t="s">
        <v>1793</v>
      </c>
      <c r="E31" s="3194"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8" t="s">
        <v>1832</v>
      </c>
      <c r="B32" s="784" t="s">
        <v>1795</v>
      </c>
      <c r="C32" s="53" t="e">
        <f ca="1">ROUND(C5*F32/1.05,1)</f>
        <v>#N/A</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t="e">
        <f ca="1">IF(D33="按租金收入计税",ROUND(C5*F33,1),IF(D33="按房产原值计税",ROUND(C29*F33*0.7,1),INDIRECT("'数据-取费表'!Aj"&amp;$G$1)))</f>
        <v>#N/A</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t="e">
        <f ca="1">ROUND(F34*F35/10000,1)</f>
        <v>#N/A</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49" t="s">
        <v>1890</v>
      </c>
      <c r="B36" s="784" t="s">
        <v>1803</v>
      </c>
      <c r="C36" s="53" t="e">
        <f ca="1">ROUND(C29*F36,1)</f>
        <v>#N/A</v>
      </c>
      <c r="D36" s="3194" t="s">
        <v>1804</v>
      </c>
      <c r="E36" s="784" t="s">
        <v>1797</v>
      </c>
      <c r="F36" s="817" t="e">
        <f ca="1">INDIRECT("'数据-取费表'!Ak"&amp;$G$1)</f>
        <v>#N/A</v>
      </c>
      <c r="G36" s="2063"/>
      <c r="H36" s="2078"/>
      <c r="I36" s="839" t="s">
        <v>1816</v>
      </c>
      <c r="J36" s="840" t="e">
        <f ca="1">INDIRECT("'数据-取费表'!j"&amp;$G$1)</f>
        <v>#N/A</v>
      </c>
      <c r="K36" s="2083"/>
      <c r="L36" s="2078"/>
      <c r="M36" s="2078"/>
    </row>
    <row r="37" spans="1:18" ht="18" customHeight="1">
      <c r="A37" s="1649" t="s">
        <v>1891</v>
      </c>
      <c r="B37" s="784" t="s">
        <v>679</v>
      </c>
      <c r="C37" s="53" t="e">
        <f ca="1">ROUND(C13*F37,1)</f>
        <v>#N/A</v>
      </c>
      <c r="D37" s="3194" t="s">
        <v>1805</v>
      </c>
      <c r="E37" s="784" t="s">
        <v>1797</v>
      </c>
      <c r="F37" s="818" t="e">
        <f ca="1">INDIRECT("'数据-取费表'!Al"&amp;$G$1)</f>
        <v>#N/A</v>
      </c>
      <c r="G37" s="2063"/>
      <c r="H37" s="2078"/>
      <c r="I37" s="841" t="s">
        <v>1817</v>
      </c>
      <c r="J37" s="842"/>
      <c r="K37" s="2083"/>
      <c r="L37" s="2078"/>
      <c r="M37" s="2078"/>
    </row>
    <row r="38" spans="1:18" ht="18" customHeight="1" thickBot="1">
      <c r="A38" s="2552" t="s">
        <v>1892</v>
      </c>
      <c r="B38" s="2547" t="s">
        <v>666</v>
      </c>
      <c r="C38" s="2545" t="e">
        <f ca="1">ROUND(C5*F38,1)</f>
        <v>#N/A</v>
      </c>
      <c r="D38" s="2546" t="s">
        <v>1775</v>
      </c>
      <c r="E38" s="2547" t="s">
        <v>1797</v>
      </c>
      <c r="F38" s="2543" t="e">
        <f ca="1">INDIRECT("'数据-取费表'!Am"&amp;$G$1)</f>
        <v>#N/A</v>
      </c>
      <c r="G38" s="2063"/>
      <c r="H38" s="2078"/>
      <c r="I38" s="843" t="s">
        <v>1818</v>
      </c>
      <c r="J38" s="844"/>
      <c r="K38" s="2084"/>
      <c r="L38" s="2078"/>
      <c r="M38" s="2078"/>
    </row>
    <row r="39" spans="1:18" ht="24.6" customHeight="1" thickTop="1">
      <c r="A39" s="1830" t="s">
        <v>1895</v>
      </c>
      <c r="B39" s="3011" t="s">
        <v>2825</v>
      </c>
      <c r="C39" s="792" t="e">
        <f ca="1">C5-C30</f>
        <v>#N/A</v>
      </c>
      <c r="D39" s="2549" t="s">
        <v>1778</v>
      </c>
      <c r="E39" s="2550"/>
      <c r="F39" s="2551"/>
      <c r="G39" s="2063"/>
      <c r="H39" s="2078"/>
      <c r="I39" s="837" t="s">
        <v>1819</v>
      </c>
      <c r="J39" s="845" t="e">
        <f ca="1">ROUND(J35/C39,3)</f>
        <v>#N/A</v>
      </c>
      <c r="K39" s="2084"/>
      <c r="L39" s="2078"/>
      <c r="M39" s="2078"/>
    </row>
    <row r="40" spans="1:18" ht="18" customHeight="1">
      <c r="A40" s="781" t="s">
        <v>1896</v>
      </c>
      <c r="B40" s="2233" t="s">
        <v>2304</v>
      </c>
      <c r="C40" s="783" t="e">
        <f ca="1">ROUND(C39*(1-((1+F42)/(1+F40))^F41)/(F40-F42),0)</f>
        <v>#N/A</v>
      </c>
      <c r="D40" s="814" t="s">
        <v>1808</v>
      </c>
      <c r="E40" s="784" t="s">
        <v>2422</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2971</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#N/A</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t="e">
        <f ca="1">C48+C52+C54</f>
        <v>#N/A</v>
      </c>
      <c r="D47" s="2086"/>
      <c r="E47" s="2086"/>
      <c r="F47" s="2086"/>
      <c r="I47" s="3152" t="s">
        <v>2347</v>
      </c>
      <c r="J47" s="2382" t="s">
        <v>3079</v>
      </c>
      <c r="K47" s="3159" t="s">
        <v>2352</v>
      </c>
      <c r="L47" s="3163" t="e">
        <f ca="1">INDIRECT("'数据-取费表'!d"&amp;$G$1)</f>
        <v>#N/A</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t="e">
        <f ca="1">ROUND(F48*F50*F49*(1-F51)/10000,0)</f>
        <v>#N/A</v>
      </c>
      <c r="D48" s="2376" t="s">
        <v>636</v>
      </c>
      <c r="E48" s="2377" t="s">
        <v>2299</v>
      </c>
      <c r="F48" s="2378"/>
      <c r="G48" s="2091"/>
      <c r="I48" s="3128" t="s">
        <v>2348</v>
      </c>
      <c r="J48" s="2383" t="s">
        <v>2353</v>
      </c>
      <c r="K48" s="3160" t="s">
        <v>2354</v>
      </c>
      <c r="L48" s="1909" t="e">
        <f ca="1">INDIRECT("'数据-取费表'!f"&amp;$G$1)</f>
        <v>#N/A</v>
      </c>
      <c r="O48" s="2399" t="s">
        <v>2382</v>
      </c>
      <c r="P48" s="2400" t="s">
        <v>2408</v>
      </c>
      <c r="Q48" s="2401" t="e">
        <f ca="1">C40+J29</f>
        <v>#N/A</v>
      </c>
      <c r="R48" s="2400" t="s">
        <v>2383</v>
      </c>
    </row>
    <row r="49" spans="1:18" s="2060" customFormat="1" ht="18" customHeight="1" thickBot="1">
      <c r="A49" s="786"/>
      <c r="B49" s="787"/>
      <c r="C49" s="788"/>
      <c r="D49" s="789"/>
      <c r="E49" s="784" t="s">
        <v>1740</v>
      </c>
      <c r="F49" s="785" t="e">
        <f ca="1">F7</f>
        <v>#N/A</v>
      </c>
      <c r="G49" s="2091"/>
      <c r="H49" s="2094"/>
      <c r="I49" s="3128" t="s">
        <v>2349</v>
      </c>
      <c r="J49" s="2384">
        <v>2021</v>
      </c>
      <c r="K49" s="3161" t="s">
        <v>2355</v>
      </c>
      <c r="L49" s="2385"/>
      <c r="O49" s="2399" t="s">
        <v>2384</v>
      </c>
      <c r="P49" s="2400" t="s">
        <v>2409</v>
      </c>
      <c r="Q49" s="2401" t="e">
        <f ca="1">J60</f>
        <v>#N/A</v>
      </c>
      <c r="R49" s="2400" t="s">
        <v>2385</v>
      </c>
    </row>
    <row r="50" spans="1:18" s="2060" customFormat="1" ht="18" customHeight="1" thickBot="1">
      <c r="A50" s="786"/>
      <c r="B50" s="787"/>
      <c r="C50" s="788"/>
      <c r="D50" s="789"/>
      <c r="E50" s="784" t="s">
        <v>1741</v>
      </c>
      <c r="F50" s="785" t="e">
        <f ca="1">F8</f>
        <v>#N/A</v>
      </c>
      <c r="G50" s="2096"/>
      <c r="H50" s="2094"/>
      <c r="I50" s="3128" t="s">
        <v>2350</v>
      </c>
      <c r="J50" s="3156">
        <f>SUMPRODUCT((I63:I65=J47)*(J62:L62=J48)*(J63:L65))</f>
        <v>60</v>
      </c>
      <c r="K50" s="3161" t="s">
        <v>2356</v>
      </c>
      <c r="L50" s="2385"/>
      <c r="O50" s="2402" t="s">
        <v>2386</v>
      </c>
      <c r="P50" s="2400" t="s">
        <v>2410</v>
      </c>
      <c r="Q50" s="2401" t="e">
        <f ca="1">C29</f>
        <v>#N/A</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t="e">
        <f ca="1">ROUND(-PV(INDIRECT("'数据-取费表'!h"&amp;$G$1),L48,(C39-C13*J36),0),0)</f>
        <v>#N/A</v>
      </c>
      <c r="O51" s="2402" t="s">
        <v>2387</v>
      </c>
      <c r="P51" s="2400" t="s">
        <v>2388</v>
      </c>
      <c r="Q51" s="2403" t="e">
        <f ca="1">J58</f>
        <v>#N/A</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t="e">
        <f ca="1">IF(M47="住宅",IF(D1="——",MAX(J51,L48),MAX(J51,L48-'数据-取费表'!B20)),IF(D1="——",MIN(J51,L48),MIN(J51,L48-'数据-取费表'!B20)))</f>
        <v>#N/A</v>
      </c>
      <c r="K53" s="3519" t="s">
        <v>2973</v>
      </c>
      <c r="L53" s="3520"/>
      <c r="O53" s="2402" t="s">
        <v>2391</v>
      </c>
      <c r="P53" s="2400" t="s">
        <v>2392</v>
      </c>
      <c r="Q53" s="2401" t="e">
        <f ca="1">J53</f>
        <v>#N/A</v>
      </c>
      <c r="R53" s="2400" t="s">
        <v>2393</v>
      </c>
    </row>
    <row r="54" spans="1:18" s="2060" customFormat="1" ht="18" customHeight="1" thickBot="1">
      <c r="A54" s="2538" t="s">
        <v>2470</v>
      </c>
      <c r="B54" s="2539" t="s">
        <v>2463</v>
      </c>
      <c r="C54" s="2540"/>
      <c r="D54" s="2502"/>
      <c r="E54" s="2499"/>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99" t="s">
        <v>2394</v>
      </c>
      <c r="P54" s="2400" t="s">
        <v>2411</v>
      </c>
      <c r="Q54" s="2401" t="e">
        <f ca="1">Q48+Q49</f>
        <v>#N/A</v>
      </c>
      <c r="R54" s="2404" t="s">
        <v>2395</v>
      </c>
    </row>
    <row r="55" spans="1:18" s="2060" customFormat="1" ht="18" customHeight="1" thickTop="1" thickBot="1">
      <c r="A55" s="797">
        <v>2</v>
      </c>
      <c r="B55" s="798" t="s">
        <v>644</v>
      </c>
      <c r="C55" s="799" t="e">
        <f ca="1">C13</f>
        <v>#N/A</v>
      </c>
      <c r="D55" s="795"/>
      <c r="E55" s="795"/>
      <c r="F55" s="800"/>
      <c r="I55" s="3167" t="s">
        <v>2358</v>
      </c>
      <c r="J55" s="3103" t="e">
        <f ca="1">ROUND(IF(J47="钢混",J57/J50,1-(1-2%)*(J50-J57)/J50),3)</f>
        <v>#N/A</v>
      </c>
      <c r="K55" s="3168" t="s">
        <v>2359</v>
      </c>
      <c r="L55" s="2387"/>
      <c r="O55" s="2405" t="s">
        <v>2414</v>
      </c>
      <c r="P55" s="1592"/>
      <c r="Q55" s="1604"/>
      <c r="R55" s="1592"/>
    </row>
    <row r="56" spans="1:18" s="2060" customFormat="1" ht="42.75" customHeight="1" thickBot="1">
      <c r="A56" s="1650"/>
      <c r="B56" s="2232" t="s">
        <v>2305</v>
      </c>
      <c r="C56" s="53" t="e">
        <f ca="1">C29</f>
        <v>#N/A</v>
      </c>
      <c r="D56" s="3194"/>
      <c r="E56" s="784"/>
      <c r="F56" s="809"/>
      <c r="I56" s="3169" t="s">
        <v>2360</v>
      </c>
      <c r="J56" s="3179" t="s">
        <v>1679</v>
      </c>
      <c r="K56" s="3128" t="s">
        <v>2365</v>
      </c>
      <c r="L56" s="1909" t="e">
        <f ca="1">IF(L48&lt;J51,"——",L48-J51)</f>
        <v>#N/A</v>
      </c>
      <c r="O56" s="2396" t="s">
        <v>2378</v>
      </c>
      <c r="P56" s="2397" t="s">
        <v>2379</v>
      </c>
      <c r="Q56" s="2398" t="s">
        <v>2380</v>
      </c>
      <c r="R56" s="2397" t="s">
        <v>2381</v>
      </c>
    </row>
    <row r="57" spans="1:18" s="2060" customFormat="1" ht="28.5" customHeight="1" thickBot="1">
      <c r="A57" s="797" t="s">
        <v>1749</v>
      </c>
      <c r="B57" s="798" t="s">
        <v>651</v>
      </c>
      <c r="C57" s="799" t="e">
        <f ca="1">ROUND(C58+C63+C64+C65,0)</f>
        <v>#N/A</v>
      </c>
      <c r="D57" s="26" t="s">
        <v>1751</v>
      </c>
      <c r="E57" s="3196"/>
      <c r="F57" s="56"/>
      <c r="I57" s="3170" t="s">
        <v>2361</v>
      </c>
      <c r="J57" s="3171" t="e">
        <f ca="1">IF(OR(M47="住宅",J51&lt;L48,J56="是"),"——",J51-L48)</f>
        <v>#N/A</v>
      </c>
      <c r="K57" s="3128" t="s">
        <v>2366</v>
      </c>
      <c r="L57" s="1909" t="e">
        <f ca="1">IF(L48&lt;J51,"——",IF(L55="比较法",L49,IF(L55="基准地价",L50,L51)))</f>
        <v>#N/A</v>
      </c>
      <c r="O57" s="2399" t="s">
        <v>2382</v>
      </c>
      <c r="P57" s="2400" t="s">
        <v>2412</v>
      </c>
      <c r="Q57" s="2401" t="e">
        <f ca="1">C40+J29</f>
        <v>#N/A</v>
      </c>
      <c r="R57" s="2400" t="s">
        <v>2383</v>
      </c>
    </row>
    <row r="58" spans="1:18" s="2060" customFormat="1" ht="28.5" customHeight="1" thickBot="1">
      <c r="A58" s="1649" t="s">
        <v>1825</v>
      </c>
      <c r="B58" s="784" t="s">
        <v>656</v>
      </c>
      <c r="C58" s="53" t="e">
        <f ca="1">ROUND(IF(项目基本情况!B11="自然人",C47*F58,C59+C60+C61),1)</f>
        <v>#N/A</v>
      </c>
      <c r="D58" s="3193" t="s">
        <v>657</v>
      </c>
      <c r="E58" s="3194" t="s">
        <v>690</v>
      </c>
      <c r="F58" s="810" t="e">
        <f ca="1">IF(项目基本情况!B11="企业","",IF(INDIRECT("'数据-取费表'!c"&amp;$G$1)="住宅",5%,IF(F48*F49*F50/12/(1+'数据-取费表'!C42)&gt;20000,12%,7%)))</f>
        <v>#N/A</v>
      </c>
      <c r="I58" s="3170" t="s">
        <v>2362</v>
      </c>
      <c r="J58" s="3104" t="e">
        <f ca="1">IF(J55&lt;0.4,0.4,J55)</f>
        <v>#N/A</v>
      </c>
      <c r="K58" s="3128" t="s">
        <v>2367</v>
      </c>
      <c r="L58" s="1909" t="e">
        <f ca="1">ROUND(POWER(1+L52,L47-L48)*(POWER(1+L52,L48)-1)/(POWER(1+L52,L47)-1),4)</f>
        <v>#N/A</v>
      </c>
      <c r="O58" s="2399" t="s">
        <v>2384</v>
      </c>
      <c r="P58" s="2400" t="s">
        <v>2415</v>
      </c>
      <c r="Q58" s="2401" t="e">
        <f ca="1">L60</f>
        <v>#N/A</v>
      </c>
      <c r="R58" s="2404" t="s">
        <v>2417</v>
      </c>
    </row>
    <row r="59" spans="1:18" s="2060" customFormat="1" ht="28.5" customHeight="1" thickBot="1">
      <c r="A59" s="1648" t="s">
        <v>1832</v>
      </c>
      <c r="B59" s="784" t="s">
        <v>660</v>
      </c>
      <c r="C59" s="53" t="e">
        <f ca="1">ROUND(C47*F59/1.05,1)</f>
        <v>#N/A</v>
      </c>
      <c r="D59" s="3194" t="s">
        <v>1757</v>
      </c>
      <c r="E59" s="784" t="s">
        <v>1748</v>
      </c>
      <c r="F59" s="809">
        <f t="shared" ref="F59:F65" si="0">F32</f>
        <v>5.6000000000000001E-2</v>
      </c>
      <c r="I59" s="3170" t="s">
        <v>2363</v>
      </c>
      <c r="J59" s="3171" t="e">
        <f ca="1">IF(OR(M47="住宅",J51&lt;L48,J56="是"),"——",ROUND(C29*J58,0))</f>
        <v>#N/A</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402" t="s">
        <v>2386</v>
      </c>
      <c r="P59" s="2400" t="s">
        <v>2416</v>
      </c>
      <c r="Q59" s="2401">
        <f>IF(L55="比较法",L49,IF(L55="基准地价",L50,0))</f>
        <v>0</v>
      </c>
      <c r="R59" s="2400" t="s">
        <v>2383</v>
      </c>
    </row>
    <row r="60" spans="1:18" s="2060" customFormat="1" ht="18" customHeight="1" thickBot="1">
      <c r="A60" s="1648" t="s">
        <v>1833</v>
      </c>
      <c r="B60" s="784" t="s">
        <v>1759</v>
      </c>
      <c r="C60" s="53" t="e">
        <f ca="1">IF(D60="按租金收入计税",ROUND(C47*F60,1),IF(D60="按房产原值计税",ROUND(C56*F60*0.7,1),INDIRECT("'数据-取费表'!Aj"&amp;$G$1)))</f>
        <v>#N/A</v>
      </c>
      <c r="D60" s="3194" t="str">
        <f>D33</f>
        <v>按租金收入计税</v>
      </c>
      <c r="E60" s="784" t="s">
        <v>1748</v>
      </c>
      <c r="F60" s="809">
        <f t="shared" si="0"/>
        <v>0.12</v>
      </c>
      <c r="I60" s="3172" t="s">
        <v>2364</v>
      </c>
      <c r="J60" s="3173" t="e">
        <f ca="1">IF(OR(M47="住宅",J51&lt;L48,J56="是"),"0",ROUND(J59/(1+J52)^J53,0))</f>
        <v>#N/A</v>
      </c>
      <c r="K60" s="3174" t="s">
        <v>2369</v>
      </c>
      <c r="L60" s="3173" t="e">
        <f ca="1">IF(OR(M47="住宅",L48&lt;J51),0,ROUND(L57*(L58/L59-1),0))</f>
        <v>#N/A</v>
      </c>
      <c r="O60" s="2402" t="s">
        <v>2387</v>
      </c>
      <c r="P60" s="2400" t="s">
        <v>2396</v>
      </c>
      <c r="Q60" s="2403">
        <f>L52</f>
        <v>0</v>
      </c>
      <c r="R60" s="2404"/>
    </row>
    <row r="61" spans="1:18" s="2060" customFormat="1" ht="18" customHeight="1" thickBot="1">
      <c r="A61" s="1651" t="s">
        <v>1834</v>
      </c>
      <c r="B61" s="341" t="s">
        <v>668</v>
      </c>
      <c r="C61" s="54" t="e">
        <f ca="1">ROUND(F61*F62/10000,1)</f>
        <v>#N/A</v>
      </c>
      <c r="D61" s="814" t="s">
        <v>669</v>
      </c>
      <c r="E61" s="784" t="s">
        <v>670</v>
      </c>
      <c r="F61" s="640">
        <f t="shared" si="0"/>
        <v>10</v>
      </c>
      <c r="K61" s="2087"/>
      <c r="O61" s="2402" t="s">
        <v>2389</v>
      </c>
      <c r="P61" s="2400" t="s">
        <v>2397</v>
      </c>
      <c r="Q61" s="2401" t="e">
        <f ca="1">L58</f>
        <v>#N/A</v>
      </c>
      <c r="R61" s="2404" t="s">
        <v>2398</v>
      </c>
    </row>
    <row r="62" spans="1:18" s="2060" customFormat="1" ht="15.75" thickBot="1">
      <c r="A62" s="815"/>
      <c r="B62" s="793"/>
      <c r="C62" s="69"/>
      <c r="D62" s="816"/>
      <c r="E62" s="784" t="s">
        <v>674</v>
      </c>
      <c r="F62" s="785" t="e">
        <f t="shared" ca="1" si="0"/>
        <v>#N/A</v>
      </c>
      <c r="I62" s="3175" t="s">
        <v>2370</v>
      </c>
      <c r="J62" s="3176" t="s">
        <v>2371</v>
      </c>
      <c r="K62" s="3176" t="s">
        <v>2372</v>
      </c>
      <c r="L62" s="3176" t="s">
        <v>2353</v>
      </c>
      <c r="M62" s="3177" t="s">
        <v>2949</v>
      </c>
      <c r="O62" s="2402" t="s">
        <v>2391</v>
      </c>
      <c r="P62" s="2400" t="str">
        <f>K59</f>
        <v>建设期及建筑物耐用年限下的土地年期修正系数Kn</v>
      </c>
      <c r="Q62" s="2401" t="e">
        <f ca="1">L59</f>
        <v>#N/A</v>
      </c>
      <c r="R62" s="2404" t="s">
        <v>2400</v>
      </c>
    </row>
    <row r="63" spans="1:18" s="2060" customFormat="1" ht="15.75" thickBot="1">
      <c r="A63" s="1649" t="s">
        <v>1890</v>
      </c>
      <c r="B63" s="784" t="s">
        <v>676</v>
      </c>
      <c r="C63" s="53" t="e">
        <f ca="1">ROUND(C56*F63,1)</f>
        <v>#N/A</v>
      </c>
      <c r="D63" s="3194" t="s">
        <v>1804</v>
      </c>
      <c r="E63" s="784" t="s">
        <v>1748</v>
      </c>
      <c r="F63" s="817" t="e">
        <f t="shared" ca="1" si="0"/>
        <v>#N/A</v>
      </c>
      <c r="I63" s="3175" t="s">
        <v>2373</v>
      </c>
      <c r="J63" s="3176">
        <v>70</v>
      </c>
      <c r="K63" s="3176">
        <v>50</v>
      </c>
      <c r="L63" s="3176">
        <v>80</v>
      </c>
      <c r="M63" s="3178">
        <v>0.02</v>
      </c>
      <c r="O63" s="2399" t="s">
        <v>2394</v>
      </c>
      <c r="P63" s="2400" t="s">
        <v>2411</v>
      </c>
      <c r="Q63" s="2401" t="e">
        <f ca="1">Q57+Q58</f>
        <v>#N/A</v>
      </c>
      <c r="R63" s="2404" t="s">
        <v>2395</v>
      </c>
    </row>
    <row r="64" spans="1:18" s="2060" customFormat="1" ht="16.5" thickBot="1">
      <c r="A64" s="1649" t="s">
        <v>1891</v>
      </c>
      <c r="B64" s="784" t="s">
        <v>679</v>
      </c>
      <c r="C64" s="53" t="e">
        <f ca="1">ROUND(C55*F64,1)</f>
        <v>#N/A</v>
      </c>
      <c r="D64" s="3194" t="s">
        <v>680</v>
      </c>
      <c r="E64" s="784" t="s">
        <v>1748</v>
      </c>
      <c r="F64" s="818" t="e">
        <f t="shared" ca="1" si="0"/>
        <v>#N/A</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t="e">
        <f ca="1">ROUND(C47*F65,1)</f>
        <v>#N/A</v>
      </c>
      <c r="D65" s="3194" t="s">
        <v>683</v>
      </c>
      <c r="E65" s="784" t="s">
        <v>1748</v>
      </c>
      <c r="F65" s="794" t="e">
        <f t="shared" ca="1" si="0"/>
        <v>#N/A</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t="e">
        <f ca="1">C47-C57</f>
        <v>#N/A</v>
      </c>
      <c r="D66" s="3193" t="s">
        <v>700</v>
      </c>
      <c r="E66" s="3191"/>
      <c r="F66" s="820"/>
      <c r="K66" s="2087"/>
      <c r="O66" s="2399" t="s">
        <v>2382</v>
      </c>
      <c r="P66" s="2400" t="s">
        <v>2412</v>
      </c>
      <c r="Q66" s="2401" t="e">
        <f ca="1">C40+J29</f>
        <v>#N/A</v>
      </c>
      <c r="R66" s="2400" t="s">
        <v>2383</v>
      </c>
    </row>
    <row r="67" spans="1:18" s="2060" customFormat="1" ht="20.25" thickBot="1">
      <c r="A67" s="781" t="s">
        <v>1781</v>
      </c>
      <c r="B67" s="2233" t="s">
        <v>2304</v>
      </c>
      <c r="C67" s="783" t="e">
        <f ca="1">ROUND(C66*(1-((1+F69)/(1+F67))^F68)/(F67-F69),0)</f>
        <v>#N/A</v>
      </c>
      <c r="D67" s="814" t="s">
        <v>704</v>
      </c>
      <c r="E67" s="784" t="s">
        <v>705</v>
      </c>
      <c r="F67" s="794" t="e">
        <f ca="1">F40</f>
        <v>#N/A</v>
      </c>
      <c r="K67" s="2087"/>
      <c r="O67" s="2399" t="s">
        <v>2384</v>
      </c>
      <c r="P67" s="2400" t="s">
        <v>2415</v>
      </c>
      <c r="Q67" s="2401" t="e">
        <f ca="1">L60</f>
        <v>#N/A</v>
      </c>
      <c r="R67" s="2404" t="s">
        <v>2417</v>
      </c>
    </row>
    <row r="68" spans="1:18" ht="21.75" thickBot="1">
      <c r="A68" s="786"/>
      <c r="B68" s="787"/>
      <c r="C68" s="788"/>
      <c r="D68" s="821" t="s">
        <v>1809</v>
      </c>
      <c r="E68" s="784" t="s">
        <v>1785</v>
      </c>
      <c r="F68" s="822" t="e">
        <f ca="1">F41</f>
        <v>#N/A</v>
      </c>
      <c r="O68" s="2402" t="s">
        <v>2386</v>
      </c>
      <c r="P68" s="2400" t="s">
        <v>2416</v>
      </c>
      <c r="Q68" s="2406" t="e">
        <f ca="1">L51</f>
        <v>#N/A</v>
      </c>
      <c r="R68" s="2407" t="s">
        <v>2419</v>
      </c>
    </row>
    <row r="69" spans="1:18" ht="20.25" thickBot="1">
      <c r="A69" s="790"/>
      <c r="B69" s="791"/>
      <c r="C69" s="792"/>
      <c r="D69" s="816"/>
      <c r="E69" s="784" t="s">
        <v>710</v>
      </c>
      <c r="F69" s="2372"/>
      <c r="O69" s="2402" t="s">
        <v>2387</v>
      </c>
      <c r="P69" s="2408" t="s">
        <v>2401</v>
      </c>
      <c r="Q69" s="2401" t="e">
        <f ca="1">ROUND(Q70-Q71*Q72,0)</f>
        <v>#N/A</v>
      </c>
      <c r="R69" s="2404"/>
    </row>
    <row r="70" spans="1:18" ht="15.75" thickBot="1">
      <c r="A70" s="823" t="s">
        <v>1788</v>
      </c>
      <c r="B70" s="824" t="s">
        <v>1811</v>
      </c>
      <c r="C70" s="825" t="e">
        <f ca="1">ROUND(C67*10000/F70,0)</f>
        <v>#N/A</v>
      </c>
      <c r="D70" s="826" t="s">
        <v>1812</v>
      </c>
      <c r="E70" s="827" t="s">
        <v>1813</v>
      </c>
      <c r="F70" s="828" t="e">
        <f ca="1">F43</f>
        <v>#N/A</v>
      </c>
      <c r="O70" s="2402" t="s">
        <v>2402</v>
      </c>
      <c r="P70" s="2408" t="s">
        <v>2403</v>
      </c>
      <c r="Q70" s="2401" t="e">
        <f ca="1">C39</f>
        <v>#N/A</v>
      </c>
      <c r="R70" s="2400" t="s">
        <v>2383</v>
      </c>
    </row>
    <row r="71" spans="1:18" ht="15.75" thickBot="1">
      <c r="O71" s="2402" t="s">
        <v>2404</v>
      </c>
      <c r="P71" s="2408" t="s">
        <v>2405</v>
      </c>
      <c r="Q71" s="2401" t="e">
        <f ca="1">C13</f>
        <v>#N/A</v>
      </c>
      <c r="R71" s="2400" t="s">
        <v>2383</v>
      </c>
    </row>
    <row r="72" spans="1:18" ht="15.75" thickBot="1">
      <c r="O72" s="2402" t="s">
        <v>2406</v>
      </c>
      <c r="P72" s="2408" t="s">
        <v>2407</v>
      </c>
      <c r="Q72" s="2403" t="e">
        <f ca="1">J36</f>
        <v>#N/A</v>
      </c>
      <c r="R72" s="2404"/>
    </row>
    <row r="73" spans="1:18" ht="15.75" thickBot="1">
      <c r="O73" s="2402" t="s">
        <v>2389</v>
      </c>
      <c r="P73" s="2400" t="s">
        <v>2396</v>
      </c>
      <c r="Q73" s="2403">
        <f>L52</f>
        <v>0</v>
      </c>
      <c r="R73" s="2404"/>
    </row>
    <row r="74" spans="1:18" ht="20.25" thickBot="1">
      <c r="O74" s="2402" t="s">
        <v>2391</v>
      </c>
      <c r="P74" s="2400" t="s">
        <v>2397</v>
      </c>
      <c r="Q74" s="2401" t="e">
        <f ca="1">L58</f>
        <v>#N/A</v>
      </c>
      <c r="R74" s="2404" t="s">
        <v>2398</v>
      </c>
    </row>
    <row r="75" spans="1:18" ht="15.75" thickBot="1">
      <c r="O75" s="2402" t="s">
        <v>2420</v>
      </c>
      <c r="P75" s="2400" t="str">
        <f>K59</f>
        <v>建设期及建筑物耐用年限下的土地年期修正系数Kn</v>
      </c>
      <c r="Q75" s="2401" t="e">
        <f ca="1">L59</f>
        <v>#N/A</v>
      </c>
      <c r="R75" s="2404" t="s">
        <v>2400</v>
      </c>
    </row>
    <row r="76" spans="1:18" ht="15.75" thickBot="1">
      <c r="O76" s="2399" t="s">
        <v>2394</v>
      </c>
      <c r="P76" s="2400" t="s">
        <v>2411</v>
      </c>
      <c r="Q76" s="2401" t="e">
        <f ca="1">Q66+Q67</f>
        <v>#N/A</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40" sqref="C4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27" t="s">
        <v>3077</v>
      </c>
      <c r="E1" s="2388" t="s">
        <v>2377</v>
      </c>
      <c r="F1" s="2389">
        <f ca="1">J53</f>
        <v>47.79</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2931</v>
      </c>
      <c r="C2" s="2058"/>
      <c r="D2" s="2056"/>
      <c r="E2" s="2057"/>
      <c r="F2" s="2057"/>
      <c r="G2" s="1590"/>
      <c r="H2" s="2058"/>
      <c r="I2" s="2058"/>
      <c r="J2" s="2058"/>
      <c r="K2" s="2059"/>
      <c r="L2" s="2058"/>
      <c r="M2" s="2058"/>
    </row>
    <row r="3" spans="1:33" ht="18" customHeight="1" thickBot="1">
      <c r="A3" s="833" t="s">
        <v>1728</v>
      </c>
      <c r="B3" s="834">
        <f ca="1">IF(ISERROR(B2*10000/F43),0,ROUND(B2*10000/F43,0))</f>
        <v>1513</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255</v>
      </c>
      <c r="D5" s="2497" t="s">
        <v>2464</v>
      </c>
      <c r="E5" s="2491"/>
      <c r="F5" s="2492"/>
      <c r="G5" s="1592"/>
      <c r="H5" s="781">
        <v>1</v>
      </c>
      <c r="I5" s="782" t="s">
        <v>2461</v>
      </c>
      <c r="J5" s="55">
        <f ca="1">J6+J10+J12</f>
        <v>0</v>
      </c>
      <c r="K5" s="2497" t="s">
        <v>2464</v>
      </c>
      <c r="L5" s="2491"/>
      <c r="M5" s="2492"/>
    </row>
    <row r="6" spans="1:33" ht="18" customHeight="1">
      <c r="A6" s="1831" t="s">
        <v>1825</v>
      </c>
      <c r="B6" s="3477" t="s">
        <v>2466</v>
      </c>
      <c r="C6" s="783">
        <f ca="1">ROUND(F6*F8*F7*(1-F9)/10000,0)</f>
        <v>255</v>
      </c>
      <c r="D6" s="2498" t="s">
        <v>2465</v>
      </c>
      <c r="E6" s="784" t="s">
        <v>1739</v>
      </c>
      <c r="F6" s="785">
        <f ca="1">INDIRECT("'数据-取费表'!u"&amp;$G$1)</f>
        <v>0.4</v>
      </c>
      <c r="G6" s="1592"/>
      <c r="H6" s="2505" t="s">
        <v>2471</v>
      </c>
      <c r="I6" s="3477" t="s">
        <v>2466</v>
      </c>
      <c r="J6" s="783">
        <f ca="1">ROUND(M6*M8*M7*(1-M9)/10000,0)</f>
        <v>0</v>
      </c>
      <c r="K6" s="341" t="s">
        <v>1738</v>
      </c>
      <c r="L6" s="784" t="s">
        <v>1739</v>
      </c>
      <c r="M6" s="785">
        <f ca="1">INDIRECT("'数据-取费表'!z"&amp;$G$1)</f>
        <v>0</v>
      </c>
    </row>
    <row r="7" spans="1:33" ht="18" customHeight="1">
      <c r="A7" s="2501"/>
      <c r="B7" s="3478"/>
      <c r="C7" s="788"/>
      <c r="D7" s="789"/>
      <c r="E7" s="784" t="s">
        <v>1740</v>
      </c>
      <c r="F7" s="785">
        <f ca="1">IF(INDIRECT("'数据-取费表'!ah"&amp;$G$1)="",INDIRECT("'数据-取费表'!k"&amp;$G$1),INDIRECT("'数据-取费表'!ah"&amp;$G$1))</f>
        <v>19375.689999999999</v>
      </c>
      <c r="G7" s="1592"/>
      <c r="H7" s="2490"/>
      <c r="I7" s="3478"/>
      <c r="J7" s="788"/>
      <c r="K7" s="789"/>
      <c r="L7" s="784" t="s">
        <v>1740</v>
      </c>
      <c r="M7" s="785">
        <f ca="1">F7</f>
        <v>19375.689999999999</v>
      </c>
    </row>
    <row r="8" spans="1:33" ht="18" customHeight="1">
      <c r="A8" s="2494"/>
      <c r="B8" s="3479"/>
      <c r="C8" s="788"/>
      <c r="D8" s="789"/>
      <c r="E8" s="784" t="s">
        <v>1741</v>
      </c>
      <c r="F8" s="785">
        <f ca="1">INDIRECT("'数据-取费表'!ai"&amp;$G$1)</f>
        <v>365</v>
      </c>
      <c r="G8" s="1592"/>
      <c r="H8" s="2490"/>
      <c r="I8" s="3479"/>
      <c r="J8" s="788"/>
      <c r="K8" s="789"/>
      <c r="L8" s="784" t="s">
        <v>1741</v>
      </c>
      <c r="M8" s="785">
        <f ca="1">INDIRECT("'数据-取费表'!ai"&amp;$G$1)</f>
        <v>365</v>
      </c>
    </row>
    <row r="9" spans="1:33" ht="18" customHeight="1">
      <c r="A9" s="786"/>
      <c r="B9" s="3480"/>
      <c r="C9" s="788"/>
      <c r="D9" s="789"/>
      <c r="E9" s="784" t="s">
        <v>1742</v>
      </c>
      <c r="F9" s="794">
        <f ca="1">INDIRECT("'数据-取费表'!w"&amp;$G$1)</f>
        <v>0.1</v>
      </c>
      <c r="G9" s="1592"/>
      <c r="H9" s="2506"/>
      <c r="I9" s="3479"/>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2981</v>
      </c>
      <c r="E10" s="2499" t="s">
        <v>2467</v>
      </c>
      <c r="F10" s="3235" t="s">
        <v>3265</v>
      </c>
      <c r="G10" s="1592"/>
      <c r="H10" s="2562" t="s">
        <v>2469</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2"/>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2"/>
      <c r="H12" s="2552" t="s">
        <v>2470</v>
      </c>
      <c r="I12" s="2565" t="s">
        <v>2463</v>
      </c>
      <c r="J12" s="2566"/>
      <c r="K12" s="2541"/>
      <c r="L12" s="2542"/>
      <c r="M12" s="2555"/>
    </row>
    <row r="13" spans="1:33" ht="18" customHeight="1" thickTop="1">
      <c r="A13" s="1830">
        <v>2</v>
      </c>
      <c r="B13" s="1828" t="s">
        <v>1743</v>
      </c>
      <c r="C13" s="792">
        <f ca="1">ROUND(C29*F13,0)</f>
        <v>5215</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3891</v>
      </c>
      <c r="D14" s="3193" t="s">
        <v>1746</v>
      </c>
      <c r="E14" s="3192"/>
      <c r="F14" s="805"/>
      <c r="G14" s="1592"/>
      <c r="H14" s="1649" t="s">
        <v>1831</v>
      </c>
      <c r="I14" s="2232" t="s">
        <v>2829</v>
      </c>
      <c r="J14" s="53">
        <f ca="1">C29</f>
        <v>5215</v>
      </c>
      <c r="K14" s="26"/>
      <c r="L14" s="801"/>
      <c r="M14" s="802"/>
    </row>
    <row r="15" spans="1:33" s="2065" customFormat="1" ht="18" customHeight="1" thickBot="1">
      <c r="A15" s="1648" t="s">
        <v>1886</v>
      </c>
      <c r="B15" s="784" t="s">
        <v>647</v>
      </c>
      <c r="C15" s="53">
        <f ca="1">ROUND(C14*F15,0)</f>
        <v>117</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521</v>
      </c>
      <c r="K16" s="1822" t="s">
        <v>1751</v>
      </c>
      <c r="L16" s="3195"/>
      <c r="M16" s="2492"/>
    </row>
    <row r="17" spans="1:33" s="2065" customFormat="1" ht="18" customHeight="1">
      <c r="A17" s="1648" t="s">
        <v>1888</v>
      </c>
      <c r="B17" s="784" t="s">
        <v>653</v>
      </c>
      <c r="C17" s="53">
        <f ca="1">ROUND(F17*(F43+INDIRECT("'数据-取费表'!S"&amp;$G$1))/10000,0)</f>
        <v>292</v>
      </c>
      <c r="D17" s="784" t="s">
        <v>1752</v>
      </c>
      <c r="E17" s="784" t="s">
        <v>1753</v>
      </c>
      <c r="F17" s="56">
        <f>'数据-取费表'!B35</f>
        <v>150</v>
      </c>
      <c r="G17" s="1593"/>
      <c r="H17" s="1649" t="s">
        <v>1831</v>
      </c>
      <c r="I17" s="784" t="s">
        <v>656</v>
      </c>
      <c r="J17" s="53">
        <f ca="1">ROUND(IF(项目基本情况!B11="自然人",J5*M17,J18+J19+J20),0)</f>
        <v>443</v>
      </c>
      <c r="K17" s="3193" t="s">
        <v>1754</v>
      </c>
      <c r="L17" s="3194"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58</v>
      </c>
      <c r="D18" s="784" t="s">
        <v>1747</v>
      </c>
      <c r="E18" s="784" t="s">
        <v>1748</v>
      </c>
      <c r="F18" s="809">
        <f>'数据-取费表'!B36</f>
        <v>1.4999999999999999E-2</v>
      </c>
      <c r="G18" s="1593"/>
      <c r="H18" s="1648" t="s">
        <v>1885</v>
      </c>
      <c r="I18" s="784" t="s">
        <v>1756</v>
      </c>
      <c r="J18" s="53">
        <f ca="1">ROUND(J5*M18/1.05,1)</f>
        <v>0</v>
      </c>
      <c r="K18" s="3194"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4358</v>
      </c>
      <c r="D19" s="261" t="s">
        <v>1758</v>
      </c>
      <c r="E19" s="3196"/>
      <c r="F19" s="56"/>
      <c r="G19" s="1592"/>
      <c r="H19" s="1648" t="s">
        <v>1886</v>
      </c>
      <c r="I19" s="784" t="s">
        <v>1759</v>
      </c>
      <c r="J19" s="53">
        <f ca="1">IF(K19="按租金收入计税",ROUND(J5*M19,1),ROUND(C29*F33*0.7,1))</f>
        <v>438.1</v>
      </c>
      <c r="K19" s="811" t="s">
        <v>665</v>
      </c>
      <c r="L19" s="784" t="s">
        <v>1748</v>
      </c>
      <c r="M19" s="809">
        <f>IF(K19="按租金收入计税",'数据-取费表'!B51,'数据-取费表'!B50)</f>
        <v>1.2E-2</v>
      </c>
    </row>
    <row r="20" spans="1:33" s="2065" customFormat="1" ht="18" customHeight="1">
      <c r="A20" s="1649" t="s">
        <v>1890</v>
      </c>
      <c r="B20" s="784" t="s">
        <v>666</v>
      </c>
      <c r="C20" s="53">
        <f ca="1">ROUND(C19*F20,0)</f>
        <v>87</v>
      </c>
      <c r="D20" s="812" t="s">
        <v>1760</v>
      </c>
      <c r="E20" s="784" t="s">
        <v>1748</v>
      </c>
      <c r="F20" s="809">
        <f>'数据-取费表'!B37</f>
        <v>0.02</v>
      </c>
      <c r="G20" s="1593"/>
      <c r="H20" s="1651" t="s">
        <v>1881</v>
      </c>
      <c r="I20" s="341" t="s">
        <v>1761</v>
      </c>
      <c r="J20" s="54">
        <f ca="1">ROUND(M20*M21/10000,0)</f>
        <v>5</v>
      </c>
      <c r="K20" s="814" t="s">
        <v>1762</v>
      </c>
      <c r="L20" s="784" t="s">
        <v>1763</v>
      </c>
      <c r="M20" s="640">
        <f>'数据-取费表'!B52</f>
        <v>10</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4860.54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96"/>
      <c r="F22" s="56"/>
      <c r="G22" s="1592"/>
      <c r="H22" s="1649" t="s">
        <v>1890</v>
      </c>
      <c r="I22" s="784" t="s">
        <v>1769</v>
      </c>
      <c r="J22" s="53">
        <f ca="1">ROUND(J14*M22,0)</f>
        <v>78</v>
      </c>
      <c r="K22" s="3194"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157</v>
      </c>
      <c r="D23" s="2572"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3194"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6.9999999999999999E-4</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96"/>
      <c r="F25" s="56"/>
      <c r="G25" s="1592"/>
      <c r="H25" s="1830" t="s">
        <v>1777</v>
      </c>
      <c r="I25" s="3011" t="s">
        <v>2825</v>
      </c>
      <c r="J25" s="792">
        <f ca="1">J5-J16</f>
        <v>-521</v>
      </c>
      <c r="K25" s="2549" t="s">
        <v>1778</v>
      </c>
      <c r="L25" s="2550"/>
      <c r="M25" s="2551"/>
    </row>
    <row r="26" spans="1:33" ht="18" customHeight="1">
      <c r="A26" s="1648" t="s">
        <v>1832</v>
      </c>
      <c r="B26" s="784" t="s">
        <v>2441</v>
      </c>
      <c r="C26" s="53">
        <f ca="1">ROUND((C19+C20)*F26,0)</f>
        <v>222</v>
      </c>
      <c r="D26" s="812" t="s">
        <v>1779</v>
      </c>
      <c r="E26" s="795" t="s">
        <v>1780</v>
      </c>
      <c r="F26" s="794">
        <f ca="1">INDIRECT("'数据-取费表'!q"&amp;$G$1)</f>
        <v>0.05</v>
      </c>
      <c r="G26" s="1592"/>
      <c r="H26" s="2503" t="s">
        <v>1781</v>
      </c>
      <c r="I26" s="2233" t="s">
        <v>2830</v>
      </c>
      <c r="J26" s="783">
        <f ca="1">IF(J5&lt;&gt;0,ROUND(J25*(1-((1+M28)/(1+M26))^M27)/(M26-M28),0),0)</f>
        <v>0</v>
      </c>
      <c r="K26" s="814" t="s">
        <v>1782</v>
      </c>
      <c r="L26" s="784" t="s">
        <v>2422</v>
      </c>
      <c r="M26" s="794">
        <f ca="1">INDIRECT("'数据-取费表'!I"&amp;$G$1)</f>
        <v>4.4999999999999998E-2</v>
      </c>
    </row>
    <row r="27" spans="1:33" ht="18" customHeight="1">
      <c r="A27" s="1648" t="s">
        <v>1833</v>
      </c>
      <c r="B27" s="784" t="s">
        <v>686</v>
      </c>
      <c r="C27" s="53">
        <f ca="1">ROUND(F21*F26,4)</f>
        <v>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5215</v>
      </c>
      <c r="D29" s="2546"/>
      <c r="E29" s="2547"/>
      <c r="F29" s="2548"/>
      <c r="G29" s="1593"/>
      <c r="H29" s="823" t="s">
        <v>1788</v>
      </c>
      <c r="I29" s="824" t="s">
        <v>1789</v>
      </c>
      <c r="J29" s="825">
        <f ca="1">ROUND(J26/(1+F40)^F41,0)</f>
        <v>0</v>
      </c>
      <c r="K29" s="826" t="s">
        <v>1790</v>
      </c>
      <c r="L29" s="827"/>
      <c r="M29" s="828">
        <f ca="1">INDIRECT("'数据-取费表'!k"&amp;$G$1)</f>
        <v>19375.689999999999</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138</v>
      </c>
      <c r="D30" s="1822" t="s">
        <v>1792</v>
      </c>
      <c r="E30" s="3195"/>
      <c r="F30" s="2492"/>
      <c r="G30" s="2063"/>
      <c r="H30" s="2066"/>
      <c r="I30" s="2067"/>
      <c r="J30" s="2068"/>
      <c r="K30" s="2069"/>
      <c r="L30" s="2070"/>
      <c r="M30" s="2071"/>
    </row>
    <row r="31" spans="1:33" ht="18" customHeight="1">
      <c r="A31" s="1649" t="s">
        <v>1831</v>
      </c>
      <c r="B31" s="784" t="s">
        <v>656</v>
      </c>
      <c r="C31" s="53">
        <f ca="1">ROUND(IF(项目基本情况!B11="自然人",C5*F31,C32+C33+C34),1)</f>
        <v>49.1</v>
      </c>
      <c r="D31" s="3193" t="s">
        <v>1793</v>
      </c>
      <c r="E31" s="3194"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13.6</v>
      </c>
      <c r="D32" s="3194" t="s">
        <v>1796</v>
      </c>
      <c r="E32" s="784" t="s">
        <v>1797</v>
      </c>
      <c r="F32" s="809">
        <f>'数据-取费表'!B41</f>
        <v>5.6000000000000001E-2</v>
      </c>
      <c r="G32" s="2063"/>
      <c r="H32" s="2072"/>
      <c r="I32" s="2073"/>
      <c r="J32" s="2074"/>
      <c r="K32" s="2075"/>
      <c r="L32" s="2076"/>
      <c r="M32" s="2077"/>
    </row>
    <row r="33" spans="1:18" ht="18" customHeight="1">
      <c r="A33" s="1648" t="s">
        <v>1833</v>
      </c>
      <c r="B33" s="784" t="s">
        <v>1759</v>
      </c>
      <c r="C33" s="53">
        <f ca="1">IF(D33="按租金收入计税",ROUND(C5*F33,1),IF(D33="按房产原值计税",ROUND(C29*F33*0.7,1),INDIRECT("'数据-取费表'!Aj"&amp;$G$1)))</f>
        <v>30.6</v>
      </c>
      <c r="D33" s="811" t="s">
        <v>3076</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4.9000000000000004</v>
      </c>
      <c r="D34" s="814" t="s">
        <v>1800</v>
      </c>
      <c r="E34" s="784" t="s">
        <v>1763</v>
      </c>
      <c r="F34" s="640">
        <f>'数据-取费表'!B52</f>
        <v>10</v>
      </c>
      <c r="G34" s="2063"/>
      <c r="H34" s="2066"/>
      <c r="I34" s="835" t="s">
        <v>1814</v>
      </c>
      <c r="J34" s="836"/>
      <c r="K34" s="2081"/>
      <c r="L34" s="2080"/>
      <c r="M34" s="2080"/>
    </row>
    <row r="35" spans="1:18" ht="18" customHeight="1">
      <c r="A35" s="815"/>
      <c r="B35" s="793"/>
      <c r="C35" s="69"/>
      <c r="D35" s="816"/>
      <c r="E35" s="784" t="s">
        <v>1767</v>
      </c>
      <c r="F35" s="785">
        <f ca="1">INDIRECT("'数据-取费表'!r"&amp;$G$1)</f>
        <v>4860.54</v>
      </c>
      <c r="G35" s="2063"/>
      <c r="H35" s="2066"/>
      <c r="I35" s="837" t="s">
        <v>1815</v>
      </c>
      <c r="J35" s="838">
        <f ca="1">ROUND(C13*J36,0)</f>
        <v>443</v>
      </c>
      <c r="K35" s="2079"/>
      <c r="L35" s="2078"/>
      <c r="M35" s="2078"/>
    </row>
    <row r="36" spans="1:18" ht="18" customHeight="1">
      <c r="A36" s="1649" t="s">
        <v>1890</v>
      </c>
      <c r="B36" s="784" t="s">
        <v>1803</v>
      </c>
      <c r="C36" s="53">
        <f ca="1">ROUND(C29*F36,1)</f>
        <v>78.2</v>
      </c>
      <c r="D36" s="3194"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7.8</v>
      </c>
      <c r="D37" s="3194"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2.6</v>
      </c>
      <c r="D38" s="2546" t="s">
        <v>1775</v>
      </c>
      <c r="E38" s="2547" t="s">
        <v>1797</v>
      </c>
      <c r="F38" s="2543">
        <f ca="1">INDIRECT("'数据-取费表'!Am"&amp;$G$1)</f>
        <v>0.01</v>
      </c>
      <c r="G38" s="2063"/>
      <c r="H38" s="2078"/>
      <c r="I38" s="843" t="s">
        <v>1818</v>
      </c>
      <c r="J38" s="844"/>
      <c r="K38" s="2084"/>
      <c r="L38" s="2078"/>
      <c r="M38" s="2078"/>
    </row>
    <row r="39" spans="1:18" ht="24.6" customHeight="1" thickTop="1">
      <c r="A39" s="1830" t="s">
        <v>1895</v>
      </c>
      <c r="B39" s="3011" t="s">
        <v>2825</v>
      </c>
      <c r="C39" s="792">
        <f ca="1">C5-C30</f>
        <v>117</v>
      </c>
      <c r="D39" s="2549" t="s">
        <v>1778</v>
      </c>
      <c r="E39" s="2550"/>
      <c r="F39" s="2551"/>
      <c r="G39" s="2063"/>
      <c r="H39" s="2078"/>
      <c r="I39" s="837" t="s">
        <v>1819</v>
      </c>
      <c r="J39" s="845">
        <f ca="1">ROUND(J35/C39,3)</f>
        <v>3.786</v>
      </c>
      <c r="K39" s="2084"/>
      <c r="L39" s="2078"/>
      <c r="M39" s="2078"/>
    </row>
    <row r="40" spans="1:18" ht="18" customHeight="1">
      <c r="A40" s="781" t="s">
        <v>1896</v>
      </c>
      <c r="B40" s="2233" t="s">
        <v>2304</v>
      </c>
      <c r="C40" s="783">
        <f ca="1">ROUND(C39*(1-((1+F42)/(1+F40))^F41)/(F40-F42),0)</f>
        <v>2931</v>
      </c>
      <c r="D40" s="814" t="s">
        <v>1808</v>
      </c>
      <c r="E40" s="784" t="s">
        <v>2422</v>
      </c>
      <c r="F40" s="794">
        <f ca="1">INDIRECT("'数据-取费表'!I"&amp;$G$1)</f>
        <v>4.4999999999999998E-2</v>
      </c>
      <c r="G40" s="2063"/>
      <c r="H40" s="2063"/>
      <c r="I40" s="837" t="s">
        <v>1820</v>
      </c>
      <c r="J40" s="845">
        <f ca="1">1-J39</f>
        <v>-2.786</v>
      </c>
      <c r="K40" s="2084"/>
      <c r="L40" s="2063"/>
      <c r="M40" s="2063"/>
    </row>
    <row r="41" spans="1:18" ht="18" customHeight="1">
      <c r="A41" s="786"/>
      <c r="B41" s="787"/>
      <c r="C41" s="788"/>
      <c r="D41" s="821" t="s">
        <v>1809</v>
      </c>
      <c r="E41" s="784" t="s">
        <v>2971</v>
      </c>
      <c r="F41" s="822">
        <f ca="1">IF(INDIRECT("'数据-取费表'!af"&amp;$G$1)=0,INDIRECT("'数据-取费表'!ae"&amp;$G$1),INDIRECT("'数据-取费表'!af"&amp;$G$1))</f>
        <v>47.79</v>
      </c>
      <c r="G41" s="2063"/>
      <c r="H41" s="1989"/>
      <c r="I41" s="843" t="s">
        <v>1821</v>
      </c>
      <c r="J41" s="846"/>
      <c r="K41" s="2083"/>
      <c r="L41" s="1989"/>
      <c r="M41" s="1989"/>
    </row>
    <row r="42" spans="1:18" ht="18" customHeight="1">
      <c r="A42" s="790"/>
      <c r="B42" s="791"/>
      <c r="C42" s="792"/>
      <c r="D42" s="816"/>
      <c r="E42" s="784" t="s">
        <v>1787</v>
      </c>
      <c r="F42" s="794">
        <f ca="1">INDIRECT("'数据-取费表'!v"&amp;$G$1)</f>
        <v>1.4999999999999999E-2</v>
      </c>
      <c r="G42" s="2063"/>
      <c r="H42" s="1989"/>
      <c r="I42" s="847" t="s">
        <v>1822</v>
      </c>
      <c r="J42" s="845">
        <f ca="1">ROUND(C13/C40,3)</f>
        <v>1.7789999999999999</v>
      </c>
      <c r="K42" s="2083"/>
      <c r="L42" s="1989"/>
      <c r="M42" s="1989"/>
    </row>
    <row r="43" spans="1:18" ht="18" customHeight="1" thickBot="1">
      <c r="A43" s="823" t="s">
        <v>1788</v>
      </c>
      <c r="B43" s="824" t="s">
        <v>1811</v>
      </c>
      <c r="C43" s="825">
        <f ca="1">ROUND(C40*10000/F43,0)</f>
        <v>1513</v>
      </c>
      <c r="D43" s="826" t="s">
        <v>1812</v>
      </c>
      <c r="E43" s="827" t="s">
        <v>1813</v>
      </c>
      <c r="F43" s="828">
        <f ca="1">INDIRECT("'数据-取费表'!k"&amp;$G$1)</f>
        <v>19375.689999999999</v>
      </c>
      <c r="G43" s="2063"/>
      <c r="H43" s="1989"/>
      <c r="I43" s="847" t="s">
        <v>1823</v>
      </c>
      <c r="J43" s="848">
        <f ca="1">1-J42</f>
        <v>-0.77899999999999991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-4706</v>
      </c>
      <c r="D46" s="2086"/>
      <c r="E46" s="2086"/>
      <c r="F46" s="2086"/>
      <c r="I46" s="2379" t="s">
        <v>2346</v>
      </c>
      <c r="J46" s="2380"/>
      <c r="K46" s="2381"/>
      <c r="L46" s="3162">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t="s">
        <v>3079</v>
      </c>
      <c r="K47" s="3159" t="s">
        <v>2352</v>
      </c>
      <c r="L47" s="3163">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t="s">
        <v>2353</v>
      </c>
      <c r="K48" s="3160" t="s">
        <v>2354</v>
      </c>
      <c r="L48" s="1909">
        <f ca="1">INDIRECT("'数据-取费表'!f"&amp;$G$1)</f>
        <v>49.29</v>
      </c>
      <c r="O48" s="2399" t="s">
        <v>2382</v>
      </c>
      <c r="P48" s="2400" t="s">
        <v>2408</v>
      </c>
      <c r="Q48" s="2401">
        <f ca="1">C40+J29</f>
        <v>2931</v>
      </c>
      <c r="R48" s="2400" t="s">
        <v>2383</v>
      </c>
    </row>
    <row r="49" spans="1:18" s="2060" customFormat="1" ht="18" customHeight="1" thickBot="1">
      <c r="A49" s="786"/>
      <c r="B49" s="787"/>
      <c r="C49" s="788"/>
      <c r="D49" s="789"/>
      <c r="E49" s="784" t="s">
        <v>1740</v>
      </c>
      <c r="F49" s="785">
        <f ca="1">F7</f>
        <v>19375.689999999999</v>
      </c>
      <c r="G49" s="2091"/>
      <c r="H49" s="2094"/>
      <c r="I49" s="3128" t="s">
        <v>2349</v>
      </c>
      <c r="J49" s="2384">
        <v>2021</v>
      </c>
      <c r="K49" s="3161"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8" t="s">
        <v>2350</v>
      </c>
      <c r="J50" s="3156">
        <f>SUMPRODUCT((I63:I65=J47)*(J62:L62=J48)*(J63:L65))</f>
        <v>60</v>
      </c>
      <c r="K50" s="3161" t="s">
        <v>2356</v>
      </c>
      <c r="L50" s="2385"/>
      <c r="O50" s="2402" t="s">
        <v>2386</v>
      </c>
      <c r="P50" s="2400" t="s">
        <v>2410</v>
      </c>
      <c r="Q50" s="2401">
        <f ca="1">C29</f>
        <v>5215</v>
      </c>
      <c r="R50" s="2400" t="s">
        <v>2383</v>
      </c>
    </row>
    <row r="51" spans="1:18" s="2060" customFormat="1" ht="18" customHeight="1" thickBot="1">
      <c r="A51" s="786"/>
      <c r="B51" s="787"/>
      <c r="C51" s="788"/>
      <c r="D51" s="789"/>
      <c r="E51" s="784" t="s">
        <v>640</v>
      </c>
      <c r="F51" s="2372"/>
      <c r="H51" s="2094"/>
      <c r="I51" s="3153" t="s">
        <v>2351</v>
      </c>
      <c r="J51" s="3157">
        <f>IF(J49="",J50,J49+J50-YEAR('数据-取费表'!B2))</f>
        <v>63</v>
      </c>
      <c r="K51" s="3128" t="s">
        <v>2357</v>
      </c>
      <c r="L51" s="3164">
        <f ca="1">ROUND(-PV(INDIRECT("'数据-取费表'!h"&amp;$G$1),L48,(C39-C13*J36),0),0)</f>
        <v>-6977</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0" customFormat="1" ht="39.75" customHeight="1" thickBot="1">
      <c r="A53" s="786"/>
      <c r="B53" s="2496" t="s">
        <v>2576</v>
      </c>
      <c r="C53" s="2500"/>
      <c r="D53" s="2502"/>
      <c r="E53" s="2499"/>
      <c r="F53" s="800"/>
      <c r="I53" s="3155" t="s">
        <v>2986</v>
      </c>
      <c r="J53" s="3158">
        <f ca="1">IF(M47="住宅",IF(D1="——",MAX(J51,L48),MAX(J51,L48-'数据-取费表'!B20)),IF(D1="——",MIN(J51,L48),MIN(J51,L48-'数据-取费表'!B20)))</f>
        <v>47.79</v>
      </c>
      <c r="K53" s="3519" t="s">
        <v>2973</v>
      </c>
      <c r="L53" s="3520"/>
      <c r="O53" s="2402" t="s">
        <v>2391</v>
      </c>
      <c r="P53" s="2400" t="s">
        <v>2392</v>
      </c>
      <c r="Q53" s="2401">
        <f ca="1">J53</f>
        <v>47.79</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2931</v>
      </c>
      <c r="R54" s="2404" t="s">
        <v>2395</v>
      </c>
    </row>
    <row r="55" spans="1:18" s="2060" customFormat="1" ht="18" customHeight="1" thickTop="1" thickBot="1">
      <c r="A55" s="797">
        <v>2</v>
      </c>
      <c r="B55" s="798" t="s">
        <v>644</v>
      </c>
      <c r="C55" s="799">
        <f ca="1">C13</f>
        <v>5215</v>
      </c>
      <c r="D55" s="795"/>
      <c r="E55" s="795"/>
      <c r="F55" s="800"/>
      <c r="I55" s="3167" t="s">
        <v>2358</v>
      </c>
      <c r="J55" s="3103" t="e">
        <f ca="1">ROUND(IF(J47="钢混",J57/J50,1-(1-2%)*(J50-J57)/J50),3)</f>
        <v>#VALUE!</v>
      </c>
      <c r="K55" s="3168" t="s">
        <v>2359</v>
      </c>
      <c r="L55" s="2387"/>
      <c r="O55" s="2405" t="s">
        <v>2414</v>
      </c>
      <c r="P55" s="1592"/>
      <c r="Q55" s="1604"/>
      <c r="R55" s="1592"/>
    </row>
    <row r="56" spans="1:18" s="2060" customFormat="1" ht="42.75" customHeight="1" thickBot="1">
      <c r="A56" s="1650"/>
      <c r="B56" s="2232" t="s">
        <v>2305</v>
      </c>
      <c r="C56" s="53">
        <f ca="1">C29</f>
        <v>5215</v>
      </c>
      <c r="D56" s="3194"/>
      <c r="E56" s="784"/>
      <c r="F56" s="809"/>
      <c r="I56" s="3169" t="s">
        <v>2360</v>
      </c>
      <c r="J56" s="3179" t="s">
        <v>1679</v>
      </c>
      <c r="K56" s="3128"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91</v>
      </c>
      <c r="D57" s="26" t="s">
        <v>1751</v>
      </c>
      <c r="E57" s="3196"/>
      <c r="F57" s="56"/>
      <c r="I57" s="3170" t="s">
        <v>2361</v>
      </c>
      <c r="J57" s="3171" t="str">
        <f ca="1">IF(OR(M47="住宅",J51&lt;L48,J56="是"),"——",J51-L48)</f>
        <v>——</v>
      </c>
      <c r="K57" s="3128" t="s">
        <v>2366</v>
      </c>
      <c r="L57" s="1909" t="str">
        <f ca="1">IF(L48&lt;J51,"——",IF(L55="比较法",L49,IF(L55="基准地价",L50,L51)))</f>
        <v>——</v>
      </c>
      <c r="O57" s="2399" t="s">
        <v>2382</v>
      </c>
      <c r="P57" s="2400" t="s">
        <v>2412</v>
      </c>
      <c r="Q57" s="2401">
        <f ca="1">C40+J29</f>
        <v>2931</v>
      </c>
      <c r="R57" s="2400" t="s">
        <v>2383</v>
      </c>
    </row>
    <row r="58" spans="1:18" s="2060" customFormat="1" ht="28.5" customHeight="1" thickBot="1">
      <c r="A58" s="1649" t="s">
        <v>1825</v>
      </c>
      <c r="B58" s="784" t="s">
        <v>656</v>
      </c>
      <c r="C58" s="53">
        <f ca="1">ROUND(IF(项目基本情况!B11="自然人",C47*F58,C59+C60+C61),1)</f>
        <v>4.9000000000000004</v>
      </c>
      <c r="D58" s="3193" t="s">
        <v>657</v>
      </c>
      <c r="E58" s="3194" t="s">
        <v>690</v>
      </c>
      <c r="F58" s="810">
        <f ca="1">IF(项目基本情况!B11="企业","",IF(INDIRECT("'数据-取费表'!c"&amp;$G$1)="住宅",5%,IF(F48*F49*F50/12/(1+'数据-取费表'!C42)&gt;20000,12%,7%)))</f>
        <v>7.0000000000000007E-2</v>
      </c>
      <c r="I58" s="3170" t="s">
        <v>2362</v>
      </c>
      <c r="J58" s="3104" t="e">
        <f ca="1">IF(J55&lt;0.4,0.4,J55)</f>
        <v>#VALUE!</v>
      </c>
      <c r="K58" s="3128"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94"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94"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4.9000000000000004</v>
      </c>
      <c r="D61" s="814" t="s">
        <v>669</v>
      </c>
      <c r="E61" s="784" t="s">
        <v>670</v>
      </c>
      <c r="F61" s="640">
        <f t="shared" si="0"/>
        <v>10</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4860.54</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78.2</v>
      </c>
      <c r="D63" s="3194" t="s">
        <v>1804</v>
      </c>
      <c r="E63" s="784" t="s">
        <v>1748</v>
      </c>
      <c r="F63" s="817">
        <f t="shared" ca="1" si="0"/>
        <v>1.4999999999999999E-2</v>
      </c>
      <c r="I63" s="3175" t="s">
        <v>2373</v>
      </c>
      <c r="J63" s="3176">
        <v>70</v>
      </c>
      <c r="K63" s="3176">
        <v>50</v>
      </c>
      <c r="L63" s="3176">
        <v>80</v>
      </c>
      <c r="M63" s="3178">
        <v>0.02</v>
      </c>
      <c r="O63" s="2399" t="s">
        <v>2394</v>
      </c>
      <c r="P63" s="2400" t="s">
        <v>2411</v>
      </c>
      <c r="Q63" s="2401">
        <f ca="1">Q57+Q58</f>
        <v>2931</v>
      </c>
      <c r="R63" s="2404" t="s">
        <v>2395</v>
      </c>
    </row>
    <row r="64" spans="1:18" s="2060" customFormat="1" ht="16.5" thickBot="1">
      <c r="A64" s="1649" t="s">
        <v>1891</v>
      </c>
      <c r="B64" s="784" t="s">
        <v>679</v>
      </c>
      <c r="C64" s="53">
        <f ca="1">ROUND(C55*F64,1)</f>
        <v>7.8</v>
      </c>
      <c r="D64" s="3194" t="s">
        <v>680</v>
      </c>
      <c r="E64" s="784" t="s">
        <v>1748</v>
      </c>
      <c r="F64" s="818">
        <f t="shared" ca="1" si="0"/>
        <v>1.5E-3</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3194"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2825</v>
      </c>
      <c r="C66" s="799">
        <f ca="1">C47-C57</f>
        <v>-91</v>
      </c>
      <c r="D66" s="3193" t="s">
        <v>700</v>
      </c>
      <c r="E66" s="3191"/>
      <c r="F66" s="820"/>
      <c r="K66" s="2087"/>
      <c r="O66" s="2399" t="s">
        <v>2382</v>
      </c>
      <c r="P66" s="2400" t="s">
        <v>2412</v>
      </c>
      <c r="Q66" s="2401">
        <f ca="1">C40+J29</f>
        <v>2931</v>
      </c>
      <c r="R66" s="2400" t="s">
        <v>2383</v>
      </c>
    </row>
    <row r="67" spans="1:18" s="2060" customFormat="1" ht="20.25" thickBot="1">
      <c r="A67" s="781" t="s">
        <v>1781</v>
      </c>
      <c r="B67" s="2233" t="s">
        <v>2304</v>
      </c>
      <c r="C67" s="783">
        <f ca="1">ROUND(C66*(1-((1+F69)/(1+F67))^F68)/(F67-F69),0)</f>
        <v>-1775</v>
      </c>
      <c r="D67" s="814" t="s">
        <v>704</v>
      </c>
      <c r="E67" s="784" t="s">
        <v>705</v>
      </c>
      <c r="F67" s="794">
        <f ca="1">F40</f>
        <v>4.4999999999999998E-2</v>
      </c>
      <c r="K67" s="2087"/>
      <c r="O67" s="2399" t="s">
        <v>2384</v>
      </c>
      <c r="P67" s="2400" t="s">
        <v>2415</v>
      </c>
      <c r="Q67" s="2401">
        <f ca="1">L60</f>
        <v>0</v>
      </c>
      <c r="R67" s="2404" t="s">
        <v>2417</v>
      </c>
    </row>
    <row r="68" spans="1:18" ht="21.75" thickBot="1">
      <c r="A68" s="786"/>
      <c r="B68" s="787"/>
      <c r="C68" s="788"/>
      <c r="D68" s="821" t="s">
        <v>1809</v>
      </c>
      <c r="E68" s="784" t="s">
        <v>1785</v>
      </c>
      <c r="F68" s="822">
        <f ca="1">F41</f>
        <v>47.79</v>
      </c>
      <c r="O68" s="2402" t="s">
        <v>2386</v>
      </c>
      <c r="P68" s="2400" t="s">
        <v>2416</v>
      </c>
      <c r="Q68" s="2406">
        <f ca="1">L51</f>
        <v>-6977</v>
      </c>
      <c r="R68" s="2407" t="s">
        <v>2419</v>
      </c>
    </row>
    <row r="69" spans="1:18" ht="20.25" thickBot="1">
      <c r="A69" s="790"/>
      <c r="B69" s="791"/>
      <c r="C69" s="792"/>
      <c r="D69" s="816"/>
      <c r="E69" s="784" t="s">
        <v>710</v>
      </c>
      <c r="F69" s="2372"/>
      <c r="O69" s="2402" t="s">
        <v>2387</v>
      </c>
      <c r="P69" s="2408" t="s">
        <v>2401</v>
      </c>
      <c r="Q69" s="2401">
        <f ca="1">ROUND(Q70-Q71*Q72,0)</f>
        <v>-326</v>
      </c>
      <c r="R69" s="2404"/>
    </row>
    <row r="70" spans="1:18" ht="15.75" thickBot="1">
      <c r="A70" s="823" t="s">
        <v>1788</v>
      </c>
      <c r="B70" s="824" t="s">
        <v>1811</v>
      </c>
      <c r="C70" s="825">
        <f ca="1">ROUND(C67*10000/F70,0)</f>
        <v>-916</v>
      </c>
      <c r="D70" s="826" t="s">
        <v>1812</v>
      </c>
      <c r="E70" s="827" t="s">
        <v>1813</v>
      </c>
      <c r="F70" s="828">
        <f ca="1">F43</f>
        <v>19375.689999999999</v>
      </c>
      <c r="O70" s="2402" t="s">
        <v>2402</v>
      </c>
      <c r="P70" s="2408" t="s">
        <v>2403</v>
      </c>
      <c r="Q70" s="2401">
        <f ca="1">C39</f>
        <v>117</v>
      </c>
      <c r="R70" s="2400" t="s">
        <v>2383</v>
      </c>
    </row>
    <row r="71" spans="1:18" ht="15.75" thickBot="1">
      <c r="O71" s="2402" t="s">
        <v>2404</v>
      </c>
      <c r="P71" s="2408" t="s">
        <v>2405</v>
      </c>
      <c r="Q71" s="2401">
        <f ca="1">C13</f>
        <v>5215</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2931</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10" sqref="K10"/>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61"/>
  <sheetViews>
    <sheetView topLeftCell="A22" workbookViewId="0">
      <selection activeCell="I33" activeCellId="1" sqref="I31 I33:I42"/>
    </sheetView>
  </sheetViews>
  <sheetFormatPr defaultRowHeight="13.5"/>
  <cols>
    <col min="3" max="3" width="12" bestFit="1" customWidth="1"/>
    <col min="4" max="4" width="10.75" bestFit="1" customWidth="1"/>
    <col min="7" max="7" width="13.25" customWidth="1"/>
    <col min="8" max="8" width="14.625" customWidth="1"/>
  </cols>
  <sheetData>
    <row r="2" spans="1:17" ht="15" thickBot="1">
      <c r="A2" s="3585" t="s">
        <v>3159</v>
      </c>
      <c r="B2" s="3585"/>
      <c r="C2" s="3585"/>
      <c r="D2" s="3585"/>
      <c r="E2" s="3585"/>
      <c r="F2" s="3585"/>
      <c r="G2" s="3585"/>
      <c r="H2" s="3585"/>
      <c r="I2" s="3585"/>
      <c r="J2" s="3585"/>
      <c r="K2" s="3585"/>
    </row>
    <row r="3" spans="1:17" ht="14.25" thickTop="1">
      <c r="A3" s="3586" t="s">
        <v>3160</v>
      </c>
      <c r="B3" s="3587"/>
      <c r="C3" s="3587"/>
      <c r="D3" s="3587"/>
      <c r="E3" s="3587"/>
      <c r="F3" s="3587"/>
      <c r="G3" s="3587"/>
      <c r="H3" s="3587"/>
      <c r="I3" s="3587"/>
      <c r="J3" s="3587"/>
      <c r="K3" s="3588"/>
    </row>
    <row r="4" spans="1:17">
      <c r="A4" s="3535" t="s">
        <v>3161</v>
      </c>
      <c r="B4" s="3533"/>
      <c r="C4" s="3533"/>
      <c r="D4" s="3593">
        <v>33922.9</v>
      </c>
      <c r="E4" s="3593"/>
      <c r="F4" s="3593"/>
      <c r="G4" s="3533" t="s">
        <v>3162</v>
      </c>
      <c r="H4" s="3533"/>
      <c r="I4" s="3594">
        <v>19604.2</v>
      </c>
      <c r="J4" s="3594"/>
      <c r="K4" s="3595"/>
      <c r="O4">
        <v>58812.6</v>
      </c>
      <c r="P4">
        <v>59175.22</v>
      </c>
      <c r="Q4">
        <v>362.62</v>
      </c>
    </row>
    <row r="5" spans="1:17">
      <c r="A5" s="3535"/>
      <c r="B5" s="3533"/>
      <c r="C5" s="3533"/>
      <c r="D5" s="3593"/>
      <c r="E5" s="3593"/>
      <c r="F5" s="3593"/>
      <c r="G5" s="3533" t="s">
        <v>3163</v>
      </c>
      <c r="H5" s="3533"/>
      <c r="I5" s="3594">
        <v>14318.7</v>
      </c>
      <c r="J5" s="3594"/>
      <c r="K5" s="3595"/>
      <c r="P5">
        <v>8480.7250000000004</v>
      </c>
      <c r="Q5">
        <v>-4153.7749999999996</v>
      </c>
    </row>
    <row r="6" spans="1:17">
      <c r="A6" s="3535" t="s">
        <v>3164</v>
      </c>
      <c r="B6" s="3533"/>
      <c r="C6" s="3533"/>
      <c r="D6" s="3590" t="s">
        <v>3165</v>
      </c>
      <c r="E6" s="3590"/>
      <c r="F6" s="3590"/>
      <c r="G6" s="3533" t="s">
        <v>3166</v>
      </c>
      <c r="H6" s="3533"/>
      <c r="I6" s="3591" t="s">
        <v>3167</v>
      </c>
      <c r="J6" s="3551"/>
      <c r="K6" s="3592"/>
    </row>
    <row r="7" spans="1:17">
      <c r="A7" s="3535" t="s">
        <v>3168</v>
      </c>
      <c r="B7" s="3533"/>
      <c r="C7" s="3533"/>
      <c r="D7" s="3589" t="s">
        <v>3169</v>
      </c>
      <c r="E7" s="3590"/>
      <c r="F7" s="3590"/>
      <c r="G7" s="3533" t="s">
        <v>3166</v>
      </c>
      <c r="H7" s="3533"/>
      <c r="I7" s="3591" t="s">
        <v>3170</v>
      </c>
      <c r="J7" s="3551"/>
      <c r="K7" s="3592"/>
    </row>
    <row r="8" spans="1:17">
      <c r="A8" s="3535" t="s">
        <v>3171</v>
      </c>
      <c r="B8" s="3533"/>
      <c r="C8" s="3533"/>
      <c r="D8" s="3567">
        <v>6943.58</v>
      </c>
      <c r="E8" s="3536"/>
      <c r="F8" s="3536"/>
      <c r="G8" s="3533" t="s">
        <v>3172</v>
      </c>
      <c r="H8" s="3533"/>
      <c r="I8" s="3568">
        <v>0.35420000000000001</v>
      </c>
      <c r="J8" s="3568"/>
      <c r="K8" s="3569"/>
    </row>
    <row r="9" spans="1:17">
      <c r="A9" s="3559" t="s">
        <v>3173</v>
      </c>
      <c r="B9" s="3560"/>
      <c r="C9" s="3560"/>
      <c r="D9" s="3560"/>
      <c r="E9" s="3560"/>
      <c r="F9" s="3560"/>
      <c r="G9" s="3560"/>
      <c r="H9" s="3560"/>
      <c r="I9" s="3560"/>
      <c r="J9" s="3560"/>
      <c r="K9" s="3561"/>
    </row>
    <row r="10" spans="1:17" ht="14.25">
      <c r="A10" s="3535" t="s">
        <v>3174</v>
      </c>
      <c r="B10" s="3533"/>
      <c r="C10" s="3533"/>
      <c r="D10" s="3562">
        <v>78499.16</v>
      </c>
      <c r="E10" s="3562"/>
      <c r="F10" s="3562"/>
      <c r="G10" s="3533" t="s">
        <v>3175</v>
      </c>
      <c r="H10" s="3533"/>
      <c r="I10" s="3563">
        <v>58812.6</v>
      </c>
      <c r="J10" s="3563"/>
      <c r="K10" s="3564"/>
    </row>
    <row r="11" spans="1:17">
      <c r="A11" s="3535"/>
      <c r="B11" s="3533"/>
      <c r="C11" s="3533"/>
      <c r="D11" s="3562"/>
      <c r="E11" s="3562"/>
      <c r="F11" s="3562"/>
      <c r="G11" s="3533" t="s">
        <v>3176</v>
      </c>
      <c r="H11" s="3533"/>
      <c r="I11" s="3565">
        <v>19686.599999999999</v>
      </c>
      <c r="J11" s="3565"/>
      <c r="K11" s="3566"/>
      <c r="P11">
        <v>0</v>
      </c>
    </row>
    <row r="12" spans="1:17">
      <c r="A12" s="3535" t="s">
        <v>3177</v>
      </c>
      <c r="B12" s="3533"/>
      <c r="C12" s="3533"/>
      <c r="D12" s="3579">
        <v>4327</v>
      </c>
      <c r="E12" s="3579"/>
      <c r="F12" s="3533" t="s">
        <v>3178</v>
      </c>
      <c r="G12" s="3533"/>
      <c r="H12" s="3197">
        <v>0.22070000000000001</v>
      </c>
      <c r="I12" s="3557" t="s">
        <v>2035</v>
      </c>
      <c r="J12" s="3557"/>
      <c r="K12" s="3198">
        <v>3</v>
      </c>
    </row>
    <row r="13" spans="1:17">
      <c r="A13" s="3535" t="s">
        <v>3179</v>
      </c>
      <c r="B13" s="3533"/>
      <c r="C13" s="3533"/>
      <c r="D13" s="3558">
        <v>56375.23</v>
      </c>
      <c r="E13" s="3536"/>
      <c r="F13" s="3536"/>
      <c r="G13" s="3533" t="s">
        <v>3166</v>
      </c>
      <c r="H13" s="3533"/>
      <c r="I13" s="3548">
        <v>0.96</v>
      </c>
      <c r="J13" s="3548"/>
      <c r="K13" s="3549"/>
      <c r="N13">
        <v>58812.6</v>
      </c>
    </row>
    <row r="14" spans="1:17">
      <c r="A14" s="3535" t="s">
        <v>3180</v>
      </c>
      <c r="B14" s="3533"/>
      <c r="C14" s="3533"/>
      <c r="D14" s="3556">
        <v>2437.37</v>
      </c>
      <c r="E14" s="3536"/>
      <c r="F14" s="3536"/>
      <c r="G14" s="3533" t="s">
        <v>3166</v>
      </c>
      <c r="H14" s="3533"/>
      <c r="I14" s="3548">
        <v>0.04</v>
      </c>
      <c r="J14" s="3548"/>
      <c r="K14" s="3549"/>
    </row>
    <row r="15" spans="1:17" ht="13.5" customHeight="1">
      <c r="A15" s="3535" t="s">
        <v>3181</v>
      </c>
      <c r="B15" s="3533"/>
      <c r="C15" s="3533"/>
      <c r="D15" s="3550">
        <v>566</v>
      </c>
      <c r="E15" s="3551"/>
      <c r="F15" s="3536" t="s">
        <v>3182</v>
      </c>
      <c r="G15" s="3533" t="s">
        <v>3183</v>
      </c>
      <c r="H15" s="3533"/>
      <c r="I15" s="3541" t="s">
        <v>3184</v>
      </c>
      <c r="J15" s="3541"/>
      <c r="K15" s="3199" t="s">
        <v>3185</v>
      </c>
    </row>
    <row r="16" spans="1:17">
      <c r="A16" s="3535"/>
      <c r="B16" s="3533"/>
      <c r="C16" s="3533"/>
      <c r="D16" s="3551"/>
      <c r="E16" s="3551"/>
      <c r="F16" s="3536"/>
      <c r="G16" s="3533" t="s">
        <v>3186</v>
      </c>
      <c r="H16" s="3533"/>
      <c r="I16" s="3547">
        <v>0</v>
      </c>
      <c r="J16" s="3547"/>
      <c r="K16" s="3200">
        <v>0</v>
      </c>
    </row>
    <row r="17" spans="1:16">
      <c r="A17" s="3535"/>
      <c r="B17" s="3533"/>
      <c r="C17" s="3533"/>
      <c r="D17" s="3551"/>
      <c r="E17" s="3551"/>
      <c r="F17" s="3536"/>
      <c r="G17" s="3552" t="s">
        <v>3187</v>
      </c>
      <c r="H17" s="3553">
        <v>566</v>
      </c>
      <c r="I17" s="3201" t="s">
        <v>3188</v>
      </c>
      <c r="J17" s="3202">
        <v>566</v>
      </c>
      <c r="K17" s="3200">
        <v>1</v>
      </c>
    </row>
    <row r="18" spans="1:16">
      <c r="A18" s="3535"/>
      <c r="B18" s="3533"/>
      <c r="C18" s="3533"/>
      <c r="D18" s="3551"/>
      <c r="E18" s="3551"/>
      <c r="F18" s="3536"/>
      <c r="G18" s="3552"/>
      <c r="H18" s="3553"/>
      <c r="I18" s="3201" t="s">
        <v>3189</v>
      </c>
      <c r="J18" s="3203">
        <v>0</v>
      </c>
      <c r="K18" s="3200">
        <v>0</v>
      </c>
    </row>
    <row r="19" spans="1:16" ht="13.5" customHeight="1">
      <c r="A19" s="3535" t="s">
        <v>3190</v>
      </c>
      <c r="B19" s="3533"/>
      <c r="C19" s="3533"/>
      <c r="D19" s="3554">
        <v>99.9</v>
      </c>
      <c r="E19" s="3554"/>
      <c r="F19" s="3554"/>
      <c r="G19" s="3533" t="s">
        <v>3191</v>
      </c>
      <c r="H19" s="3533"/>
      <c r="I19" s="3536">
        <v>32</v>
      </c>
      <c r="J19" s="3536"/>
      <c r="K19" s="3537"/>
    </row>
    <row r="20" spans="1:16">
      <c r="A20" s="3535" t="s">
        <v>3192</v>
      </c>
      <c r="B20" s="3541"/>
      <c r="C20" s="3541"/>
      <c r="D20" s="3536">
        <v>7</v>
      </c>
      <c r="E20" s="3547"/>
      <c r="F20" s="3547"/>
      <c r="G20" s="3533" t="s">
        <v>3193</v>
      </c>
      <c r="H20" s="3533"/>
      <c r="I20" s="3536">
        <v>644</v>
      </c>
      <c r="J20" s="3536"/>
      <c r="K20" s="3537"/>
    </row>
    <row r="21" spans="1:16" ht="14.25" customHeight="1">
      <c r="A21" s="3555" t="s">
        <v>3194</v>
      </c>
      <c r="B21" s="3542"/>
      <c r="C21" s="3542"/>
      <c r="D21" s="3542" t="s">
        <v>3195</v>
      </c>
      <c r="E21" s="3543"/>
      <c r="F21" s="3536" t="s">
        <v>3196</v>
      </c>
      <c r="G21" s="3536"/>
      <c r="H21" s="3536"/>
      <c r="I21" s="3536"/>
      <c r="J21" s="3536"/>
      <c r="K21" s="3537"/>
    </row>
    <row r="22" spans="1:16" ht="13.5" customHeight="1">
      <c r="A22" s="3555"/>
      <c r="B22" s="3542"/>
      <c r="C22" s="3542"/>
      <c r="D22" s="3542" t="s">
        <v>3197</v>
      </c>
      <c r="E22" s="3543"/>
      <c r="F22" s="3536" t="s">
        <v>3198</v>
      </c>
      <c r="G22" s="3536"/>
      <c r="H22" s="3536"/>
      <c r="I22" s="3536"/>
      <c r="J22" s="3536"/>
      <c r="K22" s="3537"/>
    </row>
    <row r="23" spans="1:16" ht="13.5" customHeight="1">
      <c r="A23" s="3538" t="s">
        <v>3199</v>
      </c>
      <c r="B23" s="3539"/>
      <c r="C23" s="3539"/>
      <c r="D23" s="3539"/>
      <c r="E23" s="3539"/>
      <c r="F23" s="3539"/>
      <c r="G23" s="3539"/>
      <c r="H23" s="3539"/>
      <c r="I23" s="3539"/>
      <c r="J23" s="3539"/>
      <c r="K23" s="3540"/>
    </row>
    <row r="24" spans="1:16">
      <c r="A24" s="3535" t="s">
        <v>3200</v>
      </c>
      <c r="B24" s="3541"/>
      <c r="C24" s="3204" t="s">
        <v>3201</v>
      </c>
      <c r="D24" s="3205" t="s">
        <v>3202</v>
      </c>
      <c r="E24" s="3204" t="s">
        <v>3203</v>
      </c>
      <c r="F24" s="3204" t="s">
        <v>3204</v>
      </c>
      <c r="G24" s="3206"/>
      <c r="H24" s="3204"/>
      <c r="I24" s="3207"/>
      <c r="J24" s="3207"/>
      <c r="K24" s="3208"/>
    </row>
    <row r="25" spans="1:16">
      <c r="A25" s="3535" t="s">
        <v>3205</v>
      </c>
      <c r="B25" s="3541"/>
      <c r="C25" s="3209">
        <v>47516.1</v>
      </c>
      <c r="D25" s="3210">
        <v>2437.37</v>
      </c>
      <c r="E25" s="3209">
        <v>883.33</v>
      </c>
      <c r="F25" s="3203">
        <v>7975.8</v>
      </c>
      <c r="G25" s="3210"/>
      <c r="H25" s="3211"/>
      <c r="I25" s="3211"/>
      <c r="J25" s="3211"/>
      <c r="K25" s="3212"/>
      <c r="M25">
        <v>475.161</v>
      </c>
      <c r="N25" t="e">
        <v>#REF!</v>
      </c>
      <c r="O25">
        <v>17.061589999999999</v>
      </c>
      <c r="P25">
        <v>6.1833099999999996</v>
      </c>
    </row>
    <row r="26" spans="1:16" ht="13.5" customHeight="1">
      <c r="A26" s="3538" t="s">
        <v>3206</v>
      </c>
      <c r="B26" s="3539"/>
      <c r="C26" s="3539"/>
      <c r="D26" s="3539"/>
      <c r="E26" s="3539"/>
      <c r="F26" s="3539"/>
      <c r="G26" s="3539"/>
      <c r="H26" s="3539"/>
      <c r="I26" s="3539"/>
      <c r="J26" s="3539"/>
      <c r="K26" s="3540"/>
      <c r="N26">
        <v>50836.800000000003</v>
      </c>
    </row>
    <row r="27" spans="1:16">
      <c r="A27" s="3535" t="s">
        <v>3200</v>
      </c>
      <c r="B27" s="3541"/>
      <c r="C27" s="3205" t="s">
        <v>3207</v>
      </c>
      <c r="D27" s="3207" t="s">
        <v>3208</v>
      </c>
      <c r="E27" s="3213"/>
      <c r="F27" s="3213"/>
      <c r="G27" s="3214"/>
      <c r="H27" s="3205"/>
      <c r="I27" s="3204"/>
      <c r="J27" s="3207"/>
      <c r="K27" s="3215"/>
      <c r="N27" t="e">
        <v>#REF!</v>
      </c>
    </row>
    <row r="28" spans="1:16">
      <c r="A28" s="3535" t="s">
        <v>3205</v>
      </c>
      <c r="B28" s="3541"/>
      <c r="C28" s="3203">
        <v>310.87</v>
      </c>
      <c r="D28" s="3210">
        <v>19375.689999999999</v>
      </c>
      <c r="E28" s="3210"/>
      <c r="F28" s="3216"/>
      <c r="G28" s="3217"/>
      <c r="H28" s="3203"/>
      <c r="I28" s="3203"/>
      <c r="J28" s="3218"/>
      <c r="K28" s="3219"/>
    </row>
    <row r="29" spans="1:16" ht="27">
      <c r="A29" s="3580" t="s">
        <v>3209</v>
      </c>
      <c r="B29" s="3220" t="s">
        <v>2378</v>
      </c>
      <c r="C29" s="3536" t="s">
        <v>3210</v>
      </c>
      <c r="D29" s="3536"/>
      <c r="E29" s="3581" t="s">
        <v>3211</v>
      </c>
      <c r="F29" s="3581"/>
      <c r="G29" s="3221" t="s">
        <v>3212</v>
      </c>
      <c r="H29" s="3220" t="s">
        <v>3213</v>
      </c>
      <c r="I29" s="3220" t="s">
        <v>3214</v>
      </c>
      <c r="J29" s="3581" t="s">
        <v>3215</v>
      </c>
      <c r="K29" s="3582"/>
    </row>
    <row r="30" spans="1:16" ht="13.5" customHeight="1">
      <c r="A30" s="3580"/>
      <c r="B30" s="3222">
        <v>1</v>
      </c>
      <c r="C30" s="3544" t="s">
        <v>3216</v>
      </c>
      <c r="D30" s="3545"/>
      <c r="E30" s="3546" t="s">
        <v>3217</v>
      </c>
      <c r="F30" s="3532"/>
      <c r="G30" s="3223">
        <v>7</v>
      </c>
      <c r="H30" s="3223">
        <v>2225.66</v>
      </c>
      <c r="I30" s="3224"/>
      <c r="J30" s="3583">
        <v>8859.1299999999992</v>
      </c>
      <c r="K30" s="3584"/>
    </row>
    <row r="31" spans="1:16" ht="13.5" customHeight="1">
      <c r="A31" s="3580"/>
      <c r="B31" s="3222">
        <v>2</v>
      </c>
      <c r="C31" s="3544" t="s">
        <v>3218</v>
      </c>
      <c r="D31" s="3545"/>
      <c r="E31" s="3546" t="s">
        <v>3219</v>
      </c>
      <c r="F31" s="3532"/>
      <c r="G31" s="3223">
        <v>1</v>
      </c>
      <c r="H31" s="3224"/>
      <c r="I31" s="3224">
        <v>401.07</v>
      </c>
      <c r="J31" s="3583"/>
      <c r="K31" s="3584"/>
    </row>
    <row r="32" spans="1:16">
      <c r="A32" s="3580"/>
      <c r="B32" s="3222">
        <v>3</v>
      </c>
      <c r="C32" s="3544" t="s">
        <v>3204</v>
      </c>
      <c r="D32" s="3545"/>
      <c r="E32" s="3546" t="s">
        <v>3220</v>
      </c>
      <c r="F32" s="3532"/>
      <c r="G32" s="3223">
        <v>1</v>
      </c>
      <c r="H32" s="3224"/>
      <c r="I32" s="3224">
        <v>7975.8</v>
      </c>
      <c r="J32" s="3583"/>
      <c r="K32" s="3584"/>
    </row>
    <row r="33" spans="1:11" ht="13.5" customHeight="1">
      <c r="A33" s="3580"/>
      <c r="B33" s="3222">
        <v>4</v>
      </c>
      <c r="C33" s="3544" t="s">
        <v>3221</v>
      </c>
      <c r="D33" s="3545"/>
      <c r="E33" s="3546" t="s">
        <v>3259</v>
      </c>
      <c r="F33" s="3532"/>
      <c r="G33" s="3223">
        <v>3</v>
      </c>
      <c r="H33" s="3224"/>
      <c r="I33" s="3223">
        <v>234.28</v>
      </c>
      <c r="J33" s="3583"/>
      <c r="K33" s="3584"/>
    </row>
    <row r="34" spans="1:11">
      <c r="A34" s="3580"/>
      <c r="B34" s="3222">
        <v>6</v>
      </c>
      <c r="C34" s="3544" t="s">
        <v>3222</v>
      </c>
      <c r="D34" s="3545"/>
      <c r="E34" s="3546" t="s">
        <v>3220</v>
      </c>
      <c r="F34" s="3532"/>
      <c r="G34" s="3223">
        <v>1</v>
      </c>
      <c r="H34" s="3224"/>
      <c r="I34" s="3224">
        <v>50.48</v>
      </c>
      <c r="J34" s="3583"/>
      <c r="K34" s="3584"/>
    </row>
    <row r="35" spans="1:11">
      <c r="A35" s="3580"/>
      <c r="B35" s="3222">
        <v>6</v>
      </c>
      <c r="C35" s="3544" t="s">
        <v>3223</v>
      </c>
      <c r="D35" s="3545"/>
      <c r="E35" s="3546" t="s">
        <v>3217</v>
      </c>
      <c r="F35" s="3532"/>
      <c r="G35" s="3223">
        <v>3</v>
      </c>
      <c r="H35" s="3224">
        <v>40</v>
      </c>
      <c r="I35" s="3224"/>
      <c r="J35" s="3583"/>
      <c r="K35" s="3584"/>
    </row>
    <row r="36" spans="1:11">
      <c r="A36" s="3580"/>
      <c r="B36" s="3222">
        <v>9</v>
      </c>
      <c r="C36" s="3544" t="s">
        <v>3224</v>
      </c>
      <c r="D36" s="3545"/>
      <c r="E36" s="3546" t="s">
        <v>3225</v>
      </c>
      <c r="F36" s="3532"/>
      <c r="G36" s="3223">
        <v>1</v>
      </c>
      <c r="H36" s="3224"/>
      <c r="I36" s="3224">
        <v>15.02</v>
      </c>
      <c r="J36" s="3583"/>
      <c r="K36" s="3584"/>
    </row>
    <row r="37" spans="1:11">
      <c r="A37" s="3580"/>
      <c r="B37" s="3222">
        <v>8</v>
      </c>
      <c r="C37" s="3544" t="s">
        <v>3226</v>
      </c>
      <c r="D37" s="3545"/>
      <c r="E37" s="3546" t="s">
        <v>3227</v>
      </c>
      <c r="F37" s="3532"/>
      <c r="G37" s="3223">
        <v>1</v>
      </c>
      <c r="H37" s="3224"/>
      <c r="I37" s="3224">
        <v>50.63</v>
      </c>
      <c r="J37" s="3583"/>
      <c r="K37" s="3584"/>
    </row>
    <row r="38" spans="1:11">
      <c r="A38" s="3580"/>
      <c r="B38" s="3222">
        <v>9</v>
      </c>
      <c r="C38" s="3544" t="s">
        <v>3228</v>
      </c>
      <c r="D38" s="3545"/>
      <c r="E38" s="3546" t="s">
        <v>3225</v>
      </c>
      <c r="F38" s="3532"/>
      <c r="G38" s="3223">
        <v>1</v>
      </c>
      <c r="H38" s="3224"/>
      <c r="I38" s="3224">
        <v>50.63</v>
      </c>
      <c r="J38" s="3583"/>
      <c r="K38" s="3584"/>
    </row>
    <row r="39" spans="1:11">
      <c r="A39" s="3580"/>
      <c r="B39" s="3222">
        <v>10</v>
      </c>
      <c r="C39" s="3544" t="s">
        <v>3229</v>
      </c>
      <c r="D39" s="3545"/>
      <c r="E39" s="3546" t="s">
        <v>3227</v>
      </c>
      <c r="F39" s="3532"/>
      <c r="G39" s="3223">
        <v>1</v>
      </c>
      <c r="H39" s="3224"/>
      <c r="I39" s="3224">
        <v>50.63</v>
      </c>
      <c r="J39" s="3583"/>
      <c r="K39" s="3584"/>
    </row>
    <row r="40" spans="1:11" ht="13.5" customHeight="1">
      <c r="A40" s="3580"/>
      <c r="B40" s="3222">
        <v>11</v>
      </c>
      <c r="C40" s="3544" t="s">
        <v>3230</v>
      </c>
      <c r="D40" s="3545"/>
      <c r="E40" s="3546" t="s">
        <v>3220</v>
      </c>
      <c r="F40" s="3532"/>
      <c r="G40" s="3223">
        <v>1</v>
      </c>
      <c r="H40" s="3224">
        <v>2.5</v>
      </c>
      <c r="I40" s="3224">
        <v>10.47</v>
      </c>
      <c r="J40" s="3583"/>
      <c r="K40" s="3584"/>
    </row>
    <row r="41" spans="1:11" ht="13.5" customHeight="1">
      <c r="A41" s="3580"/>
      <c r="B41" s="3222">
        <v>12</v>
      </c>
      <c r="C41" s="3544" t="s">
        <v>3231</v>
      </c>
      <c r="D41" s="3545"/>
      <c r="E41" s="3546" t="s">
        <v>3217</v>
      </c>
      <c r="F41" s="3532"/>
      <c r="G41" s="3223">
        <v>2</v>
      </c>
      <c r="H41" s="3224">
        <v>10</v>
      </c>
      <c r="I41" s="3224">
        <v>0</v>
      </c>
      <c r="J41" s="3583"/>
      <c r="K41" s="3584"/>
    </row>
    <row r="42" spans="1:11" ht="13.5" customHeight="1">
      <c r="A42" s="3580"/>
      <c r="B42" s="3222">
        <v>13</v>
      </c>
      <c r="C42" s="3544" t="s">
        <v>3232</v>
      </c>
      <c r="D42" s="3545"/>
      <c r="E42" s="3546" t="s">
        <v>3225</v>
      </c>
      <c r="F42" s="3532"/>
      <c r="G42" s="3223">
        <v>1</v>
      </c>
      <c r="H42" s="3224"/>
      <c r="I42" s="3224">
        <v>20.12</v>
      </c>
      <c r="J42" s="3583"/>
      <c r="K42" s="3584"/>
    </row>
    <row r="43" spans="1:11" ht="13.5" customHeight="1">
      <c r="A43" s="3580" t="s">
        <v>3233</v>
      </c>
      <c r="B43" s="3222"/>
      <c r="C43" s="3544"/>
      <c r="D43" s="3545"/>
      <c r="E43" s="3546"/>
      <c r="F43" s="3532"/>
      <c r="G43" s="3223"/>
      <c r="H43" s="3224"/>
      <c r="I43" s="3224"/>
      <c r="J43" s="3583"/>
      <c r="K43" s="3584"/>
    </row>
    <row r="44" spans="1:11" ht="13.5" customHeight="1">
      <c r="A44" s="3580" t="s">
        <v>3194</v>
      </c>
      <c r="B44" s="3222"/>
      <c r="C44" s="3544"/>
      <c r="D44" s="3545" t="s">
        <v>3234</v>
      </c>
      <c r="E44" s="3546"/>
      <c r="F44" s="3532" t="s">
        <v>3235</v>
      </c>
      <c r="G44" s="3223" t="s">
        <v>2955</v>
      </c>
      <c r="H44" s="3224"/>
      <c r="I44" s="3224"/>
      <c r="J44" s="3583" t="s">
        <v>3236</v>
      </c>
      <c r="K44" s="3584" t="s">
        <v>3237</v>
      </c>
    </row>
    <row r="45" spans="1:11">
      <c r="A45" s="3580" t="s">
        <v>3238</v>
      </c>
      <c r="B45" s="3222"/>
      <c r="C45" s="3544" t="s">
        <v>3197</v>
      </c>
      <c r="D45" s="3545" t="s">
        <v>2991</v>
      </c>
      <c r="E45" s="3546" t="s">
        <v>3239</v>
      </c>
      <c r="F45" s="3532"/>
      <c r="G45" s="3223" t="s">
        <v>3240</v>
      </c>
      <c r="H45" s="3224" t="s">
        <v>3241</v>
      </c>
      <c r="I45" s="3224" t="s">
        <v>3242</v>
      </c>
      <c r="J45" s="3583"/>
      <c r="K45" s="3584"/>
    </row>
    <row r="46" spans="1:11">
      <c r="A46" s="3580" t="s">
        <v>2990</v>
      </c>
      <c r="B46" s="3222"/>
      <c r="C46" s="3544" t="s">
        <v>3243</v>
      </c>
      <c r="D46" s="3545">
        <v>2</v>
      </c>
      <c r="E46" s="3546">
        <v>0</v>
      </c>
      <c r="F46" s="3532">
        <v>9</v>
      </c>
      <c r="G46" s="3223">
        <v>450.88</v>
      </c>
      <c r="H46" s="3224">
        <v>450.88</v>
      </c>
      <c r="I46" s="3224">
        <v>0</v>
      </c>
      <c r="J46" s="3583">
        <v>340.49</v>
      </c>
      <c r="K46" s="3584"/>
    </row>
    <row r="47" spans="1:11">
      <c r="A47" s="3580" t="s">
        <v>923</v>
      </c>
      <c r="B47" s="3222"/>
      <c r="C47" s="3544" t="s">
        <v>3244</v>
      </c>
      <c r="D47" s="3545">
        <v>31</v>
      </c>
      <c r="E47" s="3546">
        <v>1</v>
      </c>
      <c r="F47" s="3532">
        <v>99.9</v>
      </c>
      <c r="G47" s="3223">
        <v>12464.47</v>
      </c>
      <c r="H47" s="3224">
        <v>12464.47</v>
      </c>
      <c r="I47" s="3224">
        <v>0</v>
      </c>
      <c r="J47" s="3583">
        <v>871.66</v>
      </c>
      <c r="K47" s="3584"/>
    </row>
    <row r="48" spans="1:11">
      <c r="A48" s="3576" t="s">
        <v>923</v>
      </c>
      <c r="B48" s="3577"/>
      <c r="C48" s="3577" t="s">
        <v>3245</v>
      </c>
      <c r="D48" s="3577">
        <v>31</v>
      </c>
      <c r="E48" s="3577">
        <v>1</v>
      </c>
      <c r="F48" s="3577">
        <v>99.9</v>
      </c>
      <c r="G48" s="3577">
        <v>12295.74</v>
      </c>
      <c r="H48" s="3577">
        <v>12268.02</v>
      </c>
      <c r="I48" s="3577">
        <v>27.72</v>
      </c>
      <c r="J48" s="3577">
        <v>702.93</v>
      </c>
      <c r="K48" s="3578"/>
    </row>
    <row r="49" spans="1:11">
      <c r="A49" s="3555" t="s">
        <v>923</v>
      </c>
      <c r="B49" s="3542"/>
      <c r="C49" s="3542" t="s">
        <v>3246</v>
      </c>
      <c r="D49" s="3542">
        <v>32</v>
      </c>
      <c r="E49" s="3542">
        <v>2</v>
      </c>
      <c r="F49" s="3542">
        <v>99.9</v>
      </c>
      <c r="G49" s="3533">
        <v>12581.96</v>
      </c>
      <c r="H49" s="3533">
        <v>12581.96</v>
      </c>
      <c r="I49" s="3533">
        <v>0</v>
      </c>
      <c r="J49" s="3533">
        <v>389.68</v>
      </c>
      <c r="K49" s="3534"/>
    </row>
    <row r="50" spans="1:11">
      <c r="A50" s="3535" t="s">
        <v>923</v>
      </c>
      <c r="B50" s="3533"/>
      <c r="C50" s="3201" t="s">
        <v>3247</v>
      </c>
      <c r="D50" s="3201">
        <v>22</v>
      </c>
      <c r="E50" s="3201">
        <v>2</v>
      </c>
      <c r="F50" s="3542">
        <v>70.5</v>
      </c>
      <c r="G50" s="3225">
        <v>8745.42</v>
      </c>
      <c r="H50" s="3226">
        <v>8745.42</v>
      </c>
      <c r="I50" s="3201">
        <v>0</v>
      </c>
      <c r="J50" s="3533">
        <v>645.22</v>
      </c>
      <c r="K50" s="3534"/>
    </row>
    <row r="51" spans="1:11">
      <c r="A51" s="3531" t="s">
        <v>923</v>
      </c>
      <c r="B51" s="3532"/>
      <c r="C51" s="3222" t="s">
        <v>3248</v>
      </c>
      <c r="D51" s="3222">
        <v>31</v>
      </c>
      <c r="E51" s="3222">
        <v>2</v>
      </c>
      <c r="F51" s="3222">
        <v>99.9</v>
      </c>
      <c r="G51" s="3227">
        <v>12368.25</v>
      </c>
      <c r="H51" s="3223">
        <v>12085.1</v>
      </c>
      <c r="I51" s="3222">
        <v>283.14999999999998</v>
      </c>
      <c r="J51" s="3228">
        <v>395.5</v>
      </c>
      <c r="K51" s="3229"/>
    </row>
    <row r="52" spans="1:11">
      <c r="A52" s="3531" t="s">
        <v>2990</v>
      </c>
      <c r="B52" s="3532"/>
      <c r="C52" s="3222" t="s">
        <v>3249</v>
      </c>
      <c r="D52" s="3222">
        <v>2</v>
      </c>
      <c r="E52" s="3222">
        <v>0</v>
      </c>
      <c r="F52" s="3222">
        <v>9</v>
      </c>
      <c r="G52" s="3227">
        <v>579.37</v>
      </c>
      <c r="H52" s="3223">
        <v>579.37</v>
      </c>
      <c r="I52" s="3222">
        <v>0</v>
      </c>
      <c r="J52" s="3228">
        <v>341.94</v>
      </c>
      <c r="K52" s="3229"/>
    </row>
    <row r="53" spans="1:11">
      <c r="A53" s="3531" t="s">
        <v>3250</v>
      </c>
      <c r="B53" s="3532"/>
      <c r="C53" s="3222" t="s">
        <v>3208</v>
      </c>
      <c r="D53" s="3222"/>
      <c r="E53" s="3222">
        <v>2</v>
      </c>
      <c r="F53" s="3222"/>
      <c r="G53" s="3227">
        <v>19375.689999999999</v>
      </c>
      <c r="H53" s="3223">
        <v>0</v>
      </c>
      <c r="I53" s="3222">
        <v>19375.689999999999</v>
      </c>
      <c r="J53" s="3228"/>
      <c r="K53" s="3229"/>
    </row>
    <row r="54" spans="1:11">
      <c r="A54" s="3531" t="s">
        <v>3251</v>
      </c>
      <c r="B54" s="3532"/>
      <c r="C54" s="3222"/>
      <c r="D54" s="3222"/>
      <c r="E54" s="3222"/>
      <c r="F54" s="3222"/>
      <c r="G54" s="3227"/>
      <c r="H54" s="3223"/>
      <c r="I54" s="3222"/>
      <c r="J54" s="3228"/>
      <c r="K54" s="3229"/>
    </row>
    <row r="55" spans="1:11">
      <c r="A55" s="3531" t="s">
        <v>3252</v>
      </c>
      <c r="B55" s="3532"/>
      <c r="C55" s="3222"/>
      <c r="D55" s="3222"/>
      <c r="E55" s="3222"/>
      <c r="F55" s="3222"/>
      <c r="G55" s="3227"/>
      <c r="H55" s="3223"/>
      <c r="I55" s="3222"/>
      <c r="J55" s="3228"/>
      <c r="K55" s="3229"/>
    </row>
    <row r="56" spans="1:11" ht="13.5" customHeight="1">
      <c r="A56" s="3531" t="s">
        <v>3253</v>
      </c>
      <c r="B56" s="3532"/>
      <c r="C56" s="3222"/>
      <c r="D56" s="3222"/>
      <c r="E56" s="3222"/>
      <c r="F56" s="3222"/>
      <c r="G56" s="3227"/>
      <c r="H56" s="3223"/>
      <c r="I56" s="3222"/>
      <c r="J56" s="3230"/>
      <c r="K56" s="3229"/>
    </row>
    <row r="57" spans="1:11" ht="13.5" customHeight="1">
      <c r="A57" s="3531" t="s">
        <v>3254</v>
      </c>
      <c r="B57" s="3532"/>
      <c r="C57" s="3222"/>
      <c r="D57" s="3222"/>
      <c r="E57" s="3222"/>
      <c r="F57" s="3222"/>
      <c r="G57" s="3227"/>
      <c r="H57" s="3223"/>
      <c r="I57" s="3222"/>
      <c r="J57" s="3230"/>
      <c r="K57" s="3229"/>
    </row>
    <row r="58" spans="1:11" ht="13.5" customHeight="1">
      <c r="A58" s="3531" t="s">
        <v>3255</v>
      </c>
      <c r="B58" s="3532"/>
      <c r="C58" s="3222"/>
      <c r="D58" s="3222"/>
      <c r="E58" s="3222"/>
      <c r="F58" s="3222"/>
      <c r="G58" s="3227"/>
      <c r="H58" s="3223"/>
      <c r="I58" s="3222"/>
      <c r="J58" s="3228"/>
      <c r="K58" s="3229"/>
    </row>
    <row r="59" spans="1:11">
      <c r="A59" s="3531" t="s">
        <v>3256</v>
      </c>
      <c r="B59" s="3532"/>
      <c r="C59" s="3222"/>
      <c r="D59" s="3222"/>
      <c r="E59" s="3222"/>
      <c r="F59" s="3222"/>
      <c r="G59" s="3227"/>
      <c r="H59" s="3222"/>
      <c r="I59" s="3222"/>
      <c r="J59" s="3222"/>
      <c r="K59" s="3231"/>
    </row>
    <row r="60" spans="1:11" ht="13.5" customHeight="1" thickBot="1">
      <c r="A60" s="3570" t="s">
        <v>3257</v>
      </c>
      <c r="B60" s="3571"/>
      <c r="C60" s="3571"/>
      <c r="D60" s="3571"/>
      <c r="E60" s="3571"/>
      <c r="F60" s="3571"/>
      <c r="G60" s="3571"/>
      <c r="H60" s="3571"/>
      <c r="I60" s="3571"/>
      <c r="J60" s="3571"/>
      <c r="K60" s="3572"/>
    </row>
    <row r="61" spans="1:11" ht="13.5" customHeight="1" thickTop="1">
      <c r="A61" s="3573" t="s">
        <v>3258</v>
      </c>
      <c r="B61" s="3574"/>
      <c r="C61" s="3574"/>
      <c r="D61" s="3574"/>
      <c r="E61" s="3574"/>
      <c r="F61" s="3574"/>
      <c r="G61" s="3574"/>
      <c r="H61" s="3574"/>
      <c r="I61" s="3574"/>
      <c r="J61" s="3574"/>
      <c r="K61" s="3575"/>
    </row>
  </sheetData>
  <mergeCells count="127">
    <mergeCell ref="A2:K2"/>
    <mergeCell ref="A3:K3"/>
    <mergeCell ref="A7:C7"/>
    <mergeCell ref="D7:F7"/>
    <mergeCell ref="G7:H7"/>
    <mergeCell ref="I7:K7"/>
    <mergeCell ref="A6:C6"/>
    <mergeCell ref="D6:F6"/>
    <mergeCell ref="G6:H6"/>
    <mergeCell ref="I6:K6"/>
    <mergeCell ref="A4:C5"/>
    <mergeCell ref="D4:F5"/>
    <mergeCell ref="G4:H4"/>
    <mergeCell ref="I4:K4"/>
    <mergeCell ref="G5:H5"/>
    <mergeCell ref="I5:K5"/>
    <mergeCell ref="C41:D41"/>
    <mergeCell ref="E41:F41"/>
    <mergeCell ref="C42:D42"/>
    <mergeCell ref="E42:F42"/>
    <mergeCell ref="C43:D43"/>
    <mergeCell ref="A29:A47"/>
    <mergeCell ref="C29:D29"/>
    <mergeCell ref="E29:F29"/>
    <mergeCell ref="J29:K29"/>
    <mergeCell ref="J30:K47"/>
    <mergeCell ref="C30:D30"/>
    <mergeCell ref="E30:F30"/>
    <mergeCell ref="C31:D31"/>
    <mergeCell ref="E31:F31"/>
    <mergeCell ref="C32:D32"/>
    <mergeCell ref="E32:F32"/>
    <mergeCell ref="C33:D33"/>
    <mergeCell ref="E33:F33"/>
    <mergeCell ref="C38:D38"/>
    <mergeCell ref="E38:F38"/>
    <mergeCell ref="C39:D39"/>
    <mergeCell ref="E39:F39"/>
    <mergeCell ref="A8:C8"/>
    <mergeCell ref="D8:F8"/>
    <mergeCell ref="G8:H8"/>
    <mergeCell ref="I8:K8"/>
    <mergeCell ref="A60:K60"/>
    <mergeCell ref="A61:K61"/>
    <mergeCell ref="F49:F50"/>
    <mergeCell ref="C47:D47"/>
    <mergeCell ref="E47:F47"/>
    <mergeCell ref="A48:K48"/>
    <mergeCell ref="A49:C49"/>
    <mergeCell ref="D49:E49"/>
    <mergeCell ref="G49:I49"/>
    <mergeCell ref="E43:F43"/>
    <mergeCell ref="C44:D44"/>
    <mergeCell ref="E44:F44"/>
    <mergeCell ref="C45:D45"/>
    <mergeCell ref="E45:F45"/>
    <mergeCell ref="C46:D46"/>
    <mergeCell ref="E46:F46"/>
    <mergeCell ref="C40:D40"/>
    <mergeCell ref="E40:F40"/>
    <mergeCell ref="A12:C12"/>
    <mergeCell ref="D12:E12"/>
    <mergeCell ref="F12:G12"/>
    <mergeCell ref="I12:J12"/>
    <mergeCell ref="A13:C13"/>
    <mergeCell ref="D13:F13"/>
    <mergeCell ref="G13:H13"/>
    <mergeCell ref="I13:K13"/>
    <mergeCell ref="A9:K9"/>
    <mergeCell ref="A10:C11"/>
    <mergeCell ref="D10:F11"/>
    <mergeCell ref="G10:H10"/>
    <mergeCell ref="I10:K10"/>
    <mergeCell ref="G11:H11"/>
    <mergeCell ref="I11:K11"/>
    <mergeCell ref="A20:C20"/>
    <mergeCell ref="D20:F20"/>
    <mergeCell ref="G20:H20"/>
    <mergeCell ref="I20:K20"/>
    <mergeCell ref="D21:E21"/>
    <mergeCell ref="F21:K21"/>
    <mergeCell ref="G14:H14"/>
    <mergeCell ref="I14:K14"/>
    <mergeCell ref="A15:C18"/>
    <mergeCell ref="D15:E18"/>
    <mergeCell ref="F15:F18"/>
    <mergeCell ref="I15:J15"/>
    <mergeCell ref="I16:J16"/>
    <mergeCell ref="G17:G18"/>
    <mergeCell ref="H17:H18"/>
    <mergeCell ref="A19:C19"/>
    <mergeCell ref="D19:F19"/>
    <mergeCell ref="G19:H19"/>
    <mergeCell ref="I19:K19"/>
    <mergeCell ref="A21:C22"/>
    <mergeCell ref="G15:H15"/>
    <mergeCell ref="G16:H16"/>
    <mergeCell ref="A14:C14"/>
    <mergeCell ref="D14:F14"/>
    <mergeCell ref="F22:K22"/>
    <mergeCell ref="A23:K23"/>
    <mergeCell ref="A24:B24"/>
    <mergeCell ref="A25:B25"/>
    <mergeCell ref="A26:K26"/>
    <mergeCell ref="A27:B27"/>
    <mergeCell ref="A28:B28"/>
    <mergeCell ref="D22:E22"/>
    <mergeCell ref="C37:D37"/>
    <mergeCell ref="E37:F37"/>
    <mergeCell ref="C34:D34"/>
    <mergeCell ref="E34:F34"/>
    <mergeCell ref="C35:D35"/>
    <mergeCell ref="E35:F35"/>
    <mergeCell ref="C36:D36"/>
    <mergeCell ref="E36:F36"/>
    <mergeCell ref="A54:B54"/>
    <mergeCell ref="A55:B55"/>
    <mergeCell ref="A56:B56"/>
    <mergeCell ref="A57:B57"/>
    <mergeCell ref="A58:B58"/>
    <mergeCell ref="A59:B59"/>
    <mergeCell ref="J49:J50"/>
    <mergeCell ref="K49:K50"/>
    <mergeCell ref="A50:B50"/>
    <mergeCell ref="A51:B51"/>
    <mergeCell ref="A52:B52"/>
    <mergeCell ref="A53:B53"/>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1" t="s">
        <v>2041</v>
      </c>
      <c r="B1" s="3241"/>
      <c r="C1" s="3241"/>
      <c r="D1" s="3241"/>
      <c r="E1" s="3241"/>
      <c r="F1" s="3241"/>
      <c r="G1" s="3241"/>
      <c r="H1" s="3241"/>
      <c r="I1" s="3241"/>
      <c r="J1" s="3241"/>
      <c r="K1" s="3241"/>
      <c r="L1" s="3241"/>
      <c r="M1" s="3241"/>
      <c r="N1" s="3241"/>
      <c r="O1" s="3241"/>
      <c r="P1" s="3241"/>
      <c r="Q1" s="3241"/>
      <c r="R1" s="3241"/>
    </row>
    <row r="2" spans="1:18">
      <c r="A2" s="1808" t="s">
        <v>2043</v>
      </c>
      <c r="B2" s="1808"/>
      <c r="C2" s="1808"/>
      <c r="D2" s="1808"/>
      <c r="E2" s="1808"/>
      <c r="F2" s="1808"/>
      <c r="G2" s="1808"/>
      <c r="H2" s="1808"/>
      <c r="I2" s="1809"/>
      <c r="J2" s="1809"/>
      <c r="K2" s="1810" t="str">
        <f>"估价期日："&amp;TEXT(项目基本情况!D3,"yyyy年m月d日;;")</f>
        <v>估价期日：2018年9月19日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42" t="s">
        <v>2032</v>
      </c>
      <c r="B3" s="3242" t="s">
        <v>2734</v>
      </c>
      <c r="C3" s="3243" t="s">
        <v>2033</v>
      </c>
      <c r="D3" s="3242" t="s">
        <v>2738</v>
      </c>
      <c r="E3" s="3237" t="s">
        <v>2034</v>
      </c>
      <c r="F3" s="3237"/>
      <c r="G3" s="3237"/>
      <c r="H3" s="3237" t="s">
        <v>2035</v>
      </c>
      <c r="I3" s="3237"/>
      <c r="J3" s="3237"/>
      <c r="K3" s="3243" t="s">
        <v>2036</v>
      </c>
      <c r="L3" s="3243" t="s">
        <v>2037</v>
      </c>
      <c r="M3" s="3242" t="s">
        <v>2735</v>
      </c>
      <c r="N3" s="3244" t="str">
        <f>"（分摊）"&amp;项目基本情况!B16&amp;"国有建设用地使用权面积/㎡"</f>
        <v>（分摊）出让国有建设用地使用权面积/㎡</v>
      </c>
      <c r="O3" s="3242" t="s">
        <v>2066</v>
      </c>
      <c r="P3" s="3243" t="s">
        <v>2046</v>
      </c>
      <c r="Q3" s="3243" t="s">
        <v>2067</v>
      </c>
      <c r="R3" s="3243" t="s">
        <v>2038</v>
      </c>
    </row>
    <row r="4" spans="1:18" ht="36.75" customHeight="1">
      <c r="A4" s="3242"/>
      <c r="B4" s="3242"/>
      <c r="C4" s="3243"/>
      <c r="D4" s="3242"/>
      <c r="E4" s="2650" t="s">
        <v>2045</v>
      </c>
      <c r="F4" s="2650" t="s">
        <v>2747</v>
      </c>
      <c r="G4" s="2650" t="s">
        <v>2039</v>
      </c>
      <c r="H4" s="2650" t="s">
        <v>2040</v>
      </c>
      <c r="I4" s="2650" t="s">
        <v>2748</v>
      </c>
      <c r="J4" s="2650" t="s">
        <v>2039</v>
      </c>
      <c r="K4" s="3243"/>
      <c r="L4" s="3243"/>
      <c r="M4" s="3242"/>
      <c r="N4" s="3244"/>
      <c r="O4" s="3242"/>
      <c r="P4" s="3243"/>
      <c r="Q4" s="3243"/>
      <c r="R4" s="3243"/>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19604.2</v>
      </c>
      <c r="O5" s="1811">
        <f>项目基本情况!C21</f>
        <v>78499.16</v>
      </c>
      <c r="P5" s="1811">
        <f ca="1">结果表!E42</f>
        <v>15832</v>
      </c>
      <c r="Q5" s="1811">
        <f ca="1">结果表!D42</f>
        <v>3954</v>
      </c>
      <c r="R5" s="1812">
        <f ca="1">结果表!C42</f>
        <v>31037</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3" t="str">
        <f>结果表!O39</f>
        <v>——</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3"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45" t="s">
        <v>2068</v>
      </c>
      <c r="B1" s="3245"/>
      <c r="C1" s="3245"/>
      <c r="D1" s="3245"/>
    </row>
    <row r="2" spans="1:4" ht="47.25" customHeight="1">
      <c r="A2" s="3249" t="str">
        <f>"1.权利限制："&amp;项目基本情况!L24&amp;"未设定租赁等其他他项权利。"</f>
        <v>1.权利限制：根据估价对象《不动产权证书》原件、《国有土地使用权》复印件，截至估价期日，估价对象抵押权未见登记。未设定租赁等其他他项权利。</v>
      </c>
      <c r="B2" s="3249"/>
      <c r="C2" s="3249"/>
      <c r="D2" s="3249"/>
    </row>
    <row r="3" spans="1:4" ht="48" customHeight="1">
      <c r="A3" s="324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5"/>
      <c r="C3" s="3245"/>
      <c r="D3" s="3245"/>
    </row>
    <row r="4" spans="1:4" ht="36.75" customHeight="1">
      <c r="A4" s="3245" t="str">
        <f>"3.估价规划限制条件：详见"&amp;项目基本情况!E21&amp;"。"</f>
        <v>3.估价规划限制条件：详见《建设工程规划许可证》[]、《出让合同》[]。</v>
      </c>
      <c r="B4" s="3245"/>
      <c r="C4" s="3245"/>
      <c r="D4" s="3245"/>
    </row>
    <row r="5" spans="1:4">
      <c r="A5" s="3248" t="s">
        <v>2069</v>
      </c>
      <c r="B5" s="3248"/>
      <c r="C5" s="3248"/>
      <c r="D5" s="3248"/>
    </row>
    <row r="6" spans="1:4">
      <c r="A6" s="3245" t="s">
        <v>2047</v>
      </c>
      <c r="B6" s="3245"/>
      <c r="C6" s="3245"/>
      <c r="D6" s="3245"/>
    </row>
    <row r="7" spans="1:4" ht="33" customHeight="1">
      <c r="A7" s="3245" t="s">
        <v>2578</v>
      </c>
      <c r="B7" s="3245"/>
      <c r="C7" s="3245"/>
      <c r="D7" s="3245"/>
    </row>
    <row r="8" spans="1:4" ht="32.25" customHeight="1">
      <c r="A8" s="324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5"/>
      <c r="C8" s="3245"/>
      <c r="D8" s="3245"/>
    </row>
    <row r="9" spans="1:4" ht="33.75" customHeight="1">
      <c r="A9" s="3245" t="str">
        <f>IF(项目基本情况!B8="抵押","3.抵押双方在办理抵押登记手续时，应使用本公司出具的正式《土地估价报告》，特提请报告使用者注意。","——")</f>
        <v>——</v>
      </c>
      <c r="B9" s="3245"/>
      <c r="C9" s="3245"/>
      <c r="D9" s="3245"/>
    </row>
    <row r="10" spans="1:4">
      <c r="A10" s="3245" t="str">
        <f>IF(项目基本情况!B8="抵押","4.估价师所知悉的法定优先受偿款情况为：","——")</f>
        <v>——</v>
      </c>
      <c r="B10" s="3245"/>
      <c r="C10" s="3245"/>
      <c r="D10" s="3245"/>
    </row>
    <row r="11" spans="1:4" ht="37.5" customHeight="1">
      <c r="A11" s="3247" t="str">
        <f>IF(项目基本情况!B8="抵押","（1）"&amp;CONCATENATE(项目基本情况!L24,项目基本情况!L25,项目基本情况!L26),"——")</f>
        <v>——</v>
      </c>
      <c r="B11" s="3247"/>
      <c r="C11" s="3247"/>
      <c r="D11" s="3247"/>
    </row>
    <row r="12" spans="1:4" ht="168" customHeight="1">
      <c r="A12" s="3248" t="s">
        <v>2071</v>
      </c>
      <c r="B12" s="3248"/>
      <c r="C12" s="3248"/>
      <c r="D12" s="3248"/>
    </row>
    <row r="13" spans="1:4">
      <c r="A13" s="3246" t="s">
        <v>2749</v>
      </c>
      <c r="B13" s="3246"/>
      <c r="C13" s="3246"/>
      <c r="D13" s="3246"/>
    </row>
    <row r="14" spans="1:4">
      <c r="A14" s="3247" t="str">
        <f>IF(项目基本情况!B8="抵押","综上，"&amp;结果表!K47,"——")</f>
        <v>——</v>
      </c>
      <c r="B14" s="3247"/>
      <c r="C14" s="3247"/>
      <c r="D14" s="3247"/>
    </row>
    <row r="15" spans="1:4" ht="58.5" customHeight="1">
      <c r="A15" s="324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5"/>
      <c r="C15" s="3245"/>
      <c r="D15" s="3245"/>
    </row>
    <row r="16" spans="1:4" ht="70.5" customHeight="1">
      <c r="A16" s="324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5"/>
      <c r="C16" s="3245"/>
      <c r="D16" s="3245"/>
    </row>
    <row r="17" spans="1:4">
      <c r="A17" s="3245" t="s">
        <v>2705</v>
      </c>
      <c r="B17" s="3245"/>
      <c r="C17" s="3245"/>
      <c r="D17" s="3245"/>
    </row>
    <row r="18" spans="1:4">
      <c r="A18" s="3245" t="s">
        <v>2697</v>
      </c>
      <c r="B18" s="3245"/>
      <c r="C18" s="3245"/>
      <c r="D18" s="3245"/>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45" t="s">
        <v>2702</v>
      </c>
      <c r="B23" s="3245"/>
      <c r="C23" s="3245"/>
      <c r="D23" s="3245"/>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57" t="s">
        <v>53</v>
      </c>
      <c r="B15" s="3258" t="s">
        <v>846</v>
      </c>
      <c r="C15" s="3254"/>
    </row>
    <row r="16" spans="1:7" ht="14.25">
      <c r="A16" s="3257"/>
      <c r="B16" s="3255" t="s">
        <v>54</v>
      </c>
      <c r="C16" s="1172" t="s">
        <v>53</v>
      </c>
    </row>
    <row r="17" spans="1:3" ht="14.25">
      <c r="A17" s="3257"/>
      <c r="B17" s="3255"/>
      <c r="C17" s="1172" t="s">
        <v>55</v>
      </c>
    </row>
    <row r="18" spans="1:3" ht="14.25">
      <c r="A18" s="3257"/>
      <c r="B18" s="3255"/>
      <c r="C18" s="1172" t="s">
        <v>56</v>
      </c>
    </row>
    <row r="19" spans="1:3" ht="14.25">
      <c r="A19" s="3257"/>
      <c r="B19" s="3253" t="s">
        <v>57</v>
      </c>
      <c r="C19" s="3254"/>
    </row>
    <row r="20" spans="1:3" ht="14.25">
      <c r="A20" s="1173" t="s">
        <v>58</v>
      </c>
      <c r="B20" s="1174"/>
      <c r="C20" s="1175"/>
    </row>
    <row r="21" spans="1:3" ht="14.25">
      <c r="A21" s="3256" t="s">
        <v>59</v>
      </c>
      <c r="B21" s="3253" t="s">
        <v>60</v>
      </c>
      <c r="C21" s="3254"/>
    </row>
    <row r="22" spans="1:3" ht="14.25">
      <c r="A22" s="3256"/>
      <c r="B22" s="3253" t="s">
        <v>61</v>
      </c>
      <c r="C22" s="3254"/>
    </row>
    <row r="23" spans="1:3" ht="14.25">
      <c r="A23" s="3256"/>
      <c r="B23" s="3253" t="s">
        <v>62</v>
      </c>
      <c r="C23" s="3254"/>
    </row>
    <row r="24" spans="1:3" ht="14.25">
      <c r="A24" s="3256"/>
      <c r="B24" s="3259" t="s">
        <v>63</v>
      </c>
      <c r="C24" s="1176" t="s">
        <v>837</v>
      </c>
    </row>
    <row r="25" spans="1:3" ht="14.25">
      <c r="A25" s="3256"/>
      <c r="B25" s="3260"/>
      <c r="C25" s="1176" t="s">
        <v>838</v>
      </c>
    </row>
    <row r="26" spans="1:3" ht="14.25">
      <c r="A26" s="3256"/>
      <c r="B26" s="3260"/>
      <c r="C26" s="1176" t="s">
        <v>839</v>
      </c>
    </row>
    <row r="27" spans="1:3" ht="14.25">
      <c r="A27" s="3256"/>
      <c r="B27" s="3260"/>
      <c r="C27" s="1176" t="s">
        <v>840</v>
      </c>
    </row>
    <row r="28" spans="1:3" ht="14.25">
      <c r="A28" s="3256"/>
      <c r="B28" s="3260"/>
      <c r="C28" s="1176" t="s">
        <v>841</v>
      </c>
    </row>
    <row r="29" spans="1:3" ht="14.25">
      <c r="A29" s="3256"/>
      <c r="B29" s="3260"/>
      <c r="C29" s="1176" t="s">
        <v>842</v>
      </c>
    </row>
    <row r="30" spans="1:3" ht="14.25">
      <c r="A30" s="3256"/>
      <c r="B30" s="3260"/>
      <c r="C30" s="1176" t="s">
        <v>843</v>
      </c>
    </row>
    <row r="31" spans="1:3" ht="14.25">
      <c r="A31" s="3256"/>
      <c r="B31" s="3260"/>
      <c r="C31" s="1176" t="s">
        <v>844</v>
      </c>
    </row>
    <row r="32" spans="1:3" ht="14.25">
      <c r="A32" s="3256"/>
      <c r="B32" s="3260"/>
      <c r="C32" s="1176" t="s">
        <v>1647</v>
      </c>
    </row>
    <row r="33" spans="1:3" ht="14.25">
      <c r="A33" s="3256"/>
      <c r="B33" s="3250" t="s">
        <v>1653</v>
      </c>
      <c r="C33" s="1176" t="s">
        <v>1648</v>
      </c>
    </row>
    <row r="34" spans="1:3" ht="14.25">
      <c r="A34" s="3256"/>
      <c r="B34" s="3251"/>
      <c r="C34" s="1181" t="s">
        <v>1649</v>
      </c>
    </row>
    <row r="35" spans="1:3" ht="14.25">
      <c r="A35" s="3256"/>
      <c r="B35" s="3251"/>
      <c r="C35" s="1182" t="s">
        <v>1650</v>
      </c>
    </row>
    <row r="36" spans="1:3" ht="14.25">
      <c r="A36" s="3256"/>
      <c r="B36" s="3251"/>
      <c r="C36" s="1182" t="s">
        <v>1651</v>
      </c>
    </row>
    <row r="37" spans="1:3" ht="14.25">
      <c r="A37" s="3256"/>
      <c r="B37" s="325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43511</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1" t="s">
        <v>1929</v>
      </c>
      <c r="B25" s="3261"/>
      <c r="C25" s="3261"/>
      <c r="D25" s="3261"/>
      <c r="E25" s="3261"/>
      <c r="F25" s="3261"/>
      <c r="G25" s="3261"/>
    </row>
    <row r="26" spans="1:7" ht="20.25" customHeight="1">
      <c r="A26" s="3262" t="s">
        <v>1930</v>
      </c>
      <c r="B26" s="3262"/>
      <c r="C26" s="3262"/>
      <c r="D26" s="3262" t="s">
        <v>1931</v>
      </c>
      <c r="E26" s="3262"/>
      <c r="F26" s="3262"/>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6" workbookViewId="0">
      <selection activeCell="AC16" sqref="AC1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2962</v>
      </c>
      <c r="C18" s="1554"/>
    </row>
    <row r="19" spans="1:3">
      <c r="A19" s="8" t="s">
        <v>120</v>
      </c>
      <c r="B19" s="3114" t="s">
        <v>2970</v>
      </c>
      <c r="C19" s="1554"/>
    </row>
    <row r="20" spans="1:3">
      <c r="A20" s="8" t="s">
        <v>121</v>
      </c>
      <c r="B20" s="8" t="s">
        <v>3262</v>
      </c>
      <c r="C20" s="1554"/>
    </row>
    <row r="21" spans="1:3">
      <c r="A21" s="8" t="s">
        <v>122</v>
      </c>
      <c r="B21" s="8" t="s">
        <v>3263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63"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8"/>
      <c r="E53" s="1768"/>
    </row>
    <row r="54" spans="1:5">
      <c r="A54" s="3263"/>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63"/>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63"/>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63"/>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不动产收益法 (3)</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2019-02-15T09:04:23Z</dcterms:modified>
</cp:coreProperties>
</file>