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40" windowHeight="12540" tabRatio="875" firstSheet="9"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0" i="39" l="1"/>
  <c r="E120" i="39" l="1"/>
  <c r="F120" i="39" s="1"/>
  <c r="D73" i="39" l="1"/>
  <c r="E73" i="39" s="1"/>
  <c r="F73" i="39" s="1"/>
  <c r="G73" i="39" s="1"/>
  <c r="H73" i="39" s="1"/>
  <c r="I73" i="39" s="1"/>
  <c r="J73" i="39" s="1"/>
  <c r="K73" i="39" s="1"/>
  <c r="L73" i="39" s="1"/>
  <c r="M73" i="39" s="1"/>
  <c r="N73" i="39" s="1"/>
  <c r="I48" i="39"/>
  <c r="B27" i="9" l="1"/>
  <c r="B30" i="9" s="1"/>
  <c r="D27" i="9" l="1"/>
  <c r="D30" i="9" s="1"/>
  <c r="C15" i="66"/>
  <c r="B15" i="66"/>
  <c r="E40" i="39" l="1"/>
  <c r="E48" i="39"/>
  <c r="G48" i="39"/>
  <c r="I40" i="39"/>
  <c r="G40" i="39"/>
  <c r="I12" i="39"/>
  <c r="G12" i="39"/>
  <c r="E12" i="39"/>
  <c r="I9" i="39"/>
  <c r="G9" i="39"/>
  <c r="E9" i="39"/>
  <c r="I8" i="39"/>
  <c r="G8" i="39"/>
  <c r="E8" i="39"/>
  <c r="C40" i="39" l="1"/>
  <c r="I13" i="3"/>
  <c r="F19" i="6" s="1"/>
  <c r="AH5" i="59"/>
  <c r="AG5" i="59"/>
  <c r="AE5" i="59"/>
  <c r="AF5" i="59" s="1"/>
  <c r="AD5" i="59"/>
  <c r="Q5" i="59"/>
  <c r="Q6" i="59"/>
  <c r="P5" i="59"/>
  <c r="P6" i="59"/>
  <c r="O5" i="59"/>
  <c r="O6" i="59"/>
  <c r="N5" i="59"/>
  <c r="N6" i="59"/>
  <c r="Q13" i="59"/>
  <c r="F13" i="59" s="1"/>
  <c r="Q12" i="59"/>
  <c r="Q11" i="59"/>
  <c r="Q10" i="59"/>
  <c r="Q9" i="59"/>
  <c r="Q8" i="59"/>
  <c r="Q7" i="59"/>
  <c r="P13" i="59"/>
  <c r="P12" i="59"/>
  <c r="P11" i="59"/>
  <c r="P10" i="59"/>
  <c r="P9" i="59"/>
  <c r="P8" i="59"/>
  <c r="P7" i="59"/>
  <c r="O13" i="59"/>
  <c r="C13" i="59" s="1"/>
  <c r="D13" i="59" s="1"/>
  <c r="O12" i="59"/>
  <c r="O11" i="59"/>
  <c r="O10" i="59"/>
  <c r="O9" i="59"/>
  <c r="O8" i="59"/>
  <c r="O7" i="59"/>
  <c r="N13" i="59"/>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F19" i="59" s="1"/>
  <c r="F20" i="59" s="1"/>
  <c r="F21" i="59" s="1"/>
  <c r="V21" i="59" s="1"/>
  <c r="Q19" i="59"/>
  <c r="Q20" i="59"/>
  <c r="Q21" i="59"/>
  <c r="Q22" i="59"/>
  <c r="Q23" i="59"/>
  <c r="Q24" i="59"/>
  <c r="Q25" i="59"/>
  <c r="Q26" i="59"/>
  <c r="Q27" i="59"/>
  <c r="Q28" i="59"/>
  <c r="AB28" i="59" s="1"/>
  <c r="P14" i="59"/>
  <c r="P15" i="59"/>
  <c r="P16" i="59"/>
  <c r="P17" i="59"/>
  <c r="P18" i="59"/>
  <c r="P19" i="59"/>
  <c r="P20" i="59"/>
  <c r="P21" i="59"/>
  <c r="P22" i="59"/>
  <c r="P23" i="59"/>
  <c r="P24" i="59"/>
  <c r="P25" i="59"/>
  <c r="P26" i="59"/>
  <c r="P27" i="59"/>
  <c r="AA27" i="59" s="1"/>
  <c r="P28" i="59"/>
  <c r="O14" i="59"/>
  <c r="O15" i="59"/>
  <c r="O16" i="59"/>
  <c r="O17" i="59"/>
  <c r="C17" i="59" s="1"/>
  <c r="O18" i="59"/>
  <c r="C19" i="59" s="1"/>
  <c r="O19" i="59"/>
  <c r="O20" i="59"/>
  <c r="O21" i="59"/>
  <c r="O22" i="59"/>
  <c r="C23" i="59" s="1"/>
  <c r="D23" i="59" s="1"/>
  <c r="O23" i="59"/>
  <c r="O24" i="59"/>
  <c r="Y24" i="59" s="1"/>
  <c r="Z24" i="59" s="1"/>
  <c r="O25" i="59"/>
  <c r="O26" i="59"/>
  <c r="O27" i="59"/>
  <c r="O28" i="59"/>
  <c r="N14" i="59"/>
  <c r="N15" i="59"/>
  <c r="N16" i="59"/>
  <c r="N17" i="59"/>
  <c r="N18" i="59"/>
  <c r="N19" i="59"/>
  <c r="N20" i="59"/>
  <c r="N21" i="59"/>
  <c r="X21" i="59" s="1"/>
  <c r="N22" i="59"/>
  <c r="N23" i="59"/>
  <c r="N24" i="59"/>
  <c r="N25" i="59"/>
  <c r="N26" i="59"/>
  <c r="X23" i="59" s="1"/>
  <c r="N27" i="59"/>
  <c r="X22" i="59" s="1"/>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s="1"/>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Q74" i="44"/>
  <c r="Q61" i="44"/>
  <c r="Q60" i="44"/>
  <c r="Q53" i="44"/>
  <c r="J51" i="44"/>
  <c r="J52" i="44" s="1"/>
  <c r="M48" i="44"/>
  <c r="A16" i="55"/>
  <c r="A15" i="55"/>
  <c r="B66" i="63" s="1"/>
  <c r="C43" i="9"/>
  <c r="K47" i="9" s="1"/>
  <c r="A14" i="55" s="1"/>
  <c r="B65" i="63" s="1"/>
  <c r="L24" i="4"/>
  <c r="L25" i="4"/>
  <c r="L26" i="4"/>
  <c r="A10" i="55"/>
  <c r="B61" i="63" s="1"/>
  <c r="A9" i="55"/>
  <c r="B60" i="63" s="1"/>
  <c r="A8" i="55"/>
  <c r="B59" i="63" s="1"/>
  <c r="A6" i="54"/>
  <c r="A8" i="54"/>
  <c r="B53" i="63" s="1"/>
  <c r="A7" i="54"/>
  <c r="B51" i="63" s="1"/>
  <c r="C57" i="10"/>
  <c r="A28" i="51" s="1"/>
  <c r="A27" i="51"/>
  <c r="B20" i="63" s="1"/>
  <c r="E17" i="59"/>
  <c r="U17" i="59" s="1"/>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Y26" i="59"/>
  <c r="Z26" i="59" s="1"/>
  <c r="Y27" i="59"/>
  <c r="Z27" i="59" s="1"/>
  <c r="X27"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21" i="64"/>
  <c r="B75" i="63"/>
  <c r="B73" i="63"/>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I19" i="46"/>
  <c r="D78" i="59"/>
  <c r="F77" i="59"/>
  <c r="F76" i="59" s="1"/>
  <c r="F75" i="59" s="1"/>
  <c r="E77" i="59"/>
  <c r="E76" i="59" s="1"/>
  <c r="E75" i="59" s="1"/>
  <c r="C77" i="59"/>
  <c r="D77" i="59" s="1"/>
  <c r="B77" i="59"/>
  <c r="B76" i="59" s="1"/>
  <c r="B75" i="59" s="1"/>
  <c r="D74" i="59"/>
  <c r="F73" i="59"/>
  <c r="F72" i="59" s="1"/>
  <c r="F71" i="59" s="1"/>
  <c r="E73" i="59"/>
  <c r="E72" i="59" s="1"/>
  <c r="E71" i="59" s="1"/>
  <c r="C73" i="59"/>
  <c r="B73" i="59"/>
  <c r="B72" i="59" s="1"/>
  <c r="B71" i="59" s="1"/>
  <c r="D70" i="59"/>
  <c r="Q69" i="59"/>
  <c r="P69" i="59"/>
  <c r="O69" i="59"/>
  <c r="N69" i="59"/>
  <c r="F69" i="59"/>
  <c r="F68" i="59" s="1"/>
  <c r="F67" i="59" s="1"/>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C52" i="59" s="1"/>
  <c r="N50" i="59"/>
  <c r="B51" i="59" s="1"/>
  <c r="D50" i="59"/>
  <c r="Q49" i="59"/>
  <c r="P49" i="59"/>
  <c r="O49" i="59"/>
  <c r="N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P42" i="59"/>
  <c r="E43" i="59"/>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O30" i="59"/>
  <c r="C31" i="59" s="1"/>
  <c r="N30" i="59"/>
  <c r="B31" i="59"/>
  <c r="D30" i="59"/>
  <c r="Q29" i="59"/>
  <c r="P29" i="59"/>
  <c r="O29" i="59"/>
  <c r="N29" i="59"/>
  <c r="Y28" i="59"/>
  <c r="Z28" i="59" s="1"/>
  <c r="X28" i="59"/>
  <c r="F27" i="59"/>
  <c r="C27" i="59"/>
  <c r="C28" i="59" s="1"/>
  <c r="C29" i="59" s="1"/>
  <c r="B27" i="59"/>
  <c r="B28" i="59"/>
  <c r="B29" i="59" s="1"/>
  <c r="S29" i="59" s="1"/>
  <c r="D26" i="59"/>
  <c r="F23" i="59"/>
  <c r="E23" i="59"/>
  <c r="B23" i="59"/>
  <c r="B24" i="59" s="1"/>
  <c r="B25" i="59" s="1"/>
  <c r="S25" i="59" s="1"/>
  <c r="D22" i="59"/>
  <c r="B19" i="59"/>
  <c r="D18" i="59"/>
  <c r="E19" i="59"/>
  <c r="E20" i="59" s="1"/>
  <c r="E21" i="59" s="1"/>
  <c r="U21" i="59" s="1"/>
  <c r="AA28" i="59"/>
  <c r="D27" i="59"/>
  <c r="U57" i="59"/>
  <c r="D6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H18" i="35"/>
  <c r="J18" i="35"/>
  <c r="H21" i="37"/>
  <c r="J21" i="37"/>
  <c r="J21" i="34"/>
  <c r="H21" i="34"/>
  <c r="F21" i="33"/>
  <c r="H21" i="33"/>
  <c r="J21" i="33"/>
  <c r="H21" i="21"/>
  <c r="J21" i="21"/>
  <c r="H27" i="40"/>
  <c r="F23" i="15"/>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C25" i="40" s="1"/>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A146" i="3" s="1"/>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L143" i="3" s="1"/>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L131" i="3" s="1"/>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A130" i="3" s="1"/>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A379" i="3" s="1"/>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A366" i="3" s="1"/>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A365" i="3" s="1"/>
  <c r="AZ365" i="3" s="1"/>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A364" i="3" s="1"/>
  <c r="BG364" i="3"/>
  <c r="BF364" i="3"/>
  <c r="BE364" i="3"/>
  <c r="BD364" i="3"/>
  <c r="BC364" i="3"/>
  <c r="BB364" i="3"/>
  <c r="AX364" i="3"/>
  <c r="AW364" i="3"/>
  <c r="AV364" i="3"/>
  <c r="AC364" i="3"/>
  <c r="H364" i="3"/>
  <c r="BT363" i="3"/>
  <c r="BL363" i="3" s="1"/>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L361" i="3" s="1"/>
  <c r="BQ361" i="3"/>
  <c r="BP361" i="3"/>
  <c r="BO361" i="3"/>
  <c r="BN361" i="3"/>
  <c r="BM361" i="3"/>
  <c r="BK361" i="3"/>
  <c r="BJ361" i="3"/>
  <c r="BI361" i="3"/>
  <c r="BH361" i="3"/>
  <c r="BG361" i="3"/>
  <c r="BF361" i="3"/>
  <c r="BE361" i="3"/>
  <c r="BA361" i="3" s="1"/>
  <c r="AZ361" i="3" s="1"/>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A355" i="3" s="1"/>
  <c r="AZ355" i="3" s="1"/>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A354" i="3" s="1"/>
  <c r="BI354" i="3"/>
  <c r="BH354" i="3"/>
  <c r="BG354" i="3"/>
  <c r="BF354" i="3"/>
  <c r="BE354" i="3"/>
  <c r="BD354" i="3"/>
  <c r="BC354" i="3"/>
  <c r="BB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A352" i="3" s="1"/>
  <c r="AZ352" i="3" s="1"/>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L349" i="3" s="1"/>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A343" i="3" s="1"/>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A342" i="3" s="1"/>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L339" i="3" s="1"/>
  <c r="BS339" i="3"/>
  <c r="BR339" i="3"/>
  <c r="BQ339" i="3"/>
  <c r="BP339" i="3"/>
  <c r="BO339" i="3"/>
  <c r="BN339" i="3"/>
  <c r="BM339" i="3"/>
  <c r="BK339" i="3"/>
  <c r="BJ339" i="3"/>
  <c r="BI339" i="3"/>
  <c r="BH339" i="3"/>
  <c r="BG339" i="3"/>
  <c r="BA339" i="3" s="1"/>
  <c r="AZ339" i="3" s="1"/>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A338" i="3" s="1"/>
  <c r="BE338" i="3"/>
  <c r="BD338" i="3"/>
  <c r="BC338" i="3"/>
  <c r="BB338" i="3"/>
  <c r="AX338" i="3"/>
  <c r="AW338" i="3"/>
  <c r="AV338" i="3"/>
  <c r="AC338" i="3"/>
  <c r="H338" i="3"/>
  <c r="BT337" i="3"/>
  <c r="BS337" i="3"/>
  <c r="BR337" i="3"/>
  <c r="BL337" i="3" s="1"/>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A336" i="3" s="1"/>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A326" i="3" s="1"/>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L324" i="3" s="1"/>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A316" i="3" s="1"/>
  <c r="BG316" i="3"/>
  <c r="BF316" i="3"/>
  <c r="BE316" i="3"/>
  <c r="BD316" i="3"/>
  <c r="BC316" i="3"/>
  <c r="BB316" i="3"/>
  <c r="AX316" i="3"/>
  <c r="AW316" i="3"/>
  <c r="AV316" i="3"/>
  <c r="AC316" i="3"/>
  <c r="H316" i="3"/>
  <c r="BT315" i="3"/>
  <c r="BL315" i="3" s="1"/>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A305" i="3" s="1"/>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L298" i="3" s="1"/>
  <c r="BO298" i="3"/>
  <c r="BN298" i="3"/>
  <c r="BM298" i="3"/>
  <c r="BK298" i="3"/>
  <c r="BJ298" i="3"/>
  <c r="BI298" i="3"/>
  <c r="BH298" i="3"/>
  <c r="BG298" i="3"/>
  <c r="BF298" i="3"/>
  <c r="BE298" i="3"/>
  <c r="BD298" i="3"/>
  <c r="BC298" i="3"/>
  <c r="BA298" i="3" s="1"/>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I59" i="40" s="1"/>
  <c r="C59" i="40" s="1"/>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S29" i="31" s="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R78" i="31"/>
  <c r="S78" i="31" s="1"/>
  <c r="R79" i="31"/>
  <c r="R80" i="31"/>
  <c r="S80" i="31"/>
  <c r="R81" i="31"/>
  <c r="S81" i="31" s="1"/>
  <c r="R82" i="31"/>
  <c r="S82" i="31" s="1"/>
  <c r="R83" i="31"/>
  <c r="R84" i="31"/>
  <c r="S84" i="31" s="1"/>
  <c r="R85" i="31"/>
  <c r="R86" i="31"/>
  <c r="S86" i="31" s="1"/>
  <c r="R87" i="31"/>
  <c r="R88" i="31"/>
  <c r="S88" i="31" s="1"/>
  <c r="R89" i="31"/>
  <c r="R90" i="31"/>
  <c r="S90" i="31" s="1"/>
  <c r="R91" i="31"/>
  <c r="S91" i="31" s="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S131" i="31" s="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s="1"/>
  <c r="R161" i="31"/>
  <c r="R162" i="31"/>
  <c r="S162" i="31" s="1"/>
  <c r="R163" i="31"/>
  <c r="S163" i="31" s="1"/>
  <c r="R164" i="31"/>
  <c r="S164" i="31" s="1"/>
  <c r="R165" i="31"/>
  <c r="R166" i="31"/>
  <c r="S166" i="31" s="1"/>
  <c r="R167" i="31"/>
  <c r="R168" i="31"/>
  <c r="S168" i="31" s="1"/>
  <c r="R169" i="31"/>
  <c r="R170" i="31"/>
  <c r="S170" i="31" s="1"/>
  <c r="R171" i="31"/>
  <c r="R172" i="31"/>
  <c r="S172" i="31" s="1"/>
  <c r="R173" i="31"/>
  <c r="R174" i="31"/>
  <c r="S174" i="31" s="1"/>
  <c r="R175" i="31"/>
  <c r="S175" i="31" s="1"/>
  <c r="R176" i="31"/>
  <c r="S176" i="31" s="1"/>
  <c r="R177" i="31"/>
  <c r="R178" i="31"/>
  <c r="S178" i="31" s="1"/>
  <c r="R179" i="31"/>
  <c r="R180" i="31"/>
  <c r="S180" i="31" s="1"/>
  <c r="R181" i="31"/>
  <c r="R182" i="31"/>
  <c r="S182" i="31"/>
  <c r="R183" i="31"/>
  <c r="R184" i="31"/>
  <c r="S184" i="31"/>
  <c r="R185" i="31"/>
  <c r="S185" i="31" s="1"/>
  <c r="R186" i="31"/>
  <c r="S186" i="31" s="1"/>
  <c r="R187" i="31"/>
  <c r="R188" i="31"/>
  <c r="S188" i="31" s="1"/>
  <c r="R189" i="3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S232" i="31" s="1"/>
  <c r="R233" i="31"/>
  <c r="R234" i="31"/>
  <c r="R235" i="31"/>
  <c r="R236" i="31"/>
  <c r="R237" i="31"/>
  <c r="R238" i="31"/>
  <c r="R239" i="31"/>
  <c r="R240" i="31"/>
  <c r="R241" i="31"/>
  <c r="R242" i="31"/>
  <c r="R243" i="31"/>
  <c r="R244" i="31"/>
  <c r="S244" i="31" s="1"/>
  <c r="R245" i="31"/>
  <c r="R246" i="31"/>
  <c r="R247" i="31"/>
  <c r="R248" i="31"/>
  <c r="R249" i="31"/>
  <c r="R250" i="31"/>
  <c r="R251" i="31"/>
  <c r="R252" i="31"/>
  <c r="R253" i="31"/>
  <c r="R254" i="31"/>
  <c r="R255" i="31"/>
  <c r="R256" i="31"/>
  <c r="S256" i="31" s="1"/>
  <c r="R257" i="31"/>
  <c r="R258" i="31"/>
  <c r="R259" i="31"/>
  <c r="R260" i="31"/>
  <c r="R261" i="31"/>
  <c r="R262" i="31"/>
  <c r="R263" i="31"/>
  <c r="R264" i="31"/>
  <c r="R265" i="31"/>
  <c r="R266" i="31"/>
  <c r="R267" i="31"/>
  <c r="R268" i="31"/>
  <c r="S268" i="31" s="1"/>
  <c r="R269" i="31"/>
  <c r="R270" i="31"/>
  <c r="R271" i="31"/>
  <c r="R272" i="31"/>
  <c r="R273" i="31"/>
  <c r="R274" i="31"/>
  <c r="R275" i="31"/>
  <c r="R276" i="31"/>
  <c r="R277" i="31"/>
  <c r="R278" i="31"/>
  <c r="R279" i="31"/>
  <c r="R280" i="31"/>
  <c r="S280" i="31" s="1"/>
  <c r="R281" i="31"/>
  <c r="R282" i="31"/>
  <c r="R283" i="31"/>
  <c r="R284" i="31"/>
  <c r="R285" i="31"/>
  <c r="R286" i="31"/>
  <c r="R287" i="31"/>
  <c r="R288" i="31"/>
  <c r="R289" i="31"/>
  <c r="R290" i="31"/>
  <c r="R291" i="31"/>
  <c r="R292" i="31"/>
  <c r="S292" i="31" s="1"/>
  <c r="R293" i="31"/>
  <c r="R294" i="31"/>
  <c r="R295" i="31"/>
  <c r="R296" i="31"/>
  <c r="R297" i="31"/>
  <c r="R298" i="31"/>
  <c r="R299" i="31"/>
  <c r="R300" i="31"/>
  <c r="R301" i="31"/>
  <c r="R302" i="31"/>
  <c r="R303" i="31"/>
  <c r="R304" i="31"/>
  <c r="S304" i="31" s="1"/>
  <c r="R305" i="31"/>
  <c r="R306" i="31"/>
  <c r="R307" i="31"/>
  <c r="R308" i="31"/>
  <c r="R309" i="31"/>
  <c r="R310" i="31"/>
  <c r="R311" i="31"/>
  <c r="R312" i="31"/>
  <c r="R313" i="31"/>
  <c r="R314" i="31"/>
  <c r="R315" i="31"/>
  <c r="R316" i="31"/>
  <c r="S316" i="31" s="1"/>
  <c r="R317" i="31"/>
  <c r="R318" i="31"/>
  <c r="R319" i="31"/>
  <c r="R320" i="31"/>
  <c r="R321" i="31"/>
  <c r="R322" i="31"/>
  <c r="R323" i="31"/>
  <c r="R324" i="31"/>
  <c r="R325" i="31"/>
  <c r="S325" i="31" s="1"/>
  <c r="R326" i="31"/>
  <c r="R327" i="31"/>
  <c r="R328" i="31"/>
  <c r="S328" i="31" s="1"/>
  <c r="R329" i="31"/>
  <c r="R330" i="31"/>
  <c r="R331" i="31"/>
  <c r="R332" i="31"/>
  <c r="R333" i="31"/>
  <c r="R334" i="31"/>
  <c r="R335" i="31"/>
  <c r="R336" i="31"/>
  <c r="R337" i="31"/>
  <c r="S337" i="31" s="1"/>
  <c r="R338" i="31"/>
  <c r="R339" i="31"/>
  <c r="R340" i="31"/>
  <c r="S340" i="31" s="1"/>
  <c r="R341" i="31"/>
  <c r="R342" i="31"/>
  <c r="R343" i="31"/>
  <c r="R344" i="31"/>
  <c r="R345" i="31"/>
  <c r="R346" i="31"/>
  <c r="R347" i="31"/>
  <c r="R348" i="31"/>
  <c r="R349" i="31"/>
  <c r="S349" i="31" s="1"/>
  <c r="R350" i="31"/>
  <c r="R351" i="31"/>
  <c r="R352" i="31"/>
  <c r="S352" i="31" s="1"/>
  <c r="R353" i="31"/>
  <c r="R354" i="31"/>
  <c r="R355" i="31"/>
  <c r="R356" i="31"/>
  <c r="R357" i="31"/>
  <c r="R358" i="31"/>
  <c r="R359" i="31"/>
  <c r="R360" i="31"/>
  <c r="R361" i="31"/>
  <c r="S361" i="31" s="1"/>
  <c r="R362" i="31"/>
  <c r="R363" i="31"/>
  <c r="R364" i="31"/>
  <c r="S364" i="31" s="1"/>
  <c r="R365" i="31"/>
  <c r="R366" i="31"/>
  <c r="R367" i="31"/>
  <c r="R368" i="31"/>
  <c r="R369" i="31"/>
  <c r="R370" i="31"/>
  <c r="R371" i="31"/>
  <c r="R372" i="31"/>
  <c r="R373" i="31"/>
  <c r="S373" i="31" s="1"/>
  <c r="R374" i="31"/>
  <c r="R375" i="31"/>
  <c r="R376" i="31"/>
  <c r="S376" i="31" s="1"/>
  <c r="R377" i="31"/>
  <c r="R378" i="31"/>
  <c r="R379" i="31"/>
  <c r="R380" i="31"/>
  <c r="R381" i="31"/>
  <c r="R382" i="31"/>
  <c r="R383" i="31"/>
  <c r="R384" i="31"/>
  <c r="R385" i="31"/>
  <c r="S385" i="31" s="1"/>
  <c r="R386" i="31"/>
  <c r="R387" i="31"/>
  <c r="R388" i="31"/>
  <c r="R389" i="31"/>
  <c r="R390" i="31"/>
  <c r="R391" i="31"/>
  <c r="R392" i="31"/>
  <c r="R393" i="31"/>
  <c r="R394" i="31"/>
  <c r="R395" i="31"/>
  <c r="R396" i="31"/>
  <c r="R397" i="31"/>
  <c r="S397" i="31" s="1"/>
  <c r="R398" i="31"/>
  <c r="R399" i="31"/>
  <c r="R400" i="31"/>
  <c r="S400" i="31" s="1"/>
  <c r="R401" i="31"/>
  <c r="R402" i="31"/>
  <c r="R403" i="31"/>
  <c r="R404" i="31"/>
  <c r="R405" i="31"/>
  <c r="R406" i="31"/>
  <c r="R407" i="31"/>
  <c r="R408" i="31"/>
  <c r="R409" i="31"/>
  <c r="S409" i="31" s="1"/>
  <c r="R410" i="31"/>
  <c r="R411" i="31"/>
  <c r="R412" i="31"/>
  <c r="S412" i="31" s="1"/>
  <c r="R413" i="31"/>
  <c r="R414" i="31"/>
  <c r="R415" i="31"/>
  <c r="R416" i="31"/>
  <c r="R417" i="31"/>
  <c r="R418" i="31"/>
  <c r="R419" i="31"/>
  <c r="R420" i="31"/>
  <c r="R421" i="31"/>
  <c r="S421" i="31" s="1"/>
  <c r="R422" i="31"/>
  <c r="R423" i="31"/>
  <c r="R424" i="31"/>
  <c r="S424" i="31" s="1"/>
  <c r="R425" i="31"/>
  <c r="R426" i="31"/>
  <c r="S426" i="31" s="1"/>
  <c r="R427" i="31"/>
  <c r="R428" i="31"/>
  <c r="S428" i="31" s="1"/>
  <c r="R429" i="31"/>
  <c r="R430" i="31"/>
  <c r="S430" i="31" s="1"/>
  <c r="R431" i="31"/>
  <c r="S431" i="31" s="1"/>
  <c r="R432" i="31"/>
  <c r="S432" i="31" s="1"/>
  <c r="R433" i="31"/>
  <c r="R434" i="31"/>
  <c r="S434" i="31"/>
  <c r="R435" i="31"/>
  <c r="R436" i="31"/>
  <c r="S436" i="31" s="1"/>
  <c r="R437" i="3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S473" i="31" s="1"/>
  <c r="R474" i="31"/>
  <c r="S474" i="31" s="1"/>
  <c r="R475" i="31"/>
  <c r="R476" i="31"/>
  <c r="R477" i="31"/>
  <c r="R478" i="31"/>
  <c r="R479" i="31"/>
  <c r="R480" i="31"/>
  <c r="R481" i="31"/>
  <c r="R482" i="31"/>
  <c r="S482" i="31" s="1"/>
  <c r="R483" i="31"/>
  <c r="R484" i="31"/>
  <c r="R485" i="31"/>
  <c r="R486" i="31"/>
  <c r="S486" i="31" s="1"/>
  <c r="R487" i="31"/>
  <c r="R488" i="31"/>
  <c r="R489" i="31"/>
  <c r="R490" i="31"/>
  <c r="R491" i="31"/>
  <c r="R492" i="31"/>
  <c r="S492" i="31" s="1"/>
  <c r="R493" i="31"/>
  <c r="R494" i="31"/>
  <c r="S494" i="31" s="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A14" i="3" s="1"/>
  <c r="BG14" i="3"/>
  <c r="BH14" i="3"/>
  <c r="BI14" i="3"/>
  <c r="BJ14" i="3"/>
  <c r="BK14" i="3"/>
  <c r="BB15" i="3"/>
  <c r="BC15" i="3"/>
  <c r="BD15" i="3"/>
  <c r="BE15" i="3"/>
  <c r="BF15" i="3"/>
  <c r="BG15" i="3"/>
  <c r="BH15" i="3"/>
  <c r="BA15" i="3" s="1"/>
  <c r="AZ15" i="3" s="1"/>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3" i="31"/>
  <c r="S411" i="31"/>
  <c r="S410" i="31"/>
  <c r="S408" i="31"/>
  <c r="S407" i="31"/>
  <c r="S406" i="31"/>
  <c r="S405" i="31"/>
  <c r="S404" i="31"/>
  <c r="S403" i="31"/>
  <c r="S402" i="31"/>
  <c r="S401" i="31"/>
  <c r="S399" i="31"/>
  <c r="S398" i="31"/>
  <c r="S396" i="31"/>
  <c r="S395" i="31"/>
  <c r="S394" i="31"/>
  <c r="S393" i="31"/>
  <c r="S392" i="31"/>
  <c r="S391" i="31"/>
  <c r="S390" i="31"/>
  <c r="S389" i="31"/>
  <c r="S388" i="31"/>
  <c r="S387" i="31"/>
  <c r="S386" i="31"/>
  <c r="S384" i="31"/>
  <c r="S383" i="31"/>
  <c r="S382" i="31"/>
  <c r="S381" i="31"/>
  <c r="S380" i="31"/>
  <c r="S379" i="31"/>
  <c r="S378" i="31"/>
  <c r="S377" i="31"/>
  <c r="S375" i="31"/>
  <c r="S374" i="31"/>
  <c r="S372" i="31"/>
  <c r="S371" i="31"/>
  <c r="S370" i="31"/>
  <c r="S369" i="31"/>
  <c r="S368" i="31"/>
  <c r="S367" i="31"/>
  <c r="S366" i="31"/>
  <c r="S365" i="31"/>
  <c r="S363" i="31"/>
  <c r="S362" i="31"/>
  <c r="S360" i="31"/>
  <c r="S359" i="31"/>
  <c r="S358" i="31"/>
  <c r="S357" i="31"/>
  <c r="S356" i="31"/>
  <c r="S355" i="31"/>
  <c r="S354" i="31"/>
  <c r="S353" i="31"/>
  <c r="S351" i="31"/>
  <c r="S350" i="31"/>
  <c r="S348" i="31"/>
  <c r="S347" i="31"/>
  <c r="S346" i="31"/>
  <c r="S345" i="31"/>
  <c r="S344" i="31"/>
  <c r="S343" i="31"/>
  <c r="S342" i="31"/>
  <c r="S341" i="31"/>
  <c r="S339" i="31"/>
  <c r="S338" i="31"/>
  <c r="S336" i="31"/>
  <c r="S335" i="31"/>
  <c r="S334" i="31"/>
  <c r="S333" i="31"/>
  <c r="S332" i="31"/>
  <c r="S331" i="31"/>
  <c r="S330" i="31"/>
  <c r="S329" i="31"/>
  <c r="S327" i="31"/>
  <c r="S326" i="31"/>
  <c r="S324" i="31"/>
  <c r="S323" i="31"/>
  <c r="S322" i="31"/>
  <c r="S321" i="31"/>
  <c r="S423" i="31"/>
  <c r="S320" i="31"/>
  <c r="S319" i="31"/>
  <c r="S318" i="31"/>
  <c r="S317" i="31"/>
  <c r="S315" i="31"/>
  <c r="S314" i="31"/>
  <c r="S313" i="31"/>
  <c r="S312" i="31"/>
  <c r="S311" i="31"/>
  <c r="S310" i="31"/>
  <c r="S309" i="31"/>
  <c r="S308" i="31"/>
  <c r="S307" i="31"/>
  <c r="S306" i="31"/>
  <c r="S305" i="31"/>
  <c r="S303" i="31"/>
  <c r="S302" i="31"/>
  <c r="S301" i="31"/>
  <c r="S300" i="31"/>
  <c r="S299" i="31"/>
  <c r="S298" i="31"/>
  <c r="S297" i="31"/>
  <c r="S296" i="31"/>
  <c r="S295" i="31"/>
  <c r="S294" i="31"/>
  <c r="S293" i="31"/>
  <c r="S291" i="31"/>
  <c r="S290" i="31"/>
  <c r="S289" i="31"/>
  <c r="S288" i="31"/>
  <c r="S287" i="31"/>
  <c r="S286" i="31"/>
  <c r="S285" i="31"/>
  <c r="S284" i="31"/>
  <c r="S283" i="31"/>
  <c r="S282" i="31"/>
  <c r="S281" i="31"/>
  <c r="S279" i="31"/>
  <c r="S278" i="31"/>
  <c r="S277" i="31"/>
  <c r="S276" i="31"/>
  <c r="S275" i="31"/>
  <c r="S274" i="31"/>
  <c r="S273" i="31"/>
  <c r="S272" i="31"/>
  <c r="S271" i="31"/>
  <c r="S270" i="31"/>
  <c r="S269" i="31"/>
  <c r="S267" i="31"/>
  <c r="S266" i="31"/>
  <c r="S265" i="31"/>
  <c r="S264" i="31"/>
  <c r="S263" i="31"/>
  <c r="S262" i="31"/>
  <c r="S261" i="31"/>
  <c r="S260" i="31"/>
  <c r="S259" i="31"/>
  <c r="S258" i="31"/>
  <c r="S257" i="31"/>
  <c r="S255" i="31"/>
  <c r="S254" i="31"/>
  <c r="S253" i="31"/>
  <c r="S252" i="31"/>
  <c r="S251" i="31"/>
  <c r="S250" i="31"/>
  <c r="S249" i="31"/>
  <c r="S248" i="31"/>
  <c r="S247" i="31"/>
  <c r="S246" i="31"/>
  <c r="S245" i="31"/>
  <c r="S243" i="31"/>
  <c r="S242" i="31"/>
  <c r="S241" i="31"/>
  <c r="S240" i="31"/>
  <c r="S239" i="31"/>
  <c r="S238" i="31"/>
  <c r="S237" i="31"/>
  <c r="S236" i="31"/>
  <c r="S235" i="31"/>
  <c r="S234" i="31"/>
  <c r="S233"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5" i="31"/>
  <c r="S193" i="31"/>
  <c r="S191" i="31"/>
  <c r="S189" i="31"/>
  <c r="S187" i="31"/>
  <c r="S183" i="31"/>
  <c r="S181" i="31"/>
  <c r="S179" i="31"/>
  <c r="S177" i="31"/>
  <c r="S173" i="31"/>
  <c r="S171" i="31"/>
  <c r="S169" i="31"/>
  <c r="S167" i="31"/>
  <c r="S165" i="31"/>
  <c r="S161" i="31"/>
  <c r="S159" i="31"/>
  <c r="S157" i="31"/>
  <c r="S155" i="31"/>
  <c r="S151" i="31"/>
  <c r="S149" i="31"/>
  <c r="S147" i="31"/>
  <c r="S145" i="31"/>
  <c r="S143" i="31"/>
  <c r="S141" i="31"/>
  <c r="S139" i="31"/>
  <c r="S137" i="31"/>
  <c r="S135" i="31"/>
  <c r="S133" i="31"/>
  <c r="S129" i="31"/>
  <c r="S127" i="31"/>
  <c r="S125" i="31"/>
  <c r="S123" i="31"/>
  <c r="S497" i="31"/>
  <c r="S496" i="31"/>
  <c r="S495" i="31"/>
  <c r="S493" i="31"/>
  <c r="S491" i="31"/>
  <c r="S490" i="31"/>
  <c r="S489" i="31"/>
  <c r="S488" i="31"/>
  <c r="S487" i="31"/>
  <c r="S485" i="31"/>
  <c r="S484" i="31"/>
  <c r="S483" i="31"/>
  <c r="S481" i="31"/>
  <c r="S480" i="31"/>
  <c r="S479" i="31"/>
  <c r="S478" i="31"/>
  <c r="S477" i="31"/>
  <c r="S476" i="31"/>
  <c r="S475" i="31"/>
  <c r="S471" i="31"/>
  <c r="S469" i="31"/>
  <c r="S443" i="31"/>
  <c r="S439" i="31"/>
  <c r="S437" i="31"/>
  <c r="S435" i="31"/>
  <c r="S433" i="31"/>
  <c r="S121" i="31"/>
  <c r="S119" i="31"/>
  <c r="S117" i="31"/>
  <c r="S115" i="31"/>
  <c r="S113" i="31"/>
  <c r="S467" i="31"/>
  <c r="S465" i="31"/>
  <c r="S463" i="31"/>
  <c r="S461" i="31"/>
  <c r="S459" i="31"/>
  <c r="S457" i="31"/>
  <c r="S455" i="31"/>
  <c r="S453" i="31"/>
  <c r="S53" i="31"/>
  <c r="S51" i="31"/>
  <c r="S49" i="31"/>
  <c r="S47" i="31"/>
  <c r="S45" i="31"/>
  <c r="S43" i="31"/>
  <c r="S41" i="31"/>
  <c r="S39" i="31"/>
  <c r="S37" i="31"/>
  <c r="S35" i="31"/>
  <c r="S33" i="31"/>
  <c r="S77" i="31"/>
  <c r="S75" i="31"/>
  <c r="S73" i="31"/>
  <c r="S71" i="31"/>
  <c r="S67" i="31"/>
  <c r="S65" i="31"/>
  <c r="S63" i="31"/>
  <c r="S61" i="31"/>
  <c r="S57" i="31"/>
  <c r="S55" i="31"/>
  <c r="S24" i="31"/>
  <c r="S97" i="31"/>
  <c r="S95" i="31"/>
  <c r="S93" i="31"/>
  <c r="S89" i="31"/>
  <c r="S87" i="31"/>
  <c r="S85" i="31"/>
  <c r="S83" i="31"/>
  <c r="S79" i="31"/>
  <c r="S31" i="31"/>
  <c r="S99" i="31"/>
  <c r="S101" i="31"/>
  <c r="S103" i="31"/>
  <c r="S105" i="31"/>
  <c r="S107" i="31"/>
  <c r="S109" i="31"/>
  <c r="S445" i="31"/>
  <c r="S447" i="31"/>
  <c r="S449" i="31"/>
  <c r="S507" i="31"/>
  <c r="S511" i="31"/>
  <c r="S513" i="31"/>
  <c r="B52" i="1"/>
  <c r="I48" i="37"/>
  <c r="J48" i="37" s="1"/>
  <c r="G48" i="37"/>
  <c r="H48" i="37" s="1"/>
  <c r="E48" i="37"/>
  <c r="F48" i="37" s="1"/>
  <c r="I55" i="34"/>
  <c r="J55" i="34" s="1"/>
  <c r="G55" i="34"/>
  <c r="H55" i="34" s="1"/>
  <c r="E55" i="34"/>
  <c r="F55" i="34" s="1"/>
  <c r="I50" i="40"/>
  <c r="J50" i="40" s="1"/>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L496" i="3" s="1"/>
  <c r="BT496" i="3"/>
  <c r="H497" i="3"/>
  <c r="AC497" i="3"/>
  <c r="BB497" i="3"/>
  <c r="BC497" i="3"/>
  <c r="BD497" i="3"/>
  <c r="BE497" i="3"/>
  <c r="BF497" i="3"/>
  <c r="BG497" i="3"/>
  <c r="BH497" i="3"/>
  <c r="BI497" i="3"/>
  <c r="BJ497" i="3"/>
  <c r="BA497" i="3" s="1"/>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A537" i="3" s="1"/>
  <c r="AZ537" i="3" s="1"/>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S31" i="35" s="1"/>
  <c r="D87" i="35"/>
  <c r="E87" i="35" s="1"/>
  <c r="F87" i="35" s="1"/>
  <c r="G87" i="35" s="1"/>
  <c r="H87" i="35" s="1"/>
  <c r="I87" i="35" s="1"/>
  <c r="J87" i="35" s="1"/>
  <c r="K87" i="35" s="1"/>
  <c r="L87" i="35" s="1"/>
  <c r="M87" i="35" s="1"/>
  <c r="H34" i="37"/>
  <c r="AB34" i="37" s="1"/>
  <c r="D101" i="37"/>
  <c r="E101" i="37" s="1"/>
  <c r="F101" i="37" s="1"/>
  <c r="G101" i="37" s="1"/>
  <c r="F34" i="37"/>
  <c r="D99" i="37"/>
  <c r="E99" i="37" s="1"/>
  <c r="H42" i="34"/>
  <c r="U42" i="34" s="1"/>
  <c r="J42" i="34"/>
  <c r="F42" i="34"/>
  <c r="AA42" i="34" s="1"/>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s="1"/>
  <c r="F113" i="40" s="1"/>
  <c r="M109" i="40"/>
  <c r="L109" i="40"/>
  <c r="K109" i="40"/>
  <c r="J109" i="40"/>
  <c r="I109" i="40"/>
  <c r="H109" i="40"/>
  <c r="G109" i="40"/>
  <c r="F109" i="40"/>
  <c r="E109" i="40"/>
  <c r="D109" i="40"/>
  <c r="C109" i="40"/>
  <c r="B107" i="40"/>
  <c r="B105" i="40"/>
  <c r="F34" i="40" s="1"/>
  <c r="AA34" i="40" s="1"/>
  <c r="B103" i="40"/>
  <c r="F33" i="40" s="1"/>
  <c r="D102" i="40"/>
  <c r="E102" i="40"/>
  <c r="F102" i="40" s="1"/>
  <c r="G102" i="40" s="1"/>
  <c r="H102" i="40" s="1"/>
  <c r="I102" i="40" s="1"/>
  <c r="J102" i="40" s="1"/>
  <c r="K102" i="40" s="1"/>
  <c r="L102" i="40" s="1"/>
  <c r="M102" i="40" s="1"/>
  <c r="D100" i="40"/>
  <c r="E100" i="40" s="1"/>
  <c r="F100" i="40" s="1"/>
  <c r="D98" i="40"/>
  <c r="E98" i="40" s="1"/>
  <c r="F98" i="40" s="1"/>
  <c r="G98" i="40" s="1"/>
  <c r="H98" i="40" s="1"/>
  <c r="I98" i="40" s="1"/>
  <c r="J98" i="40" s="1"/>
  <c r="K98" i="40" s="1"/>
  <c r="L98" i="40" s="1"/>
  <c r="M98" i="40" s="1"/>
  <c r="B97" i="40"/>
  <c r="D94" i="40"/>
  <c r="D92" i="40"/>
  <c r="E92" i="40" s="1"/>
  <c r="F92" i="40" s="1"/>
  <c r="G92" i="40" s="1"/>
  <c r="D90" i="40"/>
  <c r="H21" i="40"/>
  <c r="AB21" i="40" s="1"/>
  <c r="D88" i="40"/>
  <c r="E88" i="40" s="1"/>
  <c r="D86" i="40"/>
  <c r="E86" i="40" s="1"/>
  <c r="F86" i="40" s="1"/>
  <c r="G86" i="40" s="1"/>
  <c r="J17" i="40"/>
  <c r="B83" i="40"/>
  <c r="H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F27" i="39" s="1"/>
  <c r="AA2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F16" i="39" s="1"/>
  <c r="B86" i="39"/>
  <c r="H15" i="39" s="1"/>
  <c r="AB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F39" i="37" s="1"/>
  <c r="B108" i="37"/>
  <c r="F38" i="37" s="1"/>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J27" i="37" s="1"/>
  <c r="AC27" i="37" s="1"/>
  <c r="B82" i="37"/>
  <c r="D79" i="37"/>
  <c r="E79" i="37" s="1"/>
  <c r="F79" i="37" s="1"/>
  <c r="G79" i="37" s="1"/>
  <c r="D75" i="37"/>
  <c r="E75" i="37" s="1"/>
  <c r="F75" i="37" s="1"/>
  <c r="G75" i="37" s="1"/>
  <c r="D73" i="37"/>
  <c r="E73" i="37" s="1"/>
  <c r="F73" i="37" s="1"/>
  <c r="G73" i="37" s="1"/>
  <c r="D71" i="37"/>
  <c r="E71" i="37" s="1"/>
  <c r="F71" i="37"/>
  <c r="G71" i="37" s="1"/>
  <c r="F15" i="37"/>
  <c r="AA15" i="37" s="1"/>
  <c r="B68" i="37"/>
  <c r="H14" i="37" s="1"/>
  <c r="U14" i="37" s="1"/>
  <c r="B66" i="37"/>
  <c r="F13" i="37" s="1"/>
  <c r="S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B73" i="36"/>
  <c r="F24" i="36" s="1"/>
  <c r="B71" i="36"/>
  <c r="H23" i="36" s="1"/>
  <c r="D70" i="36"/>
  <c r="H22" i="36"/>
  <c r="D68" i="36"/>
  <c r="E68" i="36" s="1"/>
  <c r="F68" i="36" s="1"/>
  <c r="G68" i="36" s="1"/>
  <c r="D64" i="36"/>
  <c r="E64" i="36" s="1"/>
  <c r="F64" i="36" s="1"/>
  <c r="G64" i="36" s="1"/>
  <c r="J16" i="36"/>
  <c r="D62" i="36"/>
  <c r="E62" i="36" s="1"/>
  <c r="F62" i="36" s="1"/>
  <c r="G62" i="36" s="1"/>
  <c r="B59" i="36"/>
  <c r="F13" i="36" s="1"/>
  <c r="B57" i="36"/>
  <c r="B55" i="36"/>
  <c r="J11" i="36" s="1"/>
  <c r="W11" i="36" s="1"/>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J35" i="35" s="1"/>
  <c r="B97" i="35"/>
  <c r="H34" i="35" s="1"/>
  <c r="B77" i="35"/>
  <c r="B75" i="35"/>
  <c r="J24" i="35" s="1"/>
  <c r="AC24" i="35"/>
  <c r="B73" i="35"/>
  <c r="B57" i="35"/>
  <c r="H11" i="35" s="1"/>
  <c r="AB11" i="35" s="1"/>
  <c r="B61" i="35"/>
  <c r="B59" i="35"/>
  <c r="F12" i="35" s="1"/>
  <c r="B131" i="34"/>
  <c r="B129" i="34"/>
  <c r="B127" i="34"/>
  <c r="B99" i="34"/>
  <c r="H32" i="34" s="1"/>
  <c r="AB32" i="34" s="1"/>
  <c r="B97" i="34"/>
  <c r="J31" i="34" s="1"/>
  <c r="B95" i="34"/>
  <c r="J30" i="34" s="1"/>
  <c r="B93" i="34"/>
  <c r="B75" i="34"/>
  <c r="J14" i="34" s="1"/>
  <c r="B73" i="34"/>
  <c r="B71" i="34"/>
  <c r="J12" i="34" s="1"/>
  <c r="B130" i="33"/>
  <c r="J46" i="33" s="1"/>
  <c r="W46" i="33" s="1"/>
  <c r="B128" i="33"/>
  <c r="B126" i="33"/>
  <c r="B98" i="33"/>
  <c r="F31" i="33" s="1"/>
  <c r="S31" i="33" s="1"/>
  <c r="B96" i="33"/>
  <c r="H30" i="33" s="1"/>
  <c r="B94" i="33"/>
  <c r="H29" i="33" s="1"/>
  <c r="AB29" i="33" s="1"/>
  <c r="B74" i="33"/>
  <c r="F14" i="33" s="1"/>
  <c r="AA14" i="33" s="1"/>
  <c r="B72" i="33"/>
  <c r="B70" i="33"/>
  <c r="H12" i="33" s="1"/>
  <c r="D96" i="35"/>
  <c r="E96" i="35" s="1"/>
  <c r="F96" i="35" s="1"/>
  <c r="G96" i="35"/>
  <c r="D94" i="35"/>
  <c r="D84" i="35"/>
  <c r="E84" i="35" s="1"/>
  <c r="F84" i="35" s="1"/>
  <c r="G84" i="35" s="1"/>
  <c r="H84" i="35" s="1"/>
  <c r="I84" i="35" s="1"/>
  <c r="J84" i="35" s="1"/>
  <c r="K84" i="35" s="1"/>
  <c r="L84" i="35" s="1"/>
  <c r="M84" i="35" s="1"/>
  <c r="D80" i="35"/>
  <c r="E80" i="35" s="1"/>
  <c r="D72" i="35"/>
  <c r="E72" i="35" s="1"/>
  <c r="F72" i="35" s="1"/>
  <c r="G72" i="35" s="1"/>
  <c r="D70" i="35"/>
  <c r="E70" i="35" s="1"/>
  <c r="F70" i="35"/>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AA9" i="33"/>
  <c r="J8" i="33"/>
  <c r="W8" i="33" s="1"/>
  <c r="H8" i="33"/>
  <c r="AB8" i="33" s="1"/>
  <c r="F8" i="33"/>
  <c r="M102" i="21"/>
  <c r="D102" i="21"/>
  <c r="E102" i="21"/>
  <c r="F102" i="21"/>
  <c r="G102" i="21"/>
  <c r="H102" i="21"/>
  <c r="I102" i="21"/>
  <c r="J102" i="21"/>
  <c r="K102" i="21"/>
  <c r="L102" i="21"/>
  <c r="C102" i="21"/>
  <c r="C63" i="21"/>
  <c r="F9" i="21" s="1"/>
  <c r="G18" i="20"/>
  <c r="B87" i="46" s="1"/>
  <c r="G16" i="20"/>
  <c r="B81" i="46" s="1"/>
  <c r="G15" i="20"/>
  <c r="B80" i="46" s="1"/>
  <c r="C24" i="20"/>
  <c r="B72" i="46" s="1"/>
  <c r="C21" i="20"/>
  <c r="C29" i="39" s="1"/>
  <c r="C20" i="20"/>
  <c r="B6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F77" i="21" s="1"/>
  <c r="G77" i="21" s="1"/>
  <c r="B130" i="21"/>
  <c r="F46" i="21" s="1"/>
  <c r="B128" i="21"/>
  <c r="H45" i="21" s="1"/>
  <c r="B126" i="21"/>
  <c r="B98" i="21"/>
  <c r="B96" i="21"/>
  <c r="B94" i="21"/>
  <c r="J29" i="21" s="1"/>
  <c r="AC29" i="21" s="1"/>
  <c r="B92" i="21"/>
  <c r="H28" i="21" s="1"/>
  <c r="B90" i="21"/>
  <c r="B74" i="21"/>
  <c r="F14" i="21" s="1"/>
  <c r="AA14" i="21" s="1"/>
  <c r="B72" i="21"/>
  <c r="F13" i="21" s="1"/>
  <c r="B70" i="21"/>
  <c r="F12" i="21" s="1"/>
  <c r="S12" i="21" s="1"/>
  <c r="F10" i="21"/>
  <c r="C7" i="21"/>
  <c r="C58"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AB34" i="21" s="1"/>
  <c r="F43" i="21"/>
  <c r="S43" i="21" s="1"/>
  <c r="H38" i="21"/>
  <c r="AB38" i="21" s="1"/>
  <c r="H43" i="21"/>
  <c r="AB43" i="21" s="1"/>
  <c r="F32" i="21"/>
  <c r="F38" i="21"/>
  <c r="F36" i="21"/>
  <c r="S36" i="21" s="1"/>
  <c r="F39" i="21"/>
  <c r="AA39" i="21" s="1"/>
  <c r="J40" i="21"/>
  <c r="H35" i="21"/>
  <c r="AB35" i="21" s="1"/>
  <c r="J8" i="21"/>
  <c r="H8" i="21"/>
  <c r="U8" i="21" s="1"/>
  <c r="H10" i="21"/>
  <c r="U10" i="21" s="1"/>
  <c r="H39" i="21"/>
  <c r="AB39" i="21" s="1"/>
  <c r="J34" i="21"/>
  <c r="W34" i="21" s="1"/>
  <c r="H36" i="21"/>
  <c r="AB36" i="21" s="1"/>
  <c r="F35" i="21"/>
  <c r="AA35" i="21" s="1"/>
  <c r="J33" i="21"/>
  <c r="H33" i="21"/>
  <c r="U33" i="21" s="1"/>
  <c r="F33" i="21"/>
  <c r="S33" i="21" s="1"/>
  <c r="J10" i="21"/>
  <c r="AC10" i="21" s="1"/>
  <c r="H26" i="21"/>
  <c r="F19" i="21"/>
  <c r="H19" i="21"/>
  <c r="AB19" i="21" s="1"/>
  <c r="J19" i="21"/>
  <c r="W19" i="21" s="1"/>
  <c r="J26" i="21"/>
  <c r="W26" i="21" s="1"/>
  <c r="F26" i="21"/>
  <c r="AA26" i="21" s="1"/>
  <c r="S10" i="39"/>
  <c r="U30" i="37"/>
  <c r="F29" i="36"/>
  <c r="F16" i="36"/>
  <c r="AA16" i="36" s="1"/>
  <c r="U26" i="36"/>
  <c r="J33" i="36"/>
  <c r="AC27" i="35"/>
  <c r="W24" i="35"/>
  <c r="F36" i="34"/>
  <c r="S36" i="34" s="1"/>
  <c r="H39" i="33"/>
  <c r="AB39" i="33" s="1"/>
  <c r="U33" i="33"/>
  <c r="W38" i="33"/>
  <c r="S40" i="33"/>
  <c r="S10" i="40"/>
  <c r="S11" i="40"/>
  <c r="U11" i="40"/>
  <c r="S36" i="40"/>
  <c r="U36" i="40"/>
  <c r="S36" i="39"/>
  <c r="F11" i="21"/>
  <c r="S42" i="39"/>
  <c r="H32" i="33"/>
  <c r="H11" i="21"/>
  <c r="U11" i="21" s="1"/>
  <c r="J11" i="21"/>
  <c r="W11" i="21" s="1"/>
  <c r="J27" i="36"/>
  <c r="W27" i="36" s="1"/>
  <c r="J34" i="36"/>
  <c r="AC34" i="36" s="1"/>
  <c r="W34" i="36"/>
  <c r="J30" i="35"/>
  <c r="W30" i="35" s="1"/>
  <c r="F22" i="35"/>
  <c r="AA22" i="35" s="1"/>
  <c r="H10" i="35"/>
  <c r="U10" i="35" s="1"/>
  <c r="J29" i="36"/>
  <c r="AC29" i="36" s="1"/>
  <c r="F34" i="36"/>
  <c r="S34" i="36" s="1"/>
  <c r="H16" i="35"/>
  <c r="U16" i="35" s="1"/>
  <c r="H33" i="35"/>
  <c r="AB33" i="35" s="1"/>
  <c r="AC8" i="35"/>
  <c r="F35" i="37"/>
  <c r="AA35" i="37" s="1"/>
  <c r="H101" i="37"/>
  <c r="I101" i="37" s="1"/>
  <c r="J101" i="37" s="1"/>
  <c r="K101" i="37" s="1"/>
  <c r="L101" i="37" s="1"/>
  <c r="M101" i="37" s="1"/>
  <c r="J34" i="37"/>
  <c r="W34" i="37" s="1"/>
  <c r="H43" i="34"/>
  <c r="U43" i="34" s="1"/>
  <c r="E114" i="34"/>
  <c r="F114" i="34" s="1"/>
  <c r="G114" i="34" s="1"/>
  <c r="H114" i="34" s="1"/>
  <c r="I114" i="34" s="1"/>
  <c r="J114" i="34" s="1"/>
  <c r="K114" i="34" s="1"/>
  <c r="L114" i="34" s="1"/>
  <c r="M114" i="34" s="1"/>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19" i="33" s="1"/>
  <c r="H29" i="35"/>
  <c r="U34" i="37"/>
  <c r="AB42" i="34"/>
  <c r="J19" i="34"/>
  <c r="H37" i="33"/>
  <c r="AB37" i="33" s="1"/>
  <c r="W43" i="34"/>
  <c r="J37" i="33"/>
  <c r="W37" i="33" s="1"/>
  <c r="J42" i="21"/>
  <c r="W42" i="21" s="1"/>
  <c r="AC42" i="21"/>
  <c r="J44" i="34"/>
  <c r="AC44" i="34" s="1"/>
  <c r="F44" i="34"/>
  <c r="S44" i="34" s="1"/>
  <c r="J10" i="35"/>
  <c r="W10" i="35" s="1"/>
  <c r="AL5" i="3"/>
  <c r="BQ13" i="3"/>
  <c r="J14" i="21"/>
  <c r="AC14" i="21" s="1"/>
  <c r="H14" i="2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U45" i="21"/>
  <c r="J27" i="33"/>
  <c r="AC27" i="33" s="1"/>
  <c r="S27" i="33"/>
  <c r="F45" i="33"/>
  <c r="S45" i="33" s="1"/>
  <c r="H28" i="36"/>
  <c r="J32" i="36"/>
  <c r="J29" i="37"/>
  <c r="W29" i="37" s="1"/>
  <c r="F29" i="37"/>
  <c r="S29" i="37" s="1"/>
  <c r="AB36" i="37"/>
  <c r="J37" i="37"/>
  <c r="H37" i="37"/>
  <c r="U37" i="37" s="1"/>
  <c r="AC46" i="33"/>
  <c r="F46" i="33"/>
  <c r="H46" i="33"/>
  <c r="H13" i="34"/>
  <c r="U13" i="34" s="1"/>
  <c r="J13" i="34"/>
  <c r="W13" i="34" s="1"/>
  <c r="F13" i="34"/>
  <c r="AA13" i="34" s="1"/>
  <c r="H45" i="34"/>
  <c r="J45" i="34"/>
  <c r="W45" i="34" s="1"/>
  <c r="F45" i="34"/>
  <c r="AA45" i="34" s="1"/>
  <c r="H47" i="34"/>
  <c r="F47" i="34"/>
  <c r="AA47" i="34" s="1"/>
  <c r="J47" i="34"/>
  <c r="AC47" i="34" s="1"/>
  <c r="F13" i="35"/>
  <c r="J13" i="35"/>
  <c r="AC13" i="35" s="1"/>
  <c r="H13" i="35"/>
  <c r="U13" i="35" s="1"/>
  <c r="J25" i="36"/>
  <c r="W25" i="36" s="1"/>
  <c r="H38" i="37"/>
  <c r="U38" i="37" s="1"/>
  <c r="J38" i="37"/>
  <c r="AC38" i="37" s="1"/>
  <c r="J14" i="37"/>
  <c r="W14" i="37" s="1"/>
  <c r="W27" i="37"/>
  <c r="AB13" i="35"/>
  <c r="J36" i="37"/>
  <c r="AC36" i="37" s="1"/>
  <c r="U36" i="37"/>
  <c r="AA27" i="33"/>
  <c r="AC28" i="33"/>
  <c r="G517" i="3"/>
  <c r="G557" i="3"/>
  <c r="G545" i="3"/>
  <c r="G518" i="3"/>
  <c r="G18" i="3"/>
  <c r="BQ550" i="3"/>
  <c r="BQ520" i="3"/>
  <c r="BQ502" i="3"/>
  <c r="BQ492" i="3"/>
  <c r="BQ484" i="3"/>
  <c r="G566" i="3"/>
  <c r="G558" i="3"/>
  <c r="AC542" i="3"/>
  <c r="G542" i="3" s="1"/>
  <c r="BQ542" i="3"/>
  <c r="BQ568" i="3"/>
  <c r="BQ566" i="3"/>
  <c r="BQ564" i="3"/>
  <c r="BQ562" i="3"/>
  <c r="BQ560" i="3"/>
  <c r="BQ558" i="3"/>
  <c r="BQ556" i="3"/>
  <c r="BQ554" i="3"/>
  <c r="BQ552" i="3"/>
  <c r="BQ548" i="3"/>
  <c r="BQ546" i="3"/>
  <c r="BQ544" i="3"/>
  <c r="G534" i="3"/>
  <c r="BQ540" i="3"/>
  <c r="BL540" i="3" s="1"/>
  <c r="BQ538" i="3"/>
  <c r="BQ536" i="3"/>
  <c r="BQ534" i="3"/>
  <c r="BQ532" i="3"/>
  <c r="BQ530" i="3"/>
  <c r="BQ528" i="3"/>
  <c r="BQ526" i="3"/>
  <c r="BQ524" i="3"/>
  <c r="BQ522" i="3"/>
  <c r="BQ518" i="3"/>
  <c r="BQ516" i="3"/>
  <c r="BQ514" i="3"/>
  <c r="BQ512" i="3"/>
  <c r="BQ510" i="3"/>
  <c r="BQ508" i="3"/>
  <c r="AC506" i="3"/>
  <c r="G506" i="3" s="1"/>
  <c r="BQ506" i="3"/>
  <c r="G502" i="3"/>
  <c r="G498" i="3"/>
  <c r="BQ504" i="3"/>
  <c r="BQ500" i="3"/>
  <c r="BQ498" i="3"/>
  <c r="BQ496" i="3"/>
  <c r="AC494" i="3"/>
  <c r="BQ494"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H42" i="33"/>
  <c r="U42" i="33" s="1"/>
  <c r="J43" i="33"/>
  <c r="AC43" i="33" s="1"/>
  <c r="J23" i="37"/>
  <c r="AC23" i="37" s="1"/>
  <c r="F17" i="37"/>
  <c r="AA17" i="37" s="1"/>
  <c r="D3" i="21"/>
  <c r="AC36" i="34"/>
  <c r="AC37" i="33"/>
  <c r="AA36" i="21"/>
  <c r="F43" i="33"/>
  <c r="F37" i="21"/>
  <c r="S37" i="21" s="1"/>
  <c r="J37" i="21"/>
  <c r="W37" i="21" s="1"/>
  <c r="H19" i="34"/>
  <c r="AB19" i="34" s="1"/>
  <c r="J10" i="37"/>
  <c r="W10" i="37" s="1"/>
  <c r="H9" i="37"/>
  <c r="U9" i="37" s="1"/>
  <c r="F9" i="37"/>
  <c r="S9" i="37" s="1"/>
  <c r="F11" i="37"/>
  <c r="J12" i="37"/>
  <c r="AC12" i="37" s="1"/>
  <c r="F12" i="37"/>
  <c r="AA12" i="37" s="1"/>
  <c r="H15" i="37"/>
  <c r="AB15" i="37" s="1"/>
  <c r="F31" i="37"/>
  <c r="H31" i="37"/>
  <c r="AB31" i="37" s="1"/>
  <c r="J15" i="37"/>
  <c r="W15" i="37" s="1"/>
  <c r="J11" i="37"/>
  <c r="W11" i="37" s="1"/>
  <c r="E90" i="40"/>
  <c r="F90" i="40" s="1"/>
  <c r="G90" i="40" s="1"/>
  <c r="F21" i="40"/>
  <c r="S21" i="40" s="1"/>
  <c r="W36" i="40"/>
  <c r="U40" i="39"/>
  <c r="J21" i="40"/>
  <c r="AC21" i="40" s="1"/>
  <c r="S27" i="31"/>
  <c r="G483" i="3"/>
  <c r="G515" i="3"/>
  <c r="BL17" i="3"/>
  <c r="BL15" i="3"/>
  <c r="J57" i="39"/>
  <c r="H13" i="40"/>
  <c r="U13" i="40"/>
  <c r="H12" i="48"/>
  <c r="I4" i="4"/>
  <c r="K141" i="21"/>
  <c r="K143" i="21"/>
  <c r="K144" i="21"/>
  <c r="I60" i="40"/>
  <c r="C60" i="40" s="1"/>
  <c r="G297" i="3"/>
  <c r="G299" i="3"/>
  <c r="BL300" i="3"/>
  <c r="BA302" i="3"/>
  <c r="BA303" i="3"/>
  <c r="G304" i="3"/>
  <c r="BL305" i="3"/>
  <c r="G321" i="3"/>
  <c r="G323" i="3"/>
  <c r="BL327" i="3"/>
  <c r="G328" i="3"/>
  <c r="BL329" i="3"/>
  <c r="G337" i="3"/>
  <c r="BL338" i="3"/>
  <c r="G339" i="3"/>
  <c r="BL343" i="3"/>
  <c r="G344" i="3"/>
  <c r="BA345" i="3"/>
  <c r="G353" i="3"/>
  <c r="BL354" i="3"/>
  <c r="G355" i="3"/>
  <c r="BL356" i="3"/>
  <c r="G357" i="3"/>
  <c r="G359" i="3"/>
  <c r="G362" i="3"/>
  <c r="G371" i="3"/>
  <c r="BL372" i="3"/>
  <c r="G373" i="3"/>
  <c r="BL374" i="3"/>
  <c r="BA377" i="3"/>
  <c r="AZ377" i="3" s="1"/>
  <c r="BL377" i="3"/>
  <c r="G116" i="3"/>
  <c r="BA118" i="3"/>
  <c r="BL119" i="3"/>
  <c r="G120" i="3"/>
  <c r="BA122" i="3"/>
  <c r="G124" i="3"/>
  <c r="BA126" i="3"/>
  <c r="G128" i="3"/>
  <c r="G132" i="3"/>
  <c r="BA134" i="3"/>
  <c r="BL135" i="3"/>
  <c r="G136" i="3"/>
  <c r="BA138" i="3"/>
  <c r="BL139" i="3"/>
  <c r="G140" i="3"/>
  <c r="BA142" i="3"/>
  <c r="G144" i="3"/>
  <c r="BL147" i="3"/>
  <c r="G148" i="3"/>
  <c r="BA150" i="3"/>
  <c r="BL151" i="3"/>
  <c r="BA153" i="3"/>
  <c r="BL154" i="3"/>
  <c r="G155" i="3"/>
  <c r="BA157" i="3"/>
  <c r="BL158" i="3"/>
  <c r="G159" i="3"/>
  <c r="BA161" i="3"/>
  <c r="G163" i="3"/>
  <c r="BL166" i="3"/>
  <c r="G167" i="3"/>
  <c r="BA169" i="3"/>
  <c r="G171" i="3"/>
  <c r="BA173" i="3"/>
  <c r="BL174" i="3"/>
  <c r="G175" i="3"/>
  <c r="BA178" i="3"/>
  <c r="BL179" i="3"/>
  <c r="G180" i="3"/>
  <c r="G537" i="3"/>
  <c r="BL181" i="3"/>
  <c r="G182" i="3"/>
  <c r="BA184" i="3"/>
  <c r="G186" i="3"/>
  <c r="BA188" i="3"/>
  <c r="BL189" i="3"/>
  <c r="G190" i="3"/>
  <c r="BA192" i="3"/>
  <c r="BL193" i="3"/>
  <c r="G194" i="3"/>
  <c r="BA196" i="3"/>
  <c r="BL197" i="3"/>
  <c r="G198" i="3"/>
  <c r="BA200" i="3"/>
  <c r="BL201" i="3"/>
  <c r="BA299" i="3"/>
  <c r="BL299" i="3"/>
  <c r="G300" i="3"/>
  <c r="G303" i="3"/>
  <c r="BL304" i="3"/>
  <c r="BA307" i="3"/>
  <c r="G308" i="3"/>
  <c r="G319" i="3"/>
  <c r="BL323" i="3"/>
  <c r="G324" i="3"/>
  <c r="G327" i="3"/>
  <c r="BL328" i="3"/>
  <c r="BA331" i="3"/>
  <c r="BL331" i="3"/>
  <c r="G332" i="3"/>
  <c r="G335" i="3"/>
  <c r="G340" i="3"/>
  <c r="G343" i="3"/>
  <c r="BL344" i="3"/>
  <c r="BA346" i="3"/>
  <c r="BA347" i="3"/>
  <c r="BL347" i="3"/>
  <c r="G348" i="3"/>
  <c r="G351" i="3"/>
  <c r="BL352" i="3"/>
  <c r="BL355" i="3"/>
  <c r="G356" i="3"/>
  <c r="BA359" i="3"/>
  <c r="BL359" i="3"/>
  <c r="G360" i="3"/>
  <c r="G361" i="3"/>
  <c r="BL362" i="3"/>
  <c r="BL365" i="3"/>
  <c r="G369" i="3"/>
  <c r="BA370" i="3"/>
  <c r="BA372" i="3"/>
  <c r="AZ372" i="3" s="1"/>
  <c r="BA373" i="3"/>
  <c r="BL373" i="3"/>
  <c r="AZ373" i="3" s="1"/>
  <c r="G374" i="3"/>
  <c r="G377" i="3"/>
  <c r="BL378" i="3"/>
  <c r="BA380" i="3"/>
  <c r="BA381" i="3"/>
  <c r="G382" i="3"/>
  <c r="G385" i="3"/>
  <c r="G298" i="3"/>
  <c r="BA300" i="3"/>
  <c r="BL301" i="3"/>
  <c r="G302" i="3"/>
  <c r="BA304" i="3"/>
  <c r="AZ304" i="3" s="1"/>
  <c r="G306" i="3"/>
  <c r="BA308" i="3"/>
  <c r="AZ308" i="3" s="1"/>
  <c r="G310" i="3"/>
  <c r="G312" i="3"/>
  <c r="BA312" i="3"/>
  <c r="BL313" i="3"/>
  <c r="G314" i="3"/>
  <c r="BA314" i="3"/>
  <c r="G316" i="3"/>
  <c r="BL317" i="3"/>
  <c r="BA320" i="3"/>
  <c r="G322" i="3"/>
  <c r="BA324" i="3"/>
  <c r="BL325" i="3"/>
  <c r="G326" i="3"/>
  <c r="BA328" i="3"/>
  <c r="BA332" i="3"/>
  <c r="G334" i="3"/>
  <c r="G338" i="3"/>
  <c r="BA340" i="3"/>
  <c r="BL341" i="3"/>
  <c r="G342" i="3"/>
  <c r="BA344" i="3"/>
  <c r="G346" i="3"/>
  <c r="G350" i="3"/>
  <c r="BL353" i="3"/>
  <c r="BA356" i="3"/>
  <c r="AZ356" i="3" s="1"/>
  <c r="BL357" i="3"/>
  <c r="G358" i="3"/>
  <c r="BA362" i="3"/>
  <c r="G364" i="3"/>
  <c r="BL367" i="3"/>
  <c r="G368" i="3"/>
  <c r="G372" i="3"/>
  <c r="BA374" i="3"/>
  <c r="BL375" i="3"/>
  <c r="G376" i="3"/>
  <c r="BA378" i="3"/>
  <c r="BL379" i="3"/>
  <c r="G380" i="3"/>
  <c r="G384" i="3"/>
  <c r="H7" i="48"/>
  <c r="F33" i="46"/>
  <c r="H16" i="48"/>
  <c r="H9" i="48"/>
  <c r="H8" i="48"/>
  <c r="C12" i="46"/>
  <c r="AB16" i="35"/>
  <c r="E78" i="40"/>
  <c r="F78" i="40" s="1"/>
  <c r="G78" i="40" s="1"/>
  <c r="H78" i="40" s="1"/>
  <c r="I78" i="40" s="1"/>
  <c r="J78" i="40" s="1"/>
  <c r="K78" i="40" s="1"/>
  <c r="L78" i="40" s="1"/>
  <c r="M78" i="40"/>
  <c r="R16" i="4"/>
  <c r="P16" i="4"/>
  <c r="D3" i="35"/>
  <c r="G4" i="4"/>
  <c r="S37" i="34"/>
  <c r="J16" i="35"/>
  <c r="W16" i="35" s="1"/>
  <c r="H11" i="37"/>
  <c r="AB11" i="37" s="1"/>
  <c r="AA36" i="37"/>
  <c r="AA45" i="33"/>
  <c r="AC11" i="36"/>
  <c r="AC10" i="36"/>
  <c r="J33" i="34"/>
  <c r="AC33" i="34" s="1"/>
  <c r="J40" i="34"/>
  <c r="F16" i="35"/>
  <c r="AA16" i="35" s="1"/>
  <c r="W42" i="33"/>
  <c r="J35" i="34"/>
  <c r="W35" i="34" s="1"/>
  <c r="K107" i="34"/>
  <c r="L107" i="34" s="1"/>
  <c r="M107" i="34" s="1"/>
  <c r="H16" i="36"/>
  <c r="AB16" i="36" s="1"/>
  <c r="H35" i="37"/>
  <c r="AB35" i="37" s="1"/>
  <c r="S26" i="21"/>
  <c r="H32" i="21"/>
  <c r="AB26" i="21"/>
  <c r="U26" i="21"/>
  <c r="J32" i="21"/>
  <c r="AC32" i="21" s="1"/>
  <c r="F17" i="21"/>
  <c r="S17" i="21" s="1"/>
  <c r="H17" i="21"/>
  <c r="AB17" i="21" s="1"/>
  <c r="J17" i="21"/>
  <c r="AC17" i="21"/>
  <c r="H37" i="21"/>
  <c r="AB37" i="21" s="1"/>
  <c r="U37" i="21"/>
  <c r="F40" i="21"/>
  <c r="AA40" i="21" s="1"/>
  <c r="H40" i="21"/>
  <c r="AA8" i="33"/>
  <c r="S8" i="33"/>
  <c r="F10" i="33"/>
  <c r="AA10" i="33" s="1"/>
  <c r="F11" i="33"/>
  <c r="J15" i="33"/>
  <c r="W15" i="33" s="1"/>
  <c r="H19" i="33"/>
  <c r="F32" i="33"/>
  <c r="AA32" i="33" s="1"/>
  <c r="J32" i="33"/>
  <c r="AC32" i="33" s="1"/>
  <c r="F35" i="33"/>
  <c r="AA35" i="33" s="1"/>
  <c r="AB39" i="34"/>
  <c r="F11" i="34"/>
  <c r="S11" i="34" s="1"/>
  <c r="H17" i="34"/>
  <c r="H13" i="33"/>
  <c r="J11" i="35"/>
  <c r="AC11" i="35" s="1"/>
  <c r="F96" i="37"/>
  <c r="G96" i="37" s="1"/>
  <c r="H96" i="37" s="1"/>
  <c r="I96" i="37" s="1"/>
  <c r="J96" i="37" s="1"/>
  <c r="K96" i="37" s="1"/>
  <c r="L96" i="37" s="1"/>
  <c r="M96" i="37" s="1"/>
  <c r="H32" i="37"/>
  <c r="AB32" i="37" s="1"/>
  <c r="F99" i="37"/>
  <c r="S14" i="21"/>
  <c r="AC19" i="33"/>
  <c r="S35" i="37"/>
  <c r="AA32" i="21"/>
  <c r="S32" i="21"/>
  <c r="F42" i="21"/>
  <c r="E90" i="34"/>
  <c r="F90" i="34" s="1"/>
  <c r="G90" i="34" s="1"/>
  <c r="H90" i="34" s="1"/>
  <c r="I90" i="34" s="1"/>
  <c r="J90" i="34" s="1"/>
  <c r="K90" i="34" s="1"/>
  <c r="L90" i="34" s="1"/>
  <c r="M90" i="34" s="1"/>
  <c r="H27" i="34"/>
  <c r="AB27" i="34" s="1"/>
  <c r="J14" i="35"/>
  <c r="W14" i="35" s="1"/>
  <c r="F14" i="35"/>
  <c r="AA14" i="35" s="1"/>
  <c r="H14" i="35"/>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AA26" i="36" s="1"/>
  <c r="H33" i="36"/>
  <c r="U33" i="36" s="1"/>
  <c r="F33" i="36"/>
  <c r="S33" i="36" s="1"/>
  <c r="AA33" i="36"/>
  <c r="H27" i="36"/>
  <c r="AB27" i="36" s="1"/>
  <c r="AB29" i="37"/>
  <c r="W31" i="37"/>
  <c r="AB14" i="37"/>
  <c r="F17" i="39"/>
  <c r="AA17" i="39" s="1"/>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E103" i="39"/>
  <c r="F103" i="39" s="1"/>
  <c r="G103" i="39" s="1"/>
  <c r="F34" i="39"/>
  <c r="S34" i="39" s="1"/>
  <c r="H34" i="39"/>
  <c r="AB34" i="39" s="1"/>
  <c r="J34" i="39"/>
  <c r="AC34" i="39" s="1"/>
  <c r="F39" i="39"/>
  <c r="AA39" i="39" s="1"/>
  <c r="H39" i="39"/>
  <c r="AB39" i="39" s="1"/>
  <c r="J39" i="39"/>
  <c r="AC39" i="39" s="1"/>
  <c r="J29" i="35"/>
  <c r="AC29" i="35" s="1"/>
  <c r="F29" i="35"/>
  <c r="W30" i="36"/>
  <c r="AC30" i="36"/>
  <c r="F37" i="39"/>
  <c r="H37" i="39"/>
  <c r="U37" i="39" s="1"/>
  <c r="J37" i="39"/>
  <c r="W37" i="39" s="1"/>
  <c r="BL548" i="3"/>
  <c r="BL537" i="3"/>
  <c r="G494" i="3"/>
  <c r="H38" i="34"/>
  <c r="AB38" i="34" s="1"/>
  <c r="H30" i="40"/>
  <c r="G100" i="40"/>
  <c r="H100" i="40" s="1"/>
  <c r="I100" i="40" s="1"/>
  <c r="J100" i="40" s="1"/>
  <c r="K100" i="40" s="1"/>
  <c r="L100" i="40" s="1"/>
  <c r="M100" i="40" s="1"/>
  <c r="J30" i="40"/>
  <c r="AC30" i="40" s="1"/>
  <c r="F38" i="40"/>
  <c r="AA36" i="34"/>
  <c r="AB33" i="21"/>
  <c r="S35" i="21"/>
  <c r="AB10" i="21"/>
  <c r="AB8" i="21"/>
  <c r="S34" i="21"/>
  <c r="AC36" i="21"/>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H22" i="35"/>
  <c r="AB22" i="35" s="1"/>
  <c r="H23" i="35"/>
  <c r="S8" i="37"/>
  <c r="AA8" i="37"/>
  <c r="F14" i="39"/>
  <c r="AA14" i="39" s="1"/>
  <c r="H14" i="39"/>
  <c r="AB14" i="39" s="1"/>
  <c r="J14" i="39"/>
  <c r="W14" i="39" s="1"/>
  <c r="J27" i="39"/>
  <c r="W27" i="39" s="1"/>
  <c r="F15" i="40"/>
  <c r="S15" i="40" s="1"/>
  <c r="J15" i="40"/>
  <c r="W15" i="40" s="1"/>
  <c r="H15" i="40"/>
  <c r="H23" i="40"/>
  <c r="U23" i="40" s="1"/>
  <c r="H41" i="40"/>
  <c r="U41" i="40" s="1"/>
  <c r="F41" i="40"/>
  <c r="AA41" i="40" s="1"/>
  <c r="J41" i="40"/>
  <c r="W41" i="40" s="1"/>
  <c r="H36" i="33"/>
  <c r="H37" i="34"/>
  <c r="J15" i="39"/>
  <c r="AC15" i="39" s="1"/>
  <c r="H25" i="39"/>
  <c r="U25" i="39" s="1"/>
  <c r="F25" i="39"/>
  <c r="AA25" i="39" s="1"/>
  <c r="J47" i="39"/>
  <c r="E94" i="40"/>
  <c r="F94" i="40" s="1"/>
  <c r="G94" i="40" s="1"/>
  <c r="J25" i="40"/>
  <c r="J32" i="40"/>
  <c r="AC32" i="40" s="1"/>
  <c r="H32" i="40"/>
  <c r="U32" i="40" s="1"/>
  <c r="H33" i="40"/>
  <c r="AB33" i="40" s="1"/>
  <c r="H35" i="40"/>
  <c r="AB35" i="40"/>
  <c r="F35" i="40"/>
  <c r="AA35" i="40" s="1"/>
  <c r="J35" i="40"/>
  <c r="AC35" i="40" s="1"/>
  <c r="J38" i="39"/>
  <c r="W38" i="39" s="1"/>
  <c r="H38" i="39"/>
  <c r="U38" i="39" s="1"/>
  <c r="J14" i="40"/>
  <c r="AC14" i="40" s="1"/>
  <c r="H42" i="40"/>
  <c r="H40" i="40"/>
  <c r="H34" i="40"/>
  <c r="B41" i="1"/>
  <c r="D86" i="9" s="1"/>
  <c r="J42" i="40"/>
  <c r="AC42" i="40" s="1"/>
  <c r="J40" i="40"/>
  <c r="W40" i="40" s="1"/>
  <c r="J34" i="40"/>
  <c r="H14" i="40"/>
  <c r="AB14" i="40" s="1"/>
  <c r="F32" i="40"/>
  <c r="AA32" i="40" s="1"/>
  <c r="M1" i="46"/>
  <c r="M6" i="46"/>
  <c r="M10" i="46"/>
  <c r="N2" i="46"/>
  <c r="N5" i="46"/>
  <c r="F58" i="46"/>
  <c r="H66" i="46" s="1"/>
  <c r="N7" i="46"/>
  <c r="M7" i="46"/>
  <c r="M11" i="46"/>
  <c r="N3" i="46"/>
  <c r="N6" i="46"/>
  <c r="N10" i="46"/>
  <c r="F69" i="46"/>
  <c r="H71" i="46" s="1"/>
  <c r="J13" i="40"/>
  <c r="W13" i="40"/>
  <c r="F71" i="9"/>
  <c r="AB32" i="40"/>
  <c r="J23" i="40"/>
  <c r="AC23" i="40" s="1"/>
  <c r="F23" i="40"/>
  <c r="S23" i="40" s="1"/>
  <c r="H20" i="35"/>
  <c r="U20" i="35" s="1"/>
  <c r="F20" i="35"/>
  <c r="H15" i="34"/>
  <c r="AB15" i="34" s="1"/>
  <c r="J15" i="34"/>
  <c r="AC15" i="34" s="1"/>
  <c r="H41" i="33"/>
  <c r="U41" i="33" s="1"/>
  <c r="F30" i="40"/>
  <c r="AA30" i="40" s="1"/>
  <c r="AB37" i="39"/>
  <c r="G99" i="37"/>
  <c r="H99" i="37" s="1"/>
  <c r="I99" i="37" s="1"/>
  <c r="J99" i="37" s="1"/>
  <c r="K99" i="37" s="1"/>
  <c r="L99" i="37" s="1"/>
  <c r="M99" i="37" s="1"/>
  <c r="F33" i="37"/>
  <c r="AA33" i="37" s="1"/>
  <c r="AA11" i="34"/>
  <c r="W32" i="33"/>
  <c r="H15" i="33"/>
  <c r="AB15" i="33" s="1"/>
  <c r="H25" i="40"/>
  <c r="U25" i="40" s="1"/>
  <c r="J37" i="34"/>
  <c r="J36" i="33"/>
  <c r="W36" i="33" s="1"/>
  <c r="F106" i="33"/>
  <c r="G106" i="33" s="1"/>
  <c r="H106" i="33" s="1"/>
  <c r="I106" i="33" s="1"/>
  <c r="J106" i="33" s="1"/>
  <c r="K106" i="33" s="1"/>
  <c r="L106" i="33" s="1"/>
  <c r="M106" i="33" s="1"/>
  <c r="J34" i="33"/>
  <c r="AC34" i="33" s="1"/>
  <c r="F80" i="35"/>
  <c r="G80" i="35" s="1"/>
  <c r="H80" i="35" s="1"/>
  <c r="I80" i="35" s="1"/>
  <c r="J80" i="35" s="1"/>
  <c r="K80" i="35" s="1"/>
  <c r="L80" i="35" s="1"/>
  <c r="M80" i="35" s="1"/>
  <c r="F27" i="34"/>
  <c r="AA27" i="34" s="1"/>
  <c r="F32" i="37"/>
  <c r="F17" i="34"/>
  <c r="S17" i="34" s="1"/>
  <c r="J17" i="34"/>
  <c r="AC17" i="34" s="1"/>
  <c r="H11" i="34"/>
  <c r="AB11" i="34" s="1"/>
  <c r="J35" i="33"/>
  <c r="H11" i="33"/>
  <c r="H10" i="33"/>
  <c r="U10" i="33" s="1"/>
  <c r="I66" i="33"/>
  <c r="J10" i="33"/>
  <c r="AC13" i="40"/>
  <c r="J11" i="34"/>
  <c r="AC11" i="34" s="1"/>
  <c r="F25" i="40"/>
  <c r="AA25" i="40" s="1"/>
  <c r="J11" i="33"/>
  <c r="W11" i="33" s="1"/>
  <c r="H33" i="37"/>
  <c r="W15" i="34"/>
  <c r="D73" i="9"/>
  <c r="N73" i="9" s="1"/>
  <c r="AP11" i="1"/>
  <c r="B11" i="1"/>
  <c r="E11" i="1" s="1"/>
  <c r="K11" i="1"/>
  <c r="M11" i="1" s="1"/>
  <c r="B9" i="1"/>
  <c r="E9" i="1" s="1"/>
  <c r="K9" i="1"/>
  <c r="M9" i="1" s="1"/>
  <c r="O9" i="1" s="1"/>
  <c r="P9" i="1" s="1"/>
  <c r="B7" i="1"/>
  <c r="E7" i="1" s="1"/>
  <c r="K7" i="1"/>
  <c r="M7" i="1"/>
  <c r="O7" i="1" s="1"/>
  <c r="P7" i="1" s="1"/>
  <c r="C20" i="43"/>
  <c r="G11" i="1"/>
  <c r="F30" i="44"/>
  <c r="AA28" i="36"/>
  <c r="H20" i="36"/>
  <c r="AB20" i="36" s="1"/>
  <c r="J20" i="36"/>
  <c r="F20" i="36"/>
  <c r="S20" i="36" s="1"/>
  <c r="J14" i="36"/>
  <c r="AC14" i="36" s="1"/>
  <c r="H14" i="36"/>
  <c r="F14" i="36"/>
  <c r="AA14" i="36" s="1"/>
  <c r="U22" i="35"/>
  <c r="S8" i="35"/>
  <c r="U33" i="35"/>
  <c r="W20" i="35"/>
  <c r="S16" i="35"/>
  <c r="W13" i="35"/>
  <c r="AC18" i="35"/>
  <c r="W18" i="35"/>
  <c r="U18" i="35"/>
  <c r="AB18" i="35"/>
  <c r="S27" i="35"/>
  <c r="J26" i="35"/>
  <c r="F26" i="35"/>
  <c r="AA26" i="35" s="1"/>
  <c r="H26" i="35"/>
  <c r="U26" i="35" s="1"/>
  <c r="W12" i="37"/>
  <c r="S17" i="37"/>
  <c r="S33" i="37"/>
  <c r="J33" i="37"/>
  <c r="W33" i="37" s="1"/>
  <c r="J19" i="37"/>
  <c r="AC19" i="37" s="1"/>
  <c r="F19" i="37"/>
  <c r="AA19" i="37" s="1"/>
  <c r="H19" i="37"/>
  <c r="J17" i="37"/>
  <c r="W17" i="37" s="1"/>
  <c r="S15" i="37"/>
  <c r="AC21" i="37"/>
  <c r="W21" i="37"/>
  <c r="AC11" i="37"/>
  <c r="AC9" i="37"/>
  <c r="W32" i="37"/>
  <c r="U8" i="37"/>
  <c r="AB21" i="37"/>
  <c r="U21" i="37"/>
  <c r="AA40" i="34"/>
  <c r="W33" i="34"/>
  <c r="AB33" i="34"/>
  <c r="AA33" i="34"/>
  <c r="U44" i="34"/>
  <c r="U34" i="34"/>
  <c r="J25" i="34"/>
  <c r="W25" i="34" s="1"/>
  <c r="H25" i="34"/>
  <c r="U25" i="34" s="1"/>
  <c r="F25" i="34"/>
  <c r="J23" i="34"/>
  <c r="W23" i="34" s="1"/>
  <c r="F86" i="34"/>
  <c r="G86" i="34" s="1"/>
  <c r="F23" i="34"/>
  <c r="H23" i="34"/>
  <c r="W17" i="34"/>
  <c r="U11" i="34"/>
  <c r="AC21" i="34"/>
  <c r="W21" i="34"/>
  <c r="AB21" i="34"/>
  <c r="U21" i="34"/>
  <c r="AB41" i="34"/>
  <c r="S13" i="34"/>
  <c r="S10" i="34"/>
  <c r="U39" i="33"/>
  <c r="U37" i="33"/>
  <c r="AB41" i="33"/>
  <c r="U35" i="33"/>
  <c r="AB26" i="33"/>
  <c r="H25" i="33"/>
  <c r="J25" i="33"/>
  <c r="W25" i="33" s="1"/>
  <c r="F25" i="33"/>
  <c r="AA25" i="33" s="1"/>
  <c r="J23" i="33"/>
  <c r="AC23" i="33" s="1"/>
  <c r="F23" i="33"/>
  <c r="AA23" i="33" s="1"/>
  <c r="H23" i="33"/>
  <c r="F17" i="33"/>
  <c r="AA17" i="33" s="1"/>
  <c r="H17" i="33"/>
  <c r="AB17" i="33" s="1"/>
  <c r="J17" i="33"/>
  <c r="AC17" i="33" s="1"/>
  <c r="AC11" i="33"/>
  <c r="AC21" i="33"/>
  <c r="W21" i="33"/>
  <c r="AB21" i="33"/>
  <c r="U21" i="33"/>
  <c r="AA21" i="33"/>
  <c r="S21" i="33"/>
  <c r="W39" i="21"/>
  <c r="AC34" i="21"/>
  <c r="U35" i="21"/>
  <c r="W43" i="21"/>
  <c r="F85" i="21"/>
  <c r="G85" i="21" s="1"/>
  <c r="J23" i="21"/>
  <c r="W23" i="21" s="1"/>
  <c r="F23" i="21"/>
  <c r="S23" i="21" s="1"/>
  <c r="H23" i="21"/>
  <c r="U23" i="21" s="1"/>
  <c r="W17" i="21"/>
  <c r="F15" i="21"/>
  <c r="S15" i="21" s="1"/>
  <c r="J15" i="21"/>
  <c r="AC15" i="21" s="1"/>
  <c r="H15" i="21"/>
  <c r="U15" i="21" s="1"/>
  <c r="AC11" i="21"/>
  <c r="AB11" i="21"/>
  <c r="AC21" i="21"/>
  <c r="W21" i="21"/>
  <c r="AC19" i="21"/>
  <c r="W10" i="21"/>
  <c r="AC38" i="21"/>
  <c r="AB21" i="21"/>
  <c r="U21" i="21"/>
  <c r="S35" i="40"/>
  <c r="AB13" i="40"/>
  <c r="W11" i="40"/>
  <c r="U21" i="40"/>
  <c r="U35" i="40"/>
  <c r="F37" i="40"/>
  <c r="AA37" i="40" s="1"/>
  <c r="J37" i="40"/>
  <c r="W37" i="40" s="1"/>
  <c r="H37" i="40"/>
  <c r="U37" i="40" s="1"/>
  <c r="G113" i="40"/>
  <c r="H113" i="40" s="1"/>
  <c r="I113" i="40" s="1"/>
  <c r="J113" i="40" s="1"/>
  <c r="K113" i="40" s="1"/>
  <c r="L113" i="40" s="1"/>
  <c r="M113" i="40" s="1"/>
  <c r="F39" i="40"/>
  <c r="AA39" i="40" s="1"/>
  <c r="H39" i="40"/>
  <c r="J39" i="40"/>
  <c r="AC39" i="40" s="1"/>
  <c r="F29" i="40"/>
  <c r="AA29" i="40" s="1"/>
  <c r="H29" i="40"/>
  <c r="U29" i="40" s="1"/>
  <c r="J29" i="40"/>
  <c r="AC29" i="40" s="1"/>
  <c r="F88" i="40"/>
  <c r="G88" i="40" s="1"/>
  <c r="F19" i="40"/>
  <c r="S19" i="40" s="1"/>
  <c r="H19" i="40"/>
  <c r="U19" i="40" s="1"/>
  <c r="J19" i="40"/>
  <c r="W19" i="40" s="1"/>
  <c r="W17" i="40"/>
  <c r="AC17" i="40"/>
  <c r="F17" i="40"/>
  <c r="AA17" i="40" s="1"/>
  <c r="H17" i="40"/>
  <c r="AB17" i="40" s="1"/>
  <c r="W21" i="40"/>
  <c r="U10" i="40"/>
  <c r="U27" i="40"/>
  <c r="AB27" i="40"/>
  <c r="S11" i="39"/>
  <c r="AC38" i="39"/>
  <c r="AC21" i="39"/>
  <c r="U11" i="39"/>
  <c r="S38" i="39"/>
  <c r="D96" i="9"/>
  <c r="F28" i="15"/>
  <c r="M18" i="15"/>
  <c r="BA16" i="3"/>
  <c r="AZ16" i="3" s="1"/>
  <c r="BA17" i="3"/>
  <c r="AZ17" i="3" s="1"/>
  <c r="F3" i="35"/>
  <c r="K1" i="43"/>
  <c r="K1" i="12"/>
  <c r="G1" i="44"/>
  <c r="G3" i="46"/>
  <c r="J101" i="46" s="1"/>
  <c r="J105" i="46" s="1"/>
  <c r="BL16" i="3"/>
  <c r="G28" i="12"/>
  <c r="G22" i="43"/>
  <c r="G26" i="12"/>
  <c r="D24" i="44"/>
  <c r="D26" i="44"/>
  <c r="G27" i="12"/>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S13" i="21"/>
  <c r="C24" i="9"/>
  <c r="C25" i="9"/>
  <c r="G9" i="1"/>
  <c r="G8" i="1"/>
  <c r="I20" i="46"/>
  <c r="B46" i="50"/>
  <c r="B4" i="63" s="1"/>
  <c r="H86" i="46"/>
  <c r="H82" i="46"/>
  <c r="H10" i="48"/>
  <c r="H87" i="46"/>
  <c r="H85" i="46"/>
  <c r="H83" i="46"/>
  <c r="K10" i="1"/>
  <c r="M10" i="1" s="1"/>
  <c r="O10" i="1" s="1"/>
  <c r="S11" i="1"/>
  <c r="R11" i="1"/>
  <c r="S13" i="1"/>
  <c r="R13" i="1"/>
  <c r="B6" i="1"/>
  <c r="E6" i="1" s="1"/>
  <c r="B10" i="1"/>
  <c r="E10" i="1" s="1"/>
  <c r="S10" i="1"/>
  <c r="B8" i="1"/>
  <c r="E8" i="1"/>
  <c r="B12" i="1"/>
  <c r="E12" i="1" s="1"/>
  <c r="S12" i="1"/>
  <c r="K6" i="1"/>
  <c r="M6" i="1" s="1"/>
  <c r="O6" i="1" s="1"/>
  <c r="G1" i="15"/>
  <c r="F66" i="36"/>
  <c r="G66" i="36" s="1"/>
  <c r="H18" i="36"/>
  <c r="AB18" i="36" s="1"/>
  <c r="AA34" i="36"/>
  <c r="AC27" i="36"/>
  <c r="W28" i="36"/>
  <c r="AA22" i="36"/>
  <c r="U10" i="36"/>
  <c r="W29" i="36"/>
  <c r="W8" i="36"/>
  <c r="AC30" i="35"/>
  <c r="U24" i="35"/>
  <c r="W32" i="35"/>
  <c r="S24" i="35"/>
  <c r="U32" i="35"/>
  <c r="W22" i="35"/>
  <c r="S32" i="35"/>
  <c r="W35" i="37"/>
  <c r="AC15" i="37"/>
  <c r="S12" i="37"/>
  <c r="W36" i="37"/>
  <c r="AB35" i="34"/>
  <c r="W47" i="34"/>
  <c r="AB13" i="34"/>
  <c r="AC13" i="34"/>
  <c r="S47" i="34"/>
  <c r="S19" i="34"/>
  <c r="AA19" i="33"/>
  <c r="S15" i="33"/>
  <c r="S9" i="33"/>
  <c r="AB45" i="21"/>
  <c r="AA25" i="21"/>
  <c r="AC37" i="21"/>
  <c r="AC27" i="21"/>
  <c r="W29" i="21"/>
  <c r="G96" i="40"/>
  <c r="J27" i="40"/>
  <c r="W30" i="40"/>
  <c r="S34" i="40"/>
  <c r="U17" i="40"/>
  <c r="U38" i="40"/>
  <c r="S40" i="40"/>
  <c r="S42" i="40"/>
  <c r="J31" i="39"/>
  <c r="W31" i="39" s="1"/>
  <c r="W42" i="39"/>
  <c r="W36" i="39"/>
  <c r="AC37" i="39"/>
  <c r="W34" i="39"/>
  <c r="W10" i="39"/>
  <c r="W11" i="39"/>
  <c r="U42" i="39"/>
  <c r="W40" i="39"/>
  <c r="S32" i="40"/>
  <c r="C17" i="40"/>
  <c r="C19" i="40"/>
  <c r="C17" i="39"/>
  <c r="C19" i="39"/>
  <c r="C23" i="40"/>
  <c r="B48" i="46"/>
  <c r="B59" i="46"/>
  <c r="B53" i="46"/>
  <c r="B64" i="46"/>
  <c r="D24" i="15"/>
  <c r="U14" i="36"/>
  <c r="AB14" i="36"/>
  <c r="U18" i="36"/>
  <c r="AB26" i="35"/>
  <c r="W26" i="35"/>
  <c r="AC26" i="35"/>
  <c r="W19" i="37"/>
  <c r="AB19" i="37"/>
  <c r="U19" i="37"/>
  <c r="AC17" i="37"/>
  <c r="AA25" i="34"/>
  <c r="S25" i="34"/>
  <c r="U23" i="34"/>
  <c r="AB23" i="34"/>
  <c r="AC23" i="34"/>
  <c r="S25" i="33"/>
  <c r="W17" i="33"/>
  <c r="AB23" i="21"/>
  <c r="AA23" i="21"/>
  <c r="AB39" i="40"/>
  <c r="U39" i="40"/>
  <c r="W39" i="40"/>
  <c r="AB37" i="40"/>
  <c r="S37" i="40"/>
  <c r="AB29" i="40"/>
  <c r="AT6" i="3"/>
  <c r="C4" i="4"/>
  <c r="B20" i="55" s="1"/>
  <c r="B70" i="63" s="1"/>
  <c r="J18" i="36"/>
  <c r="W18" i="36" s="1"/>
  <c r="AE8" i="1"/>
  <c r="AE7" i="1"/>
  <c r="AG6" i="1"/>
  <c r="L20" i="6"/>
  <c r="L19" i="6"/>
  <c r="L27" i="6" s="1"/>
  <c r="S7" i="1"/>
  <c r="S8" i="1"/>
  <c r="S9" i="1"/>
  <c r="C45" i="9"/>
  <c r="O40" i="9" s="1"/>
  <c r="R7" i="54" s="1"/>
  <c r="B52" i="63" s="1"/>
  <c r="R9" i="1"/>
  <c r="R7" i="1"/>
  <c r="R8" i="1"/>
  <c r="K31" i="9"/>
  <c r="K32" i="9" s="1"/>
  <c r="N76" i="9"/>
  <c r="C46" i="9"/>
  <c r="O41" i="9"/>
  <c r="R8" i="54" s="1"/>
  <c r="B54" i="63" s="1"/>
  <c r="J17" i="46"/>
  <c r="C17" i="46"/>
  <c r="F34" i="46"/>
  <c r="F38" i="46"/>
  <c r="F37" i="46"/>
  <c r="H113" i="46"/>
  <c r="AA11" i="59"/>
  <c r="AB11" i="59"/>
  <c r="Y10" i="59"/>
  <c r="Z10" i="59" s="1"/>
  <c r="Y9" i="59"/>
  <c r="Z9" i="59"/>
  <c r="Y8" i="59"/>
  <c r="Z8" i="59" s="1"/>
  <c r="AB10" i="59"/>
  <c r="AB9" i="59"/>
  <c r="AB8" i="59"/>
  <c r="AA13" i="59"/>
  <c r="X11" i="59"/>
  <c r="X8" i="59"/>
  <c r="AA9" i="59"/>
  <c r="AA8" i="59"/>
  <c r="C15" i="43"/>
  <c r="H1" i="65"/>
  <c r="X7" i="46"/>
  <c r="E17" i="46"/>
  <c r="N17" i="46"/>
  <c r="O17" i="46"/>
  <c r="M17" i="46"/>
  <c r="L17" i="46"/>
  <c r="O11" i="1"/>
  <c r="P11" i="1" s="1"/>
  <c r="AP7" i="1"/>
  <c r="H73" i="46"/>
  <c r="H50" i="46"/>
  <c r="H48" i="46"/>
  <c r="F35" i="46"/>
  <c r="I17" i="46"/>
  <c r="H63" i="46"/>
  <c r="I101" i="46"/>
  <c r="I106" i="46" s="1"/>
  <c r="M101" i="46"/>
  <c r="M107" i="46" s="1"/>
  <c r="N101" i="46"/>
  <c r="N102" i="46" s="1"/>
  <c r="AJ11" i="46"/>
  <c r="D100" i="46"/>
  <c r="AF12" i="46"/>
  <c r="K100" i="46"/>
  <c r="AB12" i="46"/>
  <c r="AJ12" i="46"/>
  <c r="K101" i="46"/>
  <c r="E22" i="46"/>
  <c r="AG11" i="46"/>
  <c r="Z11" i="46"/>
  <c r="AA11" i="46"/>
  <c r="AA13" i="46" s="1"/>
  <c r="H75" i="46"/>
  <c r="E10" i="46"/>
  <c r="E9" i="46"/>
  <c r="E11" i="46"/>
  <c r="E8" i="46"/>
  <c r="H77" i="46"/>
  <c r="H76" i="46"/>
  <c r="H54" i="46"/>
  <c r="H47" i="46"/>
  <c r="AD12" i="46"/>
  <c r="AH12" i="46"/>
  <c r="G20" i="46"/>
  <c r="E41" i="46" s="1"/>
  <c r="C41" i="46" s="1"/>
  <c r="F33" i="44"/>
  <c r="F31" i="15"/>
  <c r="I1" i="65"/>
  <c r="F58" i="15"/>
  <c r="M17" i="15"/>
  <c r="M19" i="44"/>
  <c r="X5" i="59"/>
  <c r="Y5" i="59"/>
  <c r="Z5" i="59" s="1"/>
  <c r="AA5" i="59"/>
  <c r="AB5" i="59"/>
  <c r="X6" i="59"/>
  <c r="Y6" i="59"/>
  <c r="Z6" i="59" s="1"/>
  <c r="AA6" i="59"/>
  <c r="AB6" i="59"/>
  <c r="C15" i="12"/>
  <c r="F12" i="67"/>
  <c r="E10" i="67"/>
  <c r="F13" i="15"/>
  <c r="F11" i="67"/>
  <c r="N6" i="65"/>
  <c r="F26" i="15"/>
  <c r="M22" i="15"/>
  <c r="J5" i="65"/>
  <c r="B8" i="67"/>
  <c r="L47" i="15"/>
  <c r="F14" i="67"/>
  <c r="B11" i="67"/>
  <c r="E11" i="67"/>
  <c r="B12" i="67"/>
  <c r="N7" i="65"/>
  <c r="B13" i="67"/>
  <c r="E13" i="67"/>
  <c r="B14" i="67"/>
  <c r="E8" i="67"/>
  <c r="F37" i="15"/>
  <c r="N3" i="65"/>
  <c r="N5" i="65"/>
  <c r="M28" i="44"/>
  <c r="E9" i="67"/>
  <c r="F13" i="67"/>
  <c r="F9" i="67"/>
  <c r="I4" i="65"/>
  <c r="E14" i="67"/>
  <c r="J17" i="44"/>
  <c r="N4" i="65"/>
  <c r="F8" i="67"/>
  <c r="F10" i="67"/>
  <c r="M8" i="44"/>
  <c r="B10" i="67"/>
  <c r="B9" i="67"/>
  <c r="F9" i="44"/>
  <c r="E12" i="67"/>
  <c r="AA16" i="39" l="1"/>
  <c r="S16" i="39"/>
  <c r="AB23" i="36"/>
  <c r="U23" i="36"/>
  <c r="X9" i="59"/>
  <c r="AZ324" i="3"/>
  <c r="AZ359" i="3"/>
  <c r="AZ299" i="3"/>
  <c r="AZ300" i="3"/>
  <c r="AB38" i="37"/>
  <c r="AA29" i="37"/>
  <c r="U34" i="21"/>
  <c r="AA31" i="33"/>
  <c r="BL566" i="3"/>
  <c r="G554" i="3"/>
  <c r="BA553" i="3"/>
  <c r="G495" i="3"/>
  <c r="G392" i="3"/>
  <c r="BL397" i="3"/>
  <c r="G406" i="3"/>
  <c r="G317" i="3"/>
  <c r="G352" i="3"/>
  <c r="G205" i="3"/>
  <c r="G254" i="3"/>
  <c r="G145" i="3"/>
  <c r="G169" i="3"/>
  <c r="G181" i="3"/>
  <c r="G193" i="3"/>
  <c r="G21" i="3"/>
  <c r="G35" i="3"/>
  <c r="G85" i="3"/>
  <c r="G108" i="3"/>
  <c r="X20" i="59"/>
  <c r="W39" i="39"/>
  <c r="F31" i="43"/>
  <c r="C31" i="43" s="1"/>
  <c r="F66" i="9"/>
  <c r="P72" i="9" s="1"/>
  <c r="G552" i="3"/>
  <c r="G493" i="3"/>
  <c r="G485" i="3"/>
  <c r="G390" i="3"/>
  <c r="G416" i="3"/>
  <c r="BL419" i="3"/>
  <c r="G444" i="3"/>
  <c r="G239" i="3"/>
  <c r="G290" i="3"/>
  <c r="G203" i="3"/>
  <c r="BA64" i="3"/>
  <c r="G70" i="3"/>
  <c r="G94" i="3"/>
  <c r="W39" i="34"/>
  <c r="M20" i="44"/>
  <c r="H19" i="39"/>
  <c r="U19" i="39" s="1"/>
  <c r="AZ345" i="3"/>
  <c r="H35" i="35"/>
  <c r="U35" i="35" s="1"/>
  <c r="W10" i="40"/>
  <c r="G389" i="3"/>
  <c r="G403" i="3"/>
  <c r="G415" i="3"/>
  <c r="G443" i="3"/>
  <c r="G264" i="3"/>
  <c r="G129" i="3"/>
  <c r="G141" i="3"/>
  <c r="G93" i="3"/>
  <c r="C32" i="59"/>
  <c r="B40" i="59"/>
  <c r="B41" i="59" s="1"/>
  <c r="S41" i="59" s="1"/>
  <c r="B48" i="59"/>
  <c r="B49" i="59" s="1"/>
  <c r="S49" i="59" s="1"/>
  <c r="B56" i="59"/>
  <c r="N56" i="59" s="1"/>
  <c r="AA41" i="34"/>
  <c r="F70" i="9"/>
  <c r="BL558" i="3"/>
  <c r="F35" i="35"/>
  <c r="J28" i="21"/>
  <c r="G20" i="3"/>
  <c r="AC25" i="34"/>
  <c r="C21" i="39"/>
  <c r="AA15" i="21"/>
  <c r="AA29" i="21"/>
  <c r="AB10" i="33"/>
  <c r="S30" i="35"/>
  <c r="AC33" i="35"/>
  <c r="F29" i="12"/>
  <c r="F28" i="21"/>
  <c r="S28" i="21" s="1"/>
  <c r="S42" i="34"/>
  <c r="S8" i="21"/>
  <c r="W22" i="36"/>
  <c r="BL408" i="3"/>
  <c r="G429" i="3"/>
  <c r="BA376" i="3"/>
  <c r="G225" i="3"/>
  <c r="G152" i="3"/>
  <c r="BA165" i="3"/>
  <c r="BL170" i="3"/>
  <c r="BL185" i="3"/>
  <c r="G80" i="3"/>
  <c r="C20" i="59"/>
  <c r="S45" i="34"/>
  <c r="S17" i="33"/>
  <c r="AB25" i="34"/>
  <c r="S14" i="39"/>
  <c r="F32" i="15"/>
  <c r="F59" i="15" s="1"/>
  <c r="AB23" i="40"/>
  <c r="W33" i="33"/>
  <c r="BL529" i="3"/>
  <c r="G529" i="3"/>
  <c r="BA524" i="3"/>
  <c r="BL515" i="3"/>
  <c r="G507" i="3"/>
  <c r="G499" i="3"/>
  <c r="G486" i="3"/>
  <c r="G400" i="3"/>
  <c r="BA363" i="3"/>
  <c r="G223" i="3"/>
  <c r="G235" i="3"/>
  <c r="G247" i="3"/>
  <c r="G259" i="3"/>
  <c r="G273" i="3"/>
  <c r="G67" i="3"/>
  <c r="B20" i="59"/>
  <c r="AA44" i="39"/>
  <c r="S8" i="34"/>
  <c r="AA20" i="36"/>
  <c r="G21" i="43"/>
  <c r="U19" i="34"/>
  <c r="AB10" i="35"/>
  <c r="AC29" i="37"/>
  <c r="AZ305" i="3"/>
  <c r="H31" i="33"/>
  <c r="BL493" i="3"/>
  <c r="AZ493" i="3" s="1"/>
  <c r="BL490" i="3"/>
  <c r="BL123" i="3"/>
  <c r="BA137" i="3"/>
  <c r="C7" i="46"/>
  <c r="W25" i="21"/>
  <c r="G23" i="43"/>
  <c r="U27" i="34"/>
  <c r="U35" i="37"/>
  <c r="AA17" i="34"/>
  <c r="J16" i="39"/>
  <c r="U28" i="35"/>
  <c r="J31" i="33"/>
  <c r="C23" i="39"/>
  <c r="G556" i="3"/>
  <c r="G532" i="3"/>
  <c r="BA517" i="3"/>
  <c r="G505" i="3"/>
  <c r="BL497" i="3"/>
  <c r="BL481" i="3"/>
  <c r="G481" i="3"/>
  <c r="G411" i="3"/>
  <c r="G333" i="3"/>
  <c r="G245" i="3"/>
  <c r="G284" i="3"/>
  <c r="G197" i="3"/>
  <c r="G52" i="3"/>
  <c r="G53" i="3"/>
  <c r="G89" i="3"/>
  <c r="BL103" i="3"/>
  <c r="G112" i="3"/>
  <c r="H16" i="39"/>
  <c r="AC34" i="37"/>
  <c r="AA43" i="21"/>
  <c r="BA543" i="3"/>
  <c r="BL536" i="3"/>
  <c r="AZ536" i="3" s="1"/>
  <c r="BA533" i="3"/>
  <c r="BA491" i="3"/>
  <c r="BL487" i="3"/>
  <c r="BL19" i="3"/>
  <c r="G424" i="3"/>
  <c r="G465" i="3"/>
  <c r="G477" i="3"/>
  <c r="BL303" i="3"/>
  <c r="BA306" i="3"/>
  <c r="BL310" i="3"/>
  <c r="AZ310" i="3" s="1"/>
  <c r="BL322" i="3"/>
  <c r="G331" i="3"/>
  <c r="G367" i="3"/>
  <c r="G283" i="3"/>
  <c r="G295" i="3"/>
  <c r="G123" i="3"/>
  <c r="G184" i="3"/>
  <c r="G38" i="3"/>
  <c r="BL43" i="3"/>
  <c r="G63" i="3"/>
  <c r="G87" i="3"/>
  <c r="G99" i="3"/>
  <c r="G111" i="3"/>
  <c r="C76" i="59"/>
  <c r="D76" i="59" s="1"/>
  <c r="AC10" i="35"/>
  <c r="W38" i="37"/>
  <c r="W42" i="40"/>
  <c r="W43" i="33"/>
  <c r="W11" i="34"/>
  <c r="F29" i="39"/>
  <c r="S29" i="39" s="1"/>
  <c r="BA552" i="3"/>
  <c r="G530" i="3"/>
  <c r="G527" i="3"/>
  <c r="BL519" i="3"/>
  <c r="BL517" i="3"/>
  <c r="BL511" i="3"/>
  <c r="BA511" i="3"/>
  <c r="AZ511" i="3" s="1"/>
  <c r="G508" i="3"/>
  <c r="G435" i="3"/>
  <c r="G305" i="3"/>
  <c r="G231" i="3"/>
  <c r="BL247" i="3"/>
  <c r="G294" i="3"/>
  <c r="G37" i="3"/>
  <c r="G50" i="3"/>
  <c r="G62" i="3"/>
  <c r="G86" i="3"/>
  <c r="G98" i="3"/>
  <c r="S13" i="36"/>
  <c r="AA13" i="36"/>
  <c r="U12" i="37"/>
  <c r="AB12" i="37"/>
  <c r="AC12" i="34"/>
  <c r="W12" i="34"/>
  <c r="AA28" i="37"/>
  <c r="S28" i="37"/>
  <c r="U12" i="33"/>
  <c r="AB12" i="33"/>
  <c r="W14" i="34"/>
  <c r="AC14" i="34"/>
  <c r="S33" i="40"/>
  <c r="AA33" i="40"/>
  <c r="S39" i="37"/>
  <c r="AA39" i="37"/>
  <c r="W30" i="34"/>
  <c r="AC30" i="34"/>
  <c r="S47" i="39"/>
  <c r="AA47" i="39"/>
  <c r="AC8" i="33"/>
  <c r="BA550" i="3"/>
  <c r="BL549" i="3"/>
  <c r="BA549" i="3"/>
  <c r="BA547" i="3"/>
  <c r="N106" i="46"/>
  <c r="H72" i="46"/>
  <c r="L101" i="46"/>
  <c r="Y11" i="59"/>
  <c r="Z11" i="59" s="1"/>
  <c r="AB19" i="40"/>
  <c r="W15" i="21"/>
  <c r="W23" i="33"/>
  <c r="W14" i="36"/>
  <c r="AB25" i="21"/>
  <c r="AC33" i="37"/>
  <c r="AC37" i="40"/>
  <c r="W34" i="33"/>
  <c r="AC45" i="34"/>
  <c r="AA27" i="36"/>
  <c r="S8" i="36"/>
  <c r="F72" i="9"/>
  <c r="F11" i="36"/>
  <c r="U38" i="21"/>
  <c r="H14" i="34"/>
  <c r="U39" i="21"/>
  <c r="AB17" i="37"/>
  <c r="U31" i="37"/>
  <c r="F14" i="37"/>
  <c r="G533" i="3"/>
  <c r="G58" i="3"/>
  <c r="E27" i="59"/>
  <c r="E28" i="59" s="1"/>
  <c r="E29" i="59" s="1"/>
  <c r="U29" i="59" s="1"/>
  <c r="AA25" i="59"/>
  <c r="AA26" i="59"/>
  <c r="F17" i="59"/>
  <c r="V17" i="59" s="1"/>
  <c r="AB17" i="59"/>
  <c r="Y3" i="59"/>
  <c r="Z3" i="59" s="1"/>
  <c r="J14" i="33"/>
  <c r="H14" i="33"/>
  <c r="U29" i="33"/>
  <c r="H47" i="39"/>
  <c r="H30" i="34"/>
  <c r="F27" i="37"/>
  <c r="W31" i="35"/>
  <c r="AC31" i="35"/>
  <c r="BL563" i="3"/>
  <c r="N104" i="46"/>
  <c r="H53" i="46"/>
  <c r="AC18" i="36"/>
  <c r="AC19" i="40"/>
  <c r="AB15" i="21"/>
  <c r="S17" i="40"/>
  <c r="S39" i="21"/>
  <c r="AA23" i="40"/>
  <c r="W32" i="21"/>
  <c r="S14" i="33"/>
  <c r="S35" i="33"/>
  <c r="AB9" i="37"/>
  <c r="AC25" i="36"/>
  <c r="AC36" i="33"/>
  <c r="S17" i="39"/>
  <c r="W15" i="39"/>
  <c r="U8" i="33"/>
  <c r="AC30" i="37"/>
  <c r="H11" i="36"/>
  <c r="AB11" i="36" s="1"/>
  <c r="F14" i="34"/>
  <c r="AA33" i="21"/>
  <c r="S42" i="33"/>
  <c r="AA13" i="40"/>
  <c r="U19" i="21"/>
  <c r="W42" i="34"/>
  <c r="AC42" i="34"/>
  <c r="BL557" i="3"/>
  <c r="L16" i="4"/>
  <c r="N16" i="4"/>
  <c r="N103" i="46"/>
  <c r="H69" i="46"/>
  <c r="S23" i="33"/>
  <c r="U33" i="40"/>
  <c r="AC10" i="37"/>
  <c r="AA9" i="37"/>
  <c r="S16" i="36"/>
  <c r="W35" i="40"/>
  <c r="AZ497" i="3"/>
  <c r="BL498" i="3"/>
  <c r="F11" i="35"/>
  <c r="H49" i="46"/>
  <c r="W29" i="40"/>
  <c r="U14" i="39"/>
  <c r="C20" i="46"/>
  <c r="S30" i="40"/>
  <c r="S10" i="33"/>
  <c r="W44" i="34"/>
  <c r="U27" i="36"/>
  <c r="S39" i="39"/>
  <c r="J33" i="40"/>
  <c r="AC14" i="39"/>
  <c r="AA34" i="39"/>
  <c r="AB36" i="34"/>
  <c r="AZ379" i="3"/>
  <c r="AZ362" i="3"/>
  <c r="AZ328" i="3"/>
  <c r="W38" i="34"/>
  <c r="G572" i="3"/>
  <c r="F25" i="36"/>
  <c r="H25" i="36"/>
  <c r="F16" i="40"/>
  <c r="G560" i="3"/>
  <c r="G514" i="3"/>
  <c r="G487" i="3"/>
  <c r="G201" i="3"/>
  <c r="AA13" i="37"/>
  <c r="AC25" i="37"/>
  <c r="AZ344" i="3"/>
  <c r="AA31" i="35"/>
  <c r="AA10" i="36"/>
  <c r="S10" i="36"/>
  <c r="BL457" i="3"/>
  <c r="G345" i="3"/>
  <c r="G114" i="3"/>
  <c r="G126" i="3"/>
  <c r="G138" i="3"/>
  <c r="BA170" i="3"/>
  <c r="AA37" i="21"/>
  <c r="C27" i="39"/>
  <c r="AA36" i="33"/>
  <c r="W10" i="34"/>
  <c r="AB25" i="40"/>
  <c r="S14" i="35"/>
  <c r="AC15" i="40"/>
  <c r="H29" i="39"/>
  <c r="AB29" i="39" s="1"/>
  <c r="F12" i="34"/>
  <c r="U42" i="21"/>
  <c r="AZ378" i="3"/>
  <c r="AZ343" i="3"/>
  <c r="H28" i="37"/>
  <c r="J29" i="33"/>
  <c r="W29" i="33" s="1"/>
  <c r="AB14" i="21"/>
  <c r="U14" i="21"/>
  <c r="G320" i="3"/>
  <c r="BA329" i="3"/>
  <c r="AZ329" i="3" s="1"/>
  <c r="BA330" i="3"/>
  <c r="BL336" i="3"/>
  <c r="AZ336" i="3" s="1"/>
  <c r="BL340" i="3"/>
  <c r="F25" i="37"/>
  <c r="S14" i="36"/>
  <c r="AC8" i="37"/>
  <c r="AB36" i="39"/>
  <c r="U36" i="39"/>
  <c r="F25" i="35"/>
  <c r="J25" i="35"/>
  <c r="J28" i="37"/>
  <c r="H52" i="46"/>
  <c r="H74" i="46"/>
  <c r="H70" i="46"/>
  <c r="H51" i="46"/>
  <c r="U17" i="33"/>
  <c r="AC25" i="33"/>
  <c r="AB38" i="39"/>
  <c r="AA21" i="40"/>
  <c r="AB34" i="33"/>
  <c r="AB30" i="35"/>
  <c r="AC16" i="35"/>
  <c r="W29" i="35"/>
  <c r="U21" i="39"/>
  <c r="J16" i="40"/>
  <c r="U15" i="39"/>
  <c r="AA15" i="40"/>
  <c r="AC14" i="35"/>
  <c r="H12" i="34"/>
  <c r="AZ340" i="3"/>
  <c r="AZ347" i="3"/>
  <c r="W14" i="21"/>
  <c r="BL275" i="3"/>
  <c r="BL279" i="3"/>
  <c r="AC45" i="21"/>
  <c r="F30" i="34"/>
  <c r="BL516" i="3"/>
  <c r="AA33" i="35"/>
  <c r="AC35" i="34"/>
  <c r="U17" i="21"/>
  <c r="J29" i="39"/>
  <c r="AC29" i="39" s="1"/>
  <c r="AB35" i="35"/>
  <c r="J13" i="37"/>
  <c r="J30" i="33"/>
  <c r="F9" i="35"/>
  <c r="H9" i="35"/>
  <c r="J9" i="35"/>
  <c r="J12" i="33"/>
  <c r="F12" i="33"/>
  <c r="J39" i="37"/>
  <c r="H39" i="37"/>
  <c r="BA534" i="3"/>
  <c r="BA527" i="3"/>
  <c r="H31" i="34"/>
  <c r="AB31" i="34" s="1"/>
  <c r="F31" i="34"/>
  <c r="S31" i="34" s="1"/>
  <c r="AA17" i="21"/>
  <c r="U10" i="34"/>
  <c r="S39" i="40"/>
  <c r="U11" i="37"/>
  <c r="F15" i="39"/>
  <c r="S26" i="35"/>
  <c r="AC26" i="21"/>
  <c r="AB37" i="37"/>
  <c r="W23" i="40"/>
  <c r="S27" i="34"/>
  <c r="U39" i="39"/>
  <c r="AC41" i="40"/>
  <c r="AA44" i="34"/>
  <c r="AC14" i="37"/>
  <c r="U15" i="37"/>
  <c r="H13" i="37"/>
  <c r="F45" i="21"/>
  <c r="AB40" i="34"/>
  <c r="S19" i="21"/>
  <c r="AA19" i="21"/>
  <c r="H27" i="37"/>
  <c r="H25" i="37"/>
  <c r="BA443" i="3"/>
  <c r="BA273" i="3"/>
  <c r="BL425" i="3"/>
  <c r="BL427" i="3"/>
  <c r="G432" i="3"/>
  <c r="BL245" i="3"/>
  <c r="G72" i="3"/>
  <c r="AA10" i="21"/>
  <c r="S10" i="21"/>
  <c r="G215" i="3"/>
  <c r="G240" i="3"/>
  <c r="BA112" i="3"/>
  <c r="BL520" i="3"/>
  <c r="J9" i="33"/>
  <c r="AC9" i="33" s="1"/>
  <c r="G555" i="3"/>
  <c r="G544" i="3"/>
  <c r="G539" i="3"/>
  <c r="G19" i="3"/>
  <c r="BL402" i="3"/>
  <c r="BA404" i="3"/>
  <c r="BL418" i="3"/>
  <c r="BA469" i="3"/>
  <c r="G475" i="3"/>
  <c r="G370" i="3"/>
  <c r="G211" i="3"/>
  <c r="BL242" i="3"/>
  <c r="AZ242" i="3" s="1"/>
  <c r="BL133" i="3"/>
  <c r="G149" i="3"/>
  <c r="BL167" i="3"/>
  <c r="G69" i="3"/>
  <c r="BL79" i="3"/>
  <c r="BA91" i="3"/>
  <c r="C24" i="59"/>
  <c r="D24" i="59" s="1"/>
  <c r="T13" i="59"/>
  <c r="Y21" i="59"/>
  <c r="Z21" i="59" s="1"/>
  <c r="AA24" i="59"/>
  <c r="G531" i="3"/>
  <c r="BL504" i="3"/>
  <c r="BL501" i="3"/>
  <c r="BA485" i="3"/>
  <c r="BA481" i="3"/>
  <c r="AZ481" i="3" s="1"/>
  <c r="BL391" i="3"/>
  <c r="G395" i="3"/>
  <c r="BA402" i="3"/>
  <c r="G413" i="3"/>
  <c r="BA431" i="3"/>
  <c r="BL432" i="3"/>
  <c r="BA436" i="3"/>
  <c r="G462" i="3"/>
  <c r="G474" i="3"/>
  <c r="G329" i="3"/>
  <c r="G236" i="3"/>
  <c r="G253" i="3"/>
  <c r="BL256" i="3"/>
  <c r="G267" i="3"/>
  <c r="G268" i="3"/>
  <c r="BA116" i="3"/>
  <c r="BA166" i="3"/>
  <c r="AZ166" i="3" s="1"/>
  <c r="BL188" i="3"/>
  <c r="AZ188" i="3" s="1"/>
  <c r="G55" i="3"/>
  <c r="G109" i="3"/>
  <c r="AA33" i="33"/>
  <c r="BL523" i="3"/>
  <c r="BA521" i="3"/>
  <c r="BA519" i="3"/>
  <c r="AZ519" i="3" s="1"/>
  <c r="BA518" i="3"/>
  <c r="BA510" i="3"/>
  <c r="BA507" i="3"/>
  <c r="BA500" i="3"/>
  <c r="BL499" i="3"/>
  <c r="BA499" i="3"/>
  <c r="BA498" i="3"/>
  <c r="BL390" i="3"/>
  <c r="BL452" i="3"/>
  <c r="BL454" i="3"/>
  <c r="BA321" i="3"/>
  <c r="AZ321" i="3" s="1"/>
  <c r="BL212" i="3"/>
  <c r="BA214" i="3"/>
  <c r="BL215" i="3"/>
  <c r="BA243" i="3"/>
  <c r="BA113" i="3"/>
  <c r="BL165" i="3"/>
  <c r="AZ165" i="3" s="1"/>
  <c r="BL175" i="3"/>
  <c r="BL48" i="3"/>
  <c r="G54" i="3"/>
  <c r="G66" i="3"/>
  <c r="F24" i="59"/>
  <c r="F25" i="59" s="1"/>
  <c r="V25" i="59" s="1"/>
  <c r="I4" i="6"/>
  <c r="E5" i="6"/>
  <c r="D12" i="11" s="1"/>
  <c r="C12" i="11" s="1"/>
  <c r="G569" i="3"/>
  <c r="BL567" i="3"/>
  <c r="BL564" i="3"/>
  <c r="G553" i="3"/>
  <c r="BL526" i="3"/>
  <c r="G526" i="3"/>
  <c r="BL495" i="3"/>
  <c r="BA493" i="3"/>
  <c r="G491" i="3"/>
  <c r="BA426" i="3"/>
  <c r="G427" i="3"/>
  <c r="BA319" i="3"/>
  <c r="G365" i="3"/>
  <c r="G208" i="3"/>
  <c r="G222" i="3"/>
  <c r="G234" i="3"/>
  <c r="BL254" i="3"/>
  <c r="G265" i="3"/>
  <c r="G278" i="3"/>
  <c r="G291" i="3"/>
  <c r="G292" i="3"/>
  <c r="G183" i="3"/>
  <c r="BL34" i="3"/>
  <c r="BA45" i="3"/>
  <c r="BA46" i="3"/>
  <c r="V69" i="59"/>
  <c r="A28" i="64"/>
  <c r="X26" i="59"/>
  <c r="BL396" i="3"/>
  <c r="BA398" i="3"/>
  <c r="BA399" i="3"/>
  <c r="BL420" i="3"/>
  <c r="BL446" i="3"/>
  <c r="BA205" i="3"/>
  <c r="BA213" i="3"/>
  <c r="BL253" i="3"/>
  <c r="BA149" i="3"/>
  <c r="BL198" i="3"/>
  <c r="BA111" i="3"/>
  <c r="BL535" i="3"/>
  <c r="G521" i="3"/>
  <c r="BA396" i="3"/>
  <c r="G439" i="3"/>
  <c r="BL445" i="3"/>
  <c r="G456" i="3"/>
  <c r="G470" i="3"/>
  <c r="BA477" i="3"/>
  <c r="G325" i="3"/>
  <c r="G363" i="3"/>
  <c r="BA385" i="3"/>
  <c r="BA388" i="3"/>
  <c r="G221" i="3"/>
  <c r="G250" i="3"/>
  <c r="G262" i="3"/>
  <c r="BA152" i="3"/>
  <c r="G64" i="3"/>
  <c r="G77" i="3"/>
  <c r="BL83" i="3"/>
  <c r="D65" i="59"/>
  <c r="E44" i="59"/>
  <c r="E45" i="59" s="1"/>
  <c r="U45" i="59" s="1"/>
  <c r="X25" i="59"/>
  <c r="BL393" i="3"/>
  <c r="BA395" i="3"/>
  <c r="BL463" i="3"/>
  <c r="G118" i="3"/>
  <c r="G131" i="3"/>
  <c r="G51" i="3"/>
  <c r="BA61" i="3"/>
  <c r="G76" i="3"/>
  <c r="BA104" i="3"/>
  <c r="G105" i="3"/>
  <c r="AA23" i="37"/>
  <c r="BL538" i="3"/>
  <c r="U38" i="33"/>
  <c r="G570" i="3"/>
  <c r="BL559" i="3"/>
  <c r="BA546" i="3"/>
  <c r="G543" i="3"/>
  <c r="G524" i="3"/>
  <c r="G513" i="3"/>
  <c r="G492" i="3"/>
  <c r="G404" i="3"/>
  <c r="G437" i="3"/>
  <c r="G454" i="3"/>
  <c r="BL458" i="3"/>
  <c r="G468" i="3"/>
  <c r="G469" i="3"/>
  <c r="G311" i="3"/>
  <c r="G244" i="3"/>
  <c r="G288" i="3"/>
  <c r="BL159" i="3"/>
  <c r="G36" i="3"/>
  <c r="BA37" i="3"/>
  <c r="BL40" i="3"/>
  <c r="G75" i="3"/>
  <c r="BL106" i="3"/>
  <c r="E64" i="59"/>
  <c r="E63" i="59" s="1"/>
  <c r="B21" i="59"/>
  <c r="S21" i="59" s="1"/>
  <c r="AC12" i="46"/>
  <c r="X24" i="59"/>
  <c r="P75" i="15"/>
  <c r="F12" i="59"/>
  <c r="F11" i="59" s="1"/>
  <c r="F10" i="59" s="1"/>
  <c r="F9" i="59" s="1"/>
  <c r="BL406" i="3"/>
  <c r="BL413" i="3"/>
  <c r="BA415" i="3"/>
  <c r="BA429" i="3"/>
  <c r="BA450" i="3"/>
  <c r="G453" i="3"/>
  <c r="BL456" i="3"/>
  <c r="BA459" i="3"/>
  <c r="G467" i="3"/>
  <c r="G480" i="3"/>
  <c r="G309" i="3"/>
  <c r="G347" i="3"/>
  <c r="BL208" i="3"/>
  <c r="G216" i="3"/>
  <c r="G230" i="3"/>
  <c r="BL236" i="3"/>
  <c r="G243" i="3"/>
  <c r="G258" i="3"/>
  <c r="G286" i="3"/>
  <c r="G153" i="3"/>
  <c r="G166" i="3"/>
  <c r="G192" i="3"/>
  <c r="G204" i="3"/>
  <c r="BA29" i="3"/>
  <c r="G34" i="3"/>
  <c r="G60" i="3"/>
  <c r="G61" i="3"/>
  <c r="G90" i="3"/>
  <c r="G102" i="3"/>
  <c r="BL105" i="3"/>
  <c r="S21" i="37"/>
  <c r="C110" i="9"/>
  <c r="G401" i="3"/>
  <c r="BL412" i="3"/>
  <c r="BA413" i="3"/>
  <c r="BA447" i="3"/>
  <c r="G466" i="3"/>
  <c r="BL312" i="3"/>
  <c r="AZ312" i="3" s="1"/>
  <c r="BL369" i="3"/>
  <c r="G386" i="3"/>
  <c r="G228" i="3"/>
  <c r="G241" i="3"/>
  <c r="G271" i="3"/>
  <c r="G113" i="3"/>
  <c r="G151" i="3"/>
  <c r="BL172" i="3"/>
  <c r="G177" i="3"/>
  <c r="G202" i="3"/>
  <c r="BL22" i="3"/>
  <c r="BL23" i="3"/>
  <c r="G45" i="3"/>
  <c r="G59" i="3"/>
  <c r="G71" i="3"/>
  <c r="BL98" i="3"/>
  <c r="G101" i="3"/>
  <c r="W26" i="36"/>
  <c r="AC26" i="36"/>
  <c r="G22" i="46"/>
  <c r="AC11" i="46"/>
  <c r="C101" i="46"/>
  <c r="AH11" i="46"/>
  <c r="AH13" i="46" s="1"/>
  <c r="G101" i="46"/>
  <c r="AE11" i="46"/>
  <c r="AE13" i="46" s="1"/>
  <c r="H22" i="46"/>
  <c r="B113" i="46"/>
  <c r="J22" i="46"/>
  <c r="N104" i="45"/>
  <c r="F101" i="46"/>
  <c r="D101" i="46"/>
  <c r="E101" i="46"/>
  <c r="E107" i="46" s="1"/>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BL512" i="3"/>
  <c r="AZ499" i="3"/>
  <c r="U40" i="40"/>
  <c r="AB40" i="40"/>
  <c r="U23" i="33"/>
  <c r="AB23" i="33"/>
  <c r="AA23" i="34"/>
  <c r="S23" i="34"/>
  <c r="W20" i="36"/>
  <c r="AC20" i="36"/>
  <c r="U11" i="35"/>
  <c r="AB36" i="33"/>
  <c r="U36" i="33"/>
  <c r="S11" i="33"/>
  <c r="AA11" i="33"/>
  <c r="H31" i="21"/>
  <c r="J31" i="21"/>
  <c r="F31" i="21"/>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S46" i="21"/>
  <c r="AA46" i="21"/>
  <c r="W33" i="21"/>
  <c r="AC33" i="21"/>
  <c r="F13" i="33"/>
  <c r="AA13" i="33" s="1"/>
  <c r="J13" i="33"/>
  <c r="AC13" i="33" s="1"/>
  <c r="H29" i="34"/>
  <c r="J29" i="34"/>
  <c r="F29" i="34"/>
  <c r="U15" i="34"/>
  <c r="AB33" i="37"/>
  <c r="U33" i="37"/>
  <c r="S25" i="40"/>
  <c r="U11" i="33"/>
  <c r="AB11" i="33"/>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4" i="35"/>
  <c r="U34" i="35"/>
  <c r="U25" i="33"/>
  <c r="AB25" i="33"/>
  <c r="U15" i="40"/>
  <c r="AB15" i="40"/>
  <c r="U32" i="21"/>
  <c r="AB32" i="21"/>
  <c r="B76" i="46"/>
  <c r="B55" i="46"/>
  <c r="U8" i="34"/>
  <c r="AB8" i="34"/>
  <c r="W31" i="36"/>
  <c r="AC31" i="36"/>
  <c r="J45" i="39"/>
  <c r="AZ517" i="3"/>
  <c r="W27" i="33"/>
  <c r="J32" i="34"/>
  <c r="W32" i="34" s="1"/>
  <c r="AZ338" i="3"/>
  <c r="BL518" i="3"/>
  <c r="AZ518" i="3" s="1"/>
  <c r="F32" i="36"/>
  <c r="H32" i="36"/>
  <c r="J26" i="37"/>
  <c r="H26" i="37"/>
  <c r="F26" i="37"/>
  <c r="BL562" i="3"/>
  <c r="G562" i="3"/>
  <c r="BA561" i="3"/>
  <c r="BL560" i="3"/>
  <c r="BA560" i="3"/>
  <c r="BL546" i="3"/>
  <c r="AZ546" i="3" s="1"/>
  <c r="BA544" i="3"/>
  <c r="BL543" i="3"/>
  <c r="BL541" i="3"/>
  <c r="BA541" i="3"/>
  <c r="BA502" i="3"/>
  <c r="BA486" i="3"/>
  <c r="BA484" i="3"/>
  <c r="BL20" i="3"/>
  <c r="BA18" i="3"/>
  <c r="AZ402" i="3"/>
  <c r="U20" i="36"/>
  <c r="AZ298" i="3"/>
  <c r="F30" i="33"/>
  <c r="J12" i="21"/>
  <c r="H12" i="21"/>
  <c r="BA567" i="3"/>
  <c r="AZ567" i="3" s="1"/>
  <c r="BL565" i="3"/>
  <c r="BA565" i="3"/>
  <c r="BA564" i="3"/>
  <c r="AZ564" i="3" s="1"/>
  <c r="BA563" i="3"/>
  <c r="AZ563" i="3" s="1"/>
  <c r="BL550" i="3"/>
  <c r="AZ550" i="3" s="1"/>
  <c r="BA508" i="3"/>
  <c r="BL507" i="3"/>
  <c r="BA506" i="3"/>
  <c r="BL505" i="3"/>
  <c r="BA505" i="3"/>
  <c r="BA495" i="3"/>
  <c r="AZ495" i="3" s="1"/>
  <c r="BA492" i="3"/>
  <c r="BL491" i="3"/>
  <c r="AZ491" i="3" s="1"/>
  <c r="BL489" i="3"/>
  <c r="BA489" i="3"/>
  <c r="BA487" i="3"/>
  <c r="AZ487" i="3" s="1"/>
  <c r="B62" i="46"/>
  <c r="H45" i="39"/>
  <c r="AB41" i="40"/>
  <c r="F32" i="34"/>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AZ513" i="3" s="1"/>
  <c r="BA513" i="3"/>
  <c r="BA512" i="3"/>
  <c r="BL510" i="3"/>
  <c r="AZ510" i="3" s="1"/>
  <c r="G510" i="3"/>
  <c r="AB20" i="35"/>
  <c r="AB8" i="35"/>
  <c r="AZ357" i="3"/>
  <c r="F9" i="34"/>
  <c r="J9" i="34"/>
  <c r="W9" i="34" s="1"/>
  <c r="H12" i="35"/>
  <c r="BA488" i="3"/>
  <c r="AA41" i="33"/>
  <c r="F27" i="43"/>
  <c r="C27" i="43" s="1"/>
  <c r="S38" i="34"/>
  <c r="G568" i="3"/>
  <c r="B51" i="46"/>
  <c r="F34" i="44"/>
  <c r="AB43" i="34"/>
  <c r="AZ363" i="3"/>
  <c r="AC41" i="34"/>
  <c r="BL502" i="3"/>
  <c r="H25" i="35"/>
  <c r="U27" i="35"/>
  <c r="AB27" i="35"/>
  <c r="G536" i="3"/>
  <c r="G500" i="3"/>
  <c r="AB33" i="36"/>
  <c r="U40" i="33"/>
  <c r="F29" i="33"/>
  <c r="U41" i="21"/>
  <c r="AB41" i="21"/>
  <c r="G563" i="3"/>
  <c r="BL555" i="3"/>
  <c r="AC23" i="21"/>
  <c r="AZ374" i="3"/>
  <c r="AZ370" i="3"/>
  <c r="AZ303" i="3"/>
  <c r="G571" i="3"/>
  <c r="H9" i="21"/>
  <c r="J9" i="21"/>
  <c r="G550" i="3"/>
  <c r="G17" i="46"/>
  <c r="C16" i="46" s="1"/>
  <c r="S29" i="40"/>
  <c r="W11" i="35"/>
  <c r="S40" i="21"/>
  <c r="AZ320" i="3"/>
  <c r="AZ381" i="3"/>
  <c r="AZ327" i="3"/>
  <c r="S10" i="35"/>
  <c r="B73" i="46"/>
  <c r="AZ396" i="3"/>
  <c r="AZ413" i="3"/>
  <c r="BL389" i="3"/>
  <c r="BA394" i="3"/>
  <c r="BL404" i="3"/>
  <c r="BA405" i="3"/>
  <c r="BA463" i="3"/>
  <c r="BA478" i="3"/>
  <c r="N4" i="63"/>
  <c r="B21" i="63"/>
  <c r="E13" i="59"/>
  <c r="AA12" i="59"/>
  <c r="BL394" i="3"/>
  <c r="BL399" i="3"/>
  <c r="AZ399" i="3" s="1"/>
  <c r="BL409" i="3"/>
  <c r="G425" i="3"/>
  <c r="BL430" i="3"/>
  <c r="BA440" i="3"/>
  <c r="BL441" i="3"/>
  <c r="BL455" i="3"/>
  <c r="BL476" i="3"/>
  <c r="BL478" i="3"/>
  <c r="BA301" i="3"/>
  <c r="AZ301" i="3" s="1"/>
  <c r="BA70" i="3"/>
  <c r="D73" i="59"/>
  <c r="C72" i="59"/>
  <c r="AG10" i="46"/>
  <c r="AG12" i="46"/>
  <c r="AG13" i="46" s="1"/>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BL534" i="3"/>
  <c r="AZ534" i="3" s="1"/>
  <c r="BL533" i="3"/>
  <c r="BA424" i="3"/>
  <c r="BL426" i="3"/>
  <c r="AZ426" i="3" s="1"/>
  <c r="BA430" i="3"/>
  <c r="AZ430" i="3" s="1"/>
  <c r="BA439" i="3"/>
  <c r="BA451" i="3"/>
  <c r="BA455" i="3"/>
  <c r="BA471" i="3"/>
  <c r="BA337" i="3"/>
  <c r="AZ337" i="3" s="1"/>
  <c r="BA254" i="3"/>
  <c r="BA270" i="3"/>
  <c r="BA136" i="3"/>
  <c r="P27" i="6"/>
  <c r="BA393" i="3"/>
  <c r="BL398" i="3"/>
  <c r="AZ398" i="3" s="1"/>
  <c r="G412" i="3"/>
  <c r="BA428" i="3"/>
  <c r="BA433" i="3"/>
  <c r="BL451" i="3"/>
  <c r="BA454" i="3"/>
  <c r="AZ454" i="3" s="1"/>
  <c r="BA212" i="3"/>
  <c r="BL251" i="3"/>
  <c r="BL278" i="3"/>
  <c r="BA293" i="3"/>
  <c r="BL145" i="3"/>
  <c r="BA55" i="3"/>
  <c r="G402" i="3"/>
  <c r="G405" i="3"/>
  <c r="BL417" i="3"/>
  <c r="BL421" i="3"/>
  <c r="BL422" i="3"/>
  <c r="BA425" i="3"/>
  <c r="AZ425" i="3" s="1"/>
  <c r="BA427" i="3"/>
  <c r="AZ427" i="3" s="1"/>
  <c r="G438" i="3"/>
  <c r="BL442" i="3"/>
  <c r="BL444" i="3"/>
  <c r="BL447" i="3"/>
  <c r="AZ447" i="3" s="1"/>
  <c r="BL449" i="3"/>
  <c r="BL450" i="3"/>
  <c r="AZ450" i="3" s="1"/>
  <c r="BA461" i="3"/>
  <c r="G463" i="3"/>
  <c r="BL471" i="3"/>
  <c r="BA473" i="3"/>
  <c r="BA475" i="3"/>
  <c r="BA476" i="3"/>
  <c r="BA315" i="3"/>
  <c r="AZ315" i="3" s="1"/>
  <c r="BL318" i="3"/>
  <c r="BL206" i="3"/>
  <c r="G287" i="3"/>
  <c r="AA3" i="59"/>
  <c r="BA407" i="3"/>
  <c r="BL416" i="3"/>
  <c r="BA446" i="3"/>
  <c r="BL448" i="3"/>
  <c r="BL465" i="3"/>
  <c r="BL470" i="3"/>
  <c r="BL302" i="3"/>
  <c r="AZ302" i="3" s="1"/>
  <c r="BA318" i="3"/>
  <c r="BL221" i="3"/>
  <c r="B32" i="59"/>
  <c r="B33" i="59" s="1"/>
  <c r="S33" i="59" s="1"/>
  <c r="V65" i="59"/>
  <c r="F64" i="59"/>
  <c r="F63" i="59" s="1"/>
  <c r="G511" i="3"/>
  <c r="BL509" i="3"/>
  <c r="G394" i="3"/>
  <c r="BL407" i="3"/>
  <c r="BL411" i="3"/>
  <c r="BA417" i="3"/>
  <c r="BA420" i="3"/>
  <c r="AZ420" i="3" s="1"/>
  <c r="BA421" i="3"/>
  <c r="BA422" i="3"/>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AZ553" i="3" s="1"/>
  <c r="BL14" i="3"/>
  <c r="AZ14" i="3" s="1"/>
  <c r="BA392" i="3"/>
  <c r="BA403" i="3"/>
  <c r="BA408" i="3"/>
  <c r="AZ408" i="3" s="1"/>
  <c r="BL410" i="3"/>
  <c r="BA412" i="3"/>
  <c r="BA416" i="3"/>
  <c r="BA418" i="3"/>
  <c r="BL423" i="3"/>
  <c r="BA437" i="3"/>
  <c r="BL438" i="3"/>
  <c r="BA441" i="3"/>
  <c r="BA452" i="3"/>
  <c r="BA465" i="3"/>
  <c r="BA470" i="3"/>
  <c r="BA474" i="3"/>
  <c r="BL314" i="3"/>
  <c r="AZ314" i="3" s="1"/>
  <c r="BL334" i="3"/>
  <c r="BL243" i="3"/>
  <c r="AZ243" i="3" s="1"/>
  <c r="BL261" i="3"/>
  <c r="BA289" i="3"/>
  <c r="BL153" i="3"/>
  <c r="AZ153" i="3" s="1"/>
  <c r="U61" i="59"/>
  <c r="E60" i="59"/>
  <c r="E59" i="59" s="1"/>
  <c r="BA562" i="3"/>
  <c r="BA559" i="3"/>
  <c r="BL551" i="3"/>
  <c r="BA551" i="3"/>
  <c r="G393" i="3"/>
  <c r="BL395" i="3"/>
  <c r="BL400" i="3"/>
  <c r="BA406" i="3"/>
  <c r="AZ406" i="3" s="1"/>
  <c r="BA411" i="3"/>
  <c r="BA458" i="3"/>
  <c r="AZ458" i="3" s="1"/>
  <c r="BL460" i="3"/>
  <c r="BL462" i="3"/>
  <c r="BA464" i="3"/>
  <c r="BA468" i="3"/>
  <c r="BL368" i="3"/>
  <c r="BL217" i="3"/>
  <c r="BL259" i="3"/>
  <c r="BA288" i="3"/>
  <c r="G200" i="3"/>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BL89" i="3"/>
  <c r="BL330" i="3"/>
  <c r="AZ330" i="3" s="1"/>
  <c r="BA357" i="3"/>
  <c r="BL366" i="3"/>
  <c r="AZ366" i="3" s="1"/>
  <c r="BL384" i="3"/>
  <c r="BL387" i="3"/>
  <c r="BL211" i="3"/>
  <c r="G219" i="3"/>
  <c r="BL225" i="3"/>
  <c r="BL227" i="3"/>
  <c r="BA233" i="3"/>
  <c r="BL240" i="3"/>
  <c r="BL241" i="3"/>
  <c r="BA242" i="3"/>
  <c r="BA244" i="3"/>
  <c r="BA245" i="3"/>
  <c r="AZ245" i="3" s="1"/>
  <c r="BL296" i="3"/>
  <c r="BL116" i="3"/>
  <c r="G137" i="3"/>
  <c r="BL140" i="3"/>
  <c r="G157" i="3"/>
  <c r="BL161" i="3"/>
  <c r="AZ161" i="3" s="1"/>
  <c r="BL163" i="3"/>
  <c r="BA23" i="3"/>
  <c r="AZ23" i="3" s="1"/>
  <c r="BA24" i="3"/>
  <c r="BA26" i="3"/>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BL220" i="3"/>
  <c r="BL222" i="3"/>
  <c r="G233" i="3"/>
  <c r="BL238" i="3"/>
  <c r="BA240" i="3"/>
  <c r="AZ240" i="3" s="1"/>
  <c r="BA241" i="3"/>
  <c r="G257" i="3"/>
  <c r="BL277" i="3"/>
  <c r="G280" i="3"/>
  <c r="G281" i="3"/>
  <c r="BL291" i="3"/>
  <c r="BA296" i="3"/>
  <c r="G121" i="3"/>
  <c r="G122" i="3"/>
  <c r="BA128" i="3"/>
  <c r="G134" i="3"/>
  <c r="G135" i="3"/>
  <c r="BL141" i="3"/>
  <c r="G154" i="3"/>
  <c r="G178" i="3"/>
  <c r="G179" i="3"/>
  <c r="BL182" i="3"/>
  <c r="BL184" i="3"/>
  <c r="AZ184" i="3" s="1"/>
  <c r="BA187" i="3"/>
  <c r="G196" i="3"/>
  <c r="BL200" i="3"/>
  <c r="AZ200" i="3" s="1"/>
  <c r="BA21" i="3"/>
  <c r="BA22" i="3"/>
  <c r="BA44" i="3"/>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AZ364" i="3" s="1"/>
  <c r="BA367" i="3"/>
  <c r="AZ367" i="3" s="1"/>
  <c r="BA206" i="3"/>
  <c r="G213" i="3"/>
  <c r="BL219" i="3"/>
  <c r="BA221" i="3"/>
  <c r="BA226" i="3"/>
  <c r="BA229" i="3"/>
  <c r="G232" i="3"/>
  <c r="BA238" i="3"/>
  <c r="BL239" i="3"/>
  <c r="BA246" i="3"/>
  <c r="BA248" i="3"/>
  <c r="G255" i="3"/>
  <c r="BL266" i="3"/>
  <c r="BA268" i="3"/>
  <c r="BL272" i="3"/>
  <c r="G279" i="3"/>
  <c r="BL285" i="3"/>
  <c r="BL286" i="3"/>
  <c r="BL290" i="3"/>
  <c r="BA295" i="3"/>
  <c r="G133" i="3"/>
  <c r="BL137" i="3"/>
  <c r="AZ137" i="3" s="1"/>
  <c r="G150" i="3"/>
  <c r="BA159" i="3"/>
  <c r="AZ159" i="3" s="1"/>
  <c r="BA160" i="3"/>
  <c r="BA164" i="3"/>
  <c r="G172" i="3"/>
  <c r="G176" i="3"/>
  <c r="BA186" i="3"/>
  <c r="BL204" i="3"/>
  <c r="BA25" i="3"/>
  <c r="G31" i="3"/>
  <c r="BA60" i="3"/>
  <c r="AZ60" i="3" s="1"/>
  <c r="BA83" i="3"/>
  <c r="AZ83" i="3" s="1"/>
  <c r="G97" i="3"/>
  <c r="BA97" i="3"/>
  <c r="BL110" i="3"/>
  <c r="L108" i="46"/>
  <c r="L109" i="46" s="1"/>
  <c r="I10" i="57"/>
  <c r="F48" i="59"/>
  <c r="F49" i="59" s="1"/>
  <c r="V49" i="59" s="1"/>
  <c r="Y12" i="59"/>
  <c r="Z12" i="59" s="1"/>
  <c r="BA220" i="3"/>
  <c r="AZ220" i="3" s="1"/>
  <c r="BA228" i="3"/>
  <c r="BA230" i="3"/>
  <c r="BL237" i="3"/>
  <c r="BL264" i="3"/>
  <c r="BL283" i="3"/>
  <c r="BA294" i="3"/>
  <c r="BL129" i="3"/>
  <c r="BL136" i="3"/>
  <c r="BA162" i="3"/>
  <c r="AZ162" i="3" s="1"/>
  <c r="BA174" i="3"/>
  <c r="AZ174" i="3" s="1"/>
  <c r="BL180" i="3"/>
  <c r="BA198" i="3"/>
  <c r="AZ198" i="3" s="1"/>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G452" i="3"/>
  <c r="G455" i="3"/>
  <c r="BL459" i="3"/>
  <c r="AZ459" i="3" s="1"/>
  <c r="BA466" i="3"/>
  <c r="BA472" i="3"/>
  <c r="AZ472" i="3" s="1"/>
  <c r="BA311" i="3"/>
  <c r="AZ311" i="3" s="1"/>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BA181" i="3"/>
  <c r="AZ181" i="3" s="1"/>
  <c r="BA185" i="3"/>
  <c r="AZ185" i="3" s="1"/>
  <c r="BL199" i="3"/>
  <c r="G28" i="3"/>
  <c r="G30" i="3"/>
  <c r="G46" i="3"/>
  <c r="G48" i="3"/>
  <c r="BL54" i="3"/>
  <c r="BA57" i="3"/>
  <c r="BL70" i="3"/>
  <c r="BL71" i="3"/>
  <c r="BL74" i="3"/>
  <c r="BA77" i="3"/>
  <c r="G95" i="3"/>
  <c r="G96" i="3"/>
  <c r="B52" i="59"/>
  <c r="B53" i="59" s="1"/>
  <c r="S53" i="59" s="1"/>
  <c r="AI12" i="46"/>
  <c r="BL214" i="3"/>
  <c r="AZ214" i="3" s="1"/>
  <c r="BA216" i="3"/>
  <c r="BA222" i="3"/>
  <c r="BA224" i="3"/>
  <c r="G229" i="3"/>
  <c r="BL255" i="3"/>
  <c r="BL263" i="3"/>
  <c r="BA274" i="3"/>
  <c r="G276" i="3"/>
  <c r="BA291" i="3"/>
  <c r="AZ291" i="3" s="1"/>
  <c r="BA123" i="3"/>
  <c r="AZ123" i="3" s="1"/>
  <c r="BL124" i="3"/>
  <c r="G130" i="3"/>
  <c r="BL134" i="3"/>
  <c r="AZ134" i="3" s="1"/>
  <c r="BL152" i="3"/>
  <c r="AZ152" i="3" s="1"/>
  <c r="BA155" i="3"/>
  <c r="BA156" i="3"/>
  <c r="G165" i="3"/>
  <c r="G168" i="3"/>
  <c r="BA179" i="3"/>
  <c r="AZ179" i="3" s="1"/>
  <c r="BL195" i="3"/>
  <c r="BA197" i="3"/>
  <c r="AZ197" i="3" s="1"/>
  <c r="G27" i="3"/>
  <c r="G41" i="3"/>
  <c r="G44" i="3"/>
  <c r="BL61" i="3"/>
  <c r="BL68" i="3"/>
  <c r="BA71" i="3"/>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BL252" i="3"/>
  <c r="BA269" i="3"/>
  <c r="G270" i="3"/>
  <c r="G272" i="3"/>
  <c r="G296" i="3"/>
  <c r="G115" i="3"/>
  <c r="BA121" i="3"/>
  <c r="AZ121" i="3" s="1"/>
  <c r="G142" i="3"/>
  <c r="G143" i="3"/>
  <c r="BA144" i="3"/>
  <c r="AZ144" i="3" s="1"/>
  <c r="BL173" i="3"/>
  <c r="AZ173" i="3" s="1"/>
  <c r="G187" i="3"/>
  <c r="BL192" i="3"/>
  <c r="AZ192" i="3" s="1"/>
  <c r="G22" i="3"/>
  <c r="G26" i="3"/>
  <c r="BA27" i="3"/>
  <c r="G39" i="3"/>
  <c r="G40" i="3"/>
  <c r="BL46" i="3"/>
  <c r="AZ46" i="3" s="1"/>
  <c r="BA51" i="3"/>
  <c r="BA52" i="3"/>
  <c r="BA53" i="3"/>
  <c r="BA69" i="3"/>
  <c r="AZ69" i="3" s="1"/>
  <c r="BA73" i="3"/>
  <c r="BA84" i="3"/>
  <c r="G110" i="3"/>
  <c r="I15" i="57"/>
  <c r="D51" i="59"/>
  <c r="F28" i="59"/>
  <c r="F29" i="59" s="1"/>
  <c r="V29" i="59" s="1"/>
  <c r="F44" i="59"/>
  <c r="F45" i="59" s="1"/>
  <c r="V45" i="59" s="1"/>
  <c r="E53" i="59"/>
  <c r="U53" i="59" s="1"/>
  <c r="X12" i="59"/>
  <c r="BL250" i="3"/>
  <c r="BL265" i="3"/>
  <c r="BL284" i="3"/>
  <c r="BA115" i="3"/>
  <c r="AZ115" i="3" s="1"/>
  <c r="BL117" i="3"/>
  <c r="BA119" i="3"/>
  <c r="AZ119" i="3" s="1"/>
  <c r="BA120" i="3"/>
  <c r="BL144" i="3"/>
  <c r="BL146" i="3"/>
  <c r="AZ146" i="3" s="1"/>
  <c r="BL171" i="3"/>
  <c r="BA172" i="3"/>
  <c r="AZ172" i="3" s="1"/>
  <c r="BA190" i="3"/>
  <c r="BL27" i="3"/>
  <c r="BL28" i="3"/>
  <c r="BA30" i="3"/>
  <c r="BL44" i="3"/>
  <c r="BL47" i="3"/>
  <c r="BL49" i="3"/>
  <c r="BA50" i="3"/>
  <c r="S21" i="21"/>
  <c r="E33" i="59"/>
  <c r="U33" i="59" s="1"/>
  <c r="T65" i="59"/>
  <c r="X10" i="59"/>
  <c r="AA7" i="59"/>
  <c r="BA368" i="3"/>
  <c r="G226" i="3"/>
  <c r="G238" i="3"/>
  <c r="BL249" i="3"/>
  <c r="G269" i="3"/>
  <c r="G289" i="3"/>
  <c r="G293" i="3"/>
  <c r="BA117" i="3"/>
  <c r="AZ117" i="3" s="1"/>
  <c r="BL122" i="3"/>
  <c r="AZ122" i="3" s="1"/>
  <c r="G125" i="3"/>
  <c r="G127" i="3"/>
  <c r="BL138" i="3"/>
  <c r="AZ138" i="3" s="1"/>
  <c r="G160" i="3"/>
  <c r="G185" i="3"/>
  <c r="BL190" i="3"/>
  <c r="BL26" i="3"/>
  <c r="BL42" i="3"/>
  <c r="BA47" i="3"/>
  <c r="BA48" i="3"/>
  <c r="AZ48" i="3" s="1"/>
  <c r="BA49" i="3"/>
  <c r="BL56" i="3"/>
  <c r="BA66" i="3"/>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E46" i="36" s="1"/>
  <c r="G19" i="46"/>
  <c r="C9" i="40"/>
  <c r="C65" i="40" s="1"/>
  <c r="C7" i="37"/>
  <c r="C52" i="37" s="1"/>
  <c r="D52" i="37" s="1"/>
  <c r="E52" i="37" s="1"/>
  <c r="F52" i="37" s="1"/>
  <c r="G52" i="37" s="1"/>
  <c r="H52" i="37" s="1"/>
  <c r="I52" i="37" s="1"/>
  <c r="J52" i="37" s="1"/>
  <c r="K52" i="37" s="1"/>
  <c r="L52" i="37" s="1"/>
  <c r="M52" i="37" s="1"/>
  <c r="N52" i="37" s="1"/>
  <c r="O52" i="37" s="1"/>
  <c r="D38" i="4"/>
  <c r="C39" i="4" s="1"/>
  <c r="M109" i="46"/>
  <c r="D102" i="46"/>
  <c r="M103" i="46"/>
  <c r="L106" i="46"/>
  <c r="L104" i="46"/>
  <c r="I105" i="46"/>
  <c r="M105" i="46"/>
  <c r="M104" i="46"/>
  <c r="L102" i="46"/>
  <c r="L105" i="46"/>
  <c r="L5" i="54"/>
  <c r="B39" i="63" s="1"/>
  <c r="K5" i="54"/>
  <c r="B38" i="63" s="1"/>
  <c r="T41" i="4"/>
  <c r="A17" i="64" s="1"/>
  <c r="A18" i="64"/>
  <c r="B74" i="63" s="1"/>
  <c r="C53" i="10"/>
  <c r="A25" i="51" s="1"/>
  <c r="B18" i="63" s="1"/>
  <c r="A18" i="51"/>
  <c r="B14" i="63" s="1"/>
  <c r="D5" i="46"/>
  <c r="C5" i="46"/>
  <c r="M22" i="44"/>
  <c r="F34" i="15"/>
  <c r="F61" i="15" s="1"/>
  <c r="M20" i="15"/>
  <c r="F36" i="44"/>
  <c r="AZ560" i="3"/>
  <c r="K104" i="46"/>
  <c r="K103" i="46"/>
  <c r="K106" i="46"/>
  <c r="K109" i="46"/>
  <c r="BA494" i="3"/>
  <c r="BC5" i="3"/>
  <c r="BK5" i="3"/>
  <c r="BA19" i="3"/>
  <c r="AZ19" i="3" s="1"/>
  <c r="BJ5" i="3"/>
  <c r="BS5" i="3"/>
  <c r="S22" i="31"/>
  <c r="BM5" i="3"/>
  <c r="BL488" i="3"/>
  <c r="BL485" i="3"/>
  <c r="BN5" i="3"/>
  <c r="G488" i="3"/>
  <c r="H5" i="3"/>
  <c r="BL486" i="3"/>
  <c r="BR5" i="3"/>
  <c r="BA483" i="3"/>
  <c r="BD5" i="3"/>
  <c r="AA42" i="21"/>
  <c r="S42" i="21"/>
  <c r="AC35" i="35"/>
  <c r="W35" i="35"/>
  <c r="AZ505" i="3"/>
  <c r="BL494" i="3"/>
  <c r="BP5" i="3"/>
  <c r="BQ5" i="3"/>
  <c r="BB5" i="3"/>
  <c r="BA20" i="3"/>
  <c r="AZ530" i="3"/>
  <c r="G14" i="3"/>
  <c r="AC5"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K34" i="9"/>
  <c r="AA15" i="34"/>
  <c r="AC34" i="40"/>
  <c r="W34" i="40"/>
  <c r="S38" i="40"/>
  <c r="AA38" i="40"/>
  <c r="AZ485" i="3"/>
  <c r="N107" i="46"/>
  <c r="M102" i="46"/>
  <c r="H14" i="66"/>
  <c r="B7" i="66" s="1"/>
  <c r="A25" i="64"/>
  <c r="F46" i="34"/>
  <c r="H46" i="34"/>
  <c r="J46" i="34"/>
  <c r="H36" i="35"/>
  <c r="F36" i="35"/>
  <c r="J36" i="35"/>
  <c r="H101" i="46"/>
  <c r="Z7" i="46"/>
  <c r="AF11" i="46"/>
  <c r="AF13" i="46" s="1"/>
  <c r="Y11" i="46"/>
  <c r="Y13" i="46" s="1"/>
  <c r="AD11" i="46"/>
  <c r="AD13" i="46" s="1"/>
  <c r="F22" i="46"/>
  <c r="D22" i="46" s="1"/>
  <c r="AI11" i="46"/>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U29" i="21"/>
  <c r="AB29" i="21"/>
  <c r="U28" i="21"/>
  <c r="AB28" i="21"/>
  <c r="AC9" i="34"/>
  <c r="J34" i="35"/>
  <c r="F34" i="35"/>
  <c r="J28" i="34"/>
  <c r="F28" i="34"/>
  <c r="H28" i="34"/>
  <c r="S37" i="33"/>
  <c r="AA37" i="33"/>
  <c r="AZ557" i="3"/>
  <c r="U14" i="35"/>
  <c r="AB14" i="35"/>
  <c r="BL544" i="3"/>
  <c r="H30" i="21"/>
  <c r="F30" i="21"/>
  <c r="J30" i="21"/>
  <c r="AA34" i="37"/>
  <c r="S34" i="37"/>
  <c r="AA30" i="36"/>
  <c r="S30" i="36"/>
  <c r="AZ498" i="3"/>
  <c r="U16" i="39"/>
  <c r="AB16" i="39"/>
  <c r="AB17" i="39"/>
  <c r="U17" i="39"/>
  <c r="AA39" i="33"/>
  <c r="S39" i="33"/>
  <c r="BL514" i="3"/>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BL531" i="3"/>
  <c r="BA531" i="3"/>
  <c r="BL525" i="3"/>
  <c r="BA525" i="3"/>
  <c r="BA522" i="3"/>
  <c r="AZ522" i="3" s="1"/>
  <c r="BA520" i="3"/>
  <c r="AZ520" i="3" s="1"/>
  <c r="BA515" i="3"/>
  <c r="AZ515" i="3" s="1"/>
  <c r="BA503" i="3"/>
  <c r="BL500" i="3"/>
  <c r="BA496" i="3"/>
  <c r="AZ496" i="3" s="1"/>
  <c r="BL492" i="3"/>
  <c r="AZ492" i="3" s="1"/>
  <c r="BA490" i="3"/>
  <c r="AZ490" i="3" s="1"/>
  <c r="BL483" i="3"/>
  <c r="BA482" i="3"/>
  <c r="AB44" i="39"/>
  <c r="BL528" i="3"/>
  <c r="S46" i="33"/>
  <c r="AA46" i="33"/>
  <c r="BO5" i="3"/>
  <c r="J23" i="35"/>
  <c r="F23" i="35"/>
  <c r="BA545" i="3"/>
  <c r="BA538" i="3"/>
  <c r="AZ538" i="3" s="1"/>
  <c r="BA535" i="3"/>
  <c r="U34" i="39"/>
  <c r="S41" i="40"/>
  <c r="U38" i="34"/>
  <c r="BL508" i="3"/>
  <c r="AZ508" i="3" s="1"/>
  <c r="S12" i="35"/>
  <c r="AA12" i="35"/>
  <c r="H12" i="36"/>
  <c r="F12" i="36"/>
  <c r="J12" i="36"/>
  <c r="F23" i="36"/>
  <c r="J23" i="36"/>
  <c r="BA556" i="3"/>
  <c r="BL547" i="3"/>
  <c r="AZ547" i="3" s="1"/>
  <c r="G547" i="3"/>
  <c r="BA542" i="3"/>
  <c r="AB29" i="35"/>
  <c r="U29" i="35"/>
  <c r="S38" i="21"/>
  <c r="AA38" i="21"/>
  <c r="S9" i="21"/>
  <c r="AA9" i="21"/>
  <c r="AA34" i="34"/>
  <c r="S34" i="34"/>
  <c r="H13" i="36"/>
  <c r="J13" i="36"/>
  <c r="BA548" i="3"/>
  <c r="AZ548" i="3" s="1"/>
  <c r="BA509" i="3"/>
  <c r="AZ509" i="3" s="1"/>
  <c r="BL506" i="3"/>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368" i="3"/>
  <c r="G516" i="3"/>
  <c r="O8" i="1"/>
  <c r="P8" i="1" s="1"/>
  <c r="AZ417" i="3"/>
  <c r="AZ478" i="3"/>
  <c r="G528" i="3"/>
  <c r="AZ395" i="3"/>
  <c r="AZ404" i="3"/>
  <c r="AZ476" i="3"/>
  <c r="BA325" i="3"/>
  <c r="AZ325" i="3" s="1"/>
  <c r="BA231" i="3"/>
  <c r="E12" i="59"/>
  <c r="E11" i="59" s="1"/>
  <c r="E10" i="59" s="1"/>
  <c r="E9" i="59" s="1"/>
  <c r="U13" i="59"/>
  <c r="BA401" i="3"/>
  <c r="AZ401" i="3" s="1"/>
  <c r="BA423" i="3"/>
  <c r="BL424" i="3"/>
  <c r="BL342" i="3"/>
  <c r="AZ342" i="3" s="1"/>
  <c r="AZ61" i="3"/>
  <c r="AZ216" i="3"/>
  <c r="B13" i="1"/>
  <c r="E13" i="1" s="1"/>
  <c r="K13" i="1"/>
  <c r="M13" i="1" s="1"/>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BL433" i="3"/>
  <c r="AZ433" i="3" s="1"/>
  <c r="G436" i="3"/>
  <c r="BA480" i="3"/>
  <c r="AZ480" i="3" s="1"/>
  <c r="BL350" i="3"/>
  <c r="BA351" i="3"/>
  <c r="BL260" i="3"/>
  <c r="BA267" i="3"/>
  <c r="BL282" i="3"/>
  <c r="BA125" i="3"/>
  <c r="BL157" i="3"/>
  <c r="AZ157" i="3" s="1"/>
  <c r="BL21" i="3"/>
  <c r="AZ21" i="3" s="1"/>
  <c r="BA41" i="3"/>
  <c r="BA409" i="3"/>
  <c r="AZ409" i="3" s="1"/>
  <c r="BL434" i="3"/>
  <c r="AZ434" i="3" s="1"/>
  <c r="BA453" i="3"/>
  <c r="BA371" i="3"/>
  <c r="AZ371" i="3" s="1"/>
  <c r="BL386" i="3"/>
  <c r="BL232" i="3"/>
  <c r="BL234" i="3"/>
  <c r="BL202" i="3"/>
  <c r="BA62" i="3"/>
  <c r="AZ95" i="3"/>
  <c r="BA410" i="3"/>
  <c r="AZ410" i="3" s="1"/>
  <c r="G451" i="3"/>
  <c r="BA467" i="3"/>
  <c r="AZ467" i="3" s="1"/>
  <c r="BL475" i="3"/>
  <c r="BL360" i="3"/>
  <c r="AZ360" i="3" s="1"/>
  <c r="BA369" i="3"/>
  <c r="AZ369" i="3" s="1"/>
  <c r="BA209" i="3"/>
  <c r="AZ22" i="3"/>
  <c r="BL428" i="3"/>
  <c r="AZ428" i="3" s="1"/>
  <c r="G431" i="3"/>
  <c r="BA335" i="3"/>
  <c r="BL348" i="3"/>
  <c r="AZ348" i="3" s="1"/>
  <c r="BA349" i="3"/>
  <c r="AZ349" i="3" s="1"/>
  <c r="BA384" i="3"/>
  <c r="AZ384" i="3" s="1"/>
  <c r="AZ387" i="3"/>
  <c r="BL120" i="3"/>
  <c r="AZ155" i="3"/>
  <c r="BL196" i="3"/>
  <c r="AZ196" i="3" s="1"/>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346" i="3" s="1"/>
  <c r="BA35" i="3"/>
  <c r="BL319" i="3"/>
  <c r="BL376" i="3"/>
  <c r="AZ376" i="3" s="1"/>
  <c r="BL388" i="3"/>
  <c r="AZ388" i="3" s="1"/>
  <c r="G209" i="3"/>
  <c r="BA215" i="3"/>
  <c r="AZ215" i="3" s="1"/>
  <c r="G227" i="3"/>
  <c r="BA239" i="3"/>
  <c r="BL244" i="3"/>
  <c r="AZ244" i="3" s="1"/>
  <c r="BA284" i="3"/>
  <c r="AZ284" i="3" s="1"/>
  <c r="BA285" i="3"/>
  <c r="BA286" i="3"/>
  <c r="BA287" i="3"/>
  <c r="BA290" i="3"/>
  <c r="AZ290" i="3" s="1"/>
  <c r="BA292" i="3"/>
  <c r="BL114" i="3"/>
  <c r="AZ114" i="3" s="1"/>
  <c r="BL118" i="3"/>
  <c r="AZ118" i="3" s="1"/>
  <c r="BA124" i="3"/>
  <c r="BL160" i="3"/>
  <c r="AZ160" i="3" s="1"/>
  <c r="BA163" i="3"/>
  <c r="BA202" i="3"/>
  <c r="BA203" i="3"/>
  <c r="BL203" i="3"/>
  <c r="BA204" i="3"/>
  <c r="BL24" i="3"/>
  <c r="AZ24" i="3" s="1"/>
  <c r="BA28" i="3"/>
  <c r="BA34" i="3"/>
  <c r="AZ34" i="3" s="1"/>
  <c r="BL39" i="3"/>
  <c r="BA43" i="3"/>
  <c r="AZ43" i="3" s="1"/>
  <c r="BL50" i="3"/>
  <c r="BL57" i="3"/>
  <c r="AZ57" i="3" s="1"/>
  <c r="BA75" i="3"/>
  <c r="BA98" i="3"/>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BA225" i="3"/>
  <c r="AZ225" i="3" s="1"/>
  <c r="BL228" i="3"/>
  <c r="AZ228" i="3" s="1"/>
  <c r="BL229" i="3"/>
  <c r="BL230" i="3"/>
  <c r="AZ230" i="3" s="1"/>
  <c r="BL231" i="3"/>
  <c r="BA251" i="3"/>
  <c r="AZ251" i="3" s="1"/>
  <c r="BA252" i="3"/>
  <c r="AZ252" i="3" s="1"/>
  <c r="BA256" i="3"/>
  <c r="AZ256" i="3" s="1"/>
  <c r="BA257" i="3"/>
  <c r="AZ257" i="3" s="1"/>
  <c r="BA259" i="3"/>
  <c r="AZ259" i="3" s="1"/>
  <c r="BL262" i="3"/>
  <c r="BA148" i="3"/>
  <c r="BL186" i="3"/>
  <c r="BA189" i="3"/>
  <c r="AZ189" i="3" s="1"/>
  <c r="BA191" i="3"/>
  <c r="G33" i="3"/>
  <c r="BA33" i="3"/>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BA264" i="3"/>
  <c r="AZ264" i="3" s="1"/>
  <c r="BL267" i="3"/>
  <c r="BL273" i="3"/>
  <c r="AZ273" i="3" s="1"/>
  <c r="BL274" i="3"/>
  <c r="AZ274" i="3" s="1"/>
  <c r="BL276" i="3"/>
  <c r="BL132" i="3"/>
  <c r="BA141" i="3"/>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BL169" i="3"/>
  <c r="AZ169" i="3" s="1"/>
  <c r="BA171" i="3"/>
  <c r="BL176" i="3"/>
  <c r="BL53" i="3"/>
  <c r="AZ53" i="3" s="1"/>
  <c r="BL59" i="3"/>
  <c r="BL60" i="3"/>
  <c r="BA74" i="3"/>
  <c r="AZ74" i="3" s="1"/>
  <c r="BA76" i="3"/>
  <c r="BL80" i="3"/>
  <c r="BL82" i="3"/>
  <c r="BL92" i="3"/>
  <c r="BA99" i="3"/>
  <c r="BL335" i="3"/>
  <c r="BL380" i="3"/>
  <c r="AZ380" i="3" s="1"/>
  <c r="BA235" i="3"/>
  <c r="BA271" i="3"/>
  <c r="BA277" i="3"/>
  <c r="AZ277" i="3" s="1"/>
  <c r="BL280" i="3"/>
  <c r="BL281" i="3"/>
  <c r="BL126" i="3"/>
  <c r="AZ126" i="3" s="1"/>
  <c r="BA139" i="3"/>
  <c r="AZ139" i="3" s="1"/>
  <c r="BL164" i="3"/>
  <c r="AZ164" i="3" s="1"/>
  <c r="BL168" i="3"/>
  <c r="BA176" i="3"/>
  <c r="BL177" i="3"/>
  <c r="BL31" i="3"/>
  <c r="BL32" i="3"/>
  <c r="AZ32" i="3" s="1"/>
  <c r="BL36" i="3"/>
  <c r="AZ36" i="3" s="1"/>
  <c r="BL37" i="3"/>
  <c r="BL64" i="3"/>
  <c r="AZ64" i="3" s="1"/>
  <c r="BA79" i="3"/>
  <c r="AZ79" i="3" s="1"/>
  <c r="BA82" i="3"/>
  <c r="BA86" i="3"/>
  <c r="BA93" i="3"/>
  <c r="BL94" i="3"/>
  <c r="BA334" i="3"/>
  <c r="AZ334" i="3" s="1"/>
  <c r="BL385" i="3"/>
  <c r="AZ385" i="3" s="1"/>
  <c r="BA236" i="3"/>
  <c r="AZ236" i="3" s="1"/>
  <c r="G251" i="3"/>
  <c r="G256" i="3"/>
  <c r="BA275" i="3"/>
  <c r="AZ275" i="3" s="1"/>
  <c r="BA276" i="3"/>
  <c r="BA279" i="3"/>
  <c r="AZ279" i="3" s="1"/>
  <c r="BA280" i="3"/>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AZ45" i="3" s="1"/>
  <c r="BL51" i="3"/>
  <c r="AZ51" i="3" s="1"/>
  <c r="BL52" i="3"/>
  <c r="AZ52" i="3" s="1"/>
  <c r="BA54" i="3"/>
  <c r="AZ54" i="3" s="1"/>
  <c r="BL58" i="3"/>
  <c r="BA63"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AA41" i="39"/>
  <c r="AC31" i="39"/>
  <c r="AB33" i="39"/>
  <c r="AC33" i="39"/>
  <c r="S33" i="39"/>
  <c r="W29" i="39"/>
  <c r="AC27" i="39"/>
  <c r="S27" i="39"/>
  <c r="AB25" i="39"/>
  <c r="S25" i="39"/>
  <c r="AB19" i="39"/>
  <c r="E9" i="52"/>
  <c r="E10" i="52"/>
  <c r="B7" i="52"/>
  <c r="B10" i="52"/>
  <c r="E20" i="46"/>
  <c r="C27" i="15"/>
  <c r="C4" i="65"/>
  <c r="B39" i="1" s="1"/>
  <c r="M9" i="44"/>
  <c r="F64" i="15"/>
  <c r="L59" i="15"/>
  <c r="B4" i="52"/>
  <c r="E21" i="52"/>
  <c r="E4" i="4" s="1"/>
  <c r="B21" i="55" s="1"/>
  <c r="B72" i="63" s="1"/>
  <c r="B11" i="52"/>
  <c r="B13" i="52"/>
  <c r="B22" i="52"/>
  <c r="E4" i="52"/>
  <c r="B8" i="52"/>
  <c r="E22" i="52"/>
  <c r="E6" i="52"/>
  <c r="E14" i="52"/>
  <c r="B9" i="52"/>
  <c r="E7" i="52"/>
  <c r="E8" i="52"/>
  <c r="B6" i="52"/>
  <c r="B14" i="52"/>
  <c r="E13" i="52"/>
  <c r="M26" i="15"/>
  <c r="M11" i="44"/>
  <c r="J3" i="65"/>
  <c r="M24" i="44"/>
  <c r="J7" i="65"/>
  <c r="I3" i="65"/>
  <c r="M24" i="15"/>
  <c r="I5" i="65"/>
  <c r="F36" i="15"/>
  <c r="M25" i="44"/>
  <c r="M28" i="15"/>
  <c r="F11" i="44"/>
  <c r="M30" i="44"/>
  <c r="L48" i="44"/>
  <c r="F38" i="44"/>
  <c r="F40" i="44"/>
  <c r="J36" i="15"/>
  <c r="F10" i="44"/>
  <c r="F8" i="15"/>
  <c r="F9" i="15"/>
  <c r="M23" i="15"/>
  <c r="J4" i="65"/>
  <c r="F38" i="15"/>
  <c r="J15" i="15"/>
  <c r="M29" i="15"/>
  <c r="M6" i="15"/>
  <c r="L49" i="44"/>
  <c r="F42" i="15"/>
  <c r="J6" i="65"/>
  <c r="F39" i="44"/>
  <c r="M8" i="15"/>
  <c r="M9" i="15"/>
  <c r="F43" i="44"/>
  <c r="F8" i="44"/>
  <c r="F18" i="44"/>
  <c r="F16" i="15"/>
  <c r="M29" i="44"/>
  <c r="L48" i="15"/>
  <c r="F28" i="44"/>
  <c r="F7" i="15"/>
  <c r="M26" i="44"/>
  <c r="I6" i="65"/>
  <c r="F45" i="44"/>
  <c r="F40" i="15"/>
  <c r="I7" i="65"/>
  <c r="F43" i="15"/>
  <c r="F6" i="15"/>
  <c r="M27" i="15"/>
  <c r="M31" i="44"/>
  <c r="M10" i="44"/>
  <c r="F15" i="44"/>
  <c r="AZ280" i="3" l="1"/>
  <c r="AZ285" i="3"/>
  <c r="AZ415" i="3"/>
  <c r="AZ502" i="3"/>
  <c r="AC31" i="33"/>
  <c r="W31" i="33"/>
  <c r="AZ37" i="3"/>
  <c r="AZ148" i="3"/>
  <c r="AZ163" i="3"/>
  <c r="AZ239" i="3"/>
  <c r="AZ400" i="3"/>
  <c r="AZ416" i="3"/>
  <c r="AZ407" i="3"/>
  <c r="AZ394" i="3"/>
  <c r="AZ549" i="3"/>
  <c r="U31" i="33"/>
  <c r="AB31" i="33"/>
  <c r="AC29" i="33"/>
  <c r="AZ27" i="3"/>
  <c r="AZ128" i="3"/>
  <c r="AZ170" i="3"/>
  <c r="W16" i="39"/>
  <c r="AC16" i="39"/>
  <c r="AZ120" i="3"/>
  <c r="AZ533" i="3"/>
  <c r="AA31" i="34"/>
  <c r="AZ235" i="3"/>
  <c r="AZ124" i="3"/>
  <c r="AZ31" i="3"/>
  <c r="AZ171" i="3"/>
  <c r="AZ386" i="3"/>
  <c r="AZ474" i="3"/>
  <c r="AZ180" i="3"/>
  <c r="AZ26" i="3"/>
  <c r="AZ470" i="3"/>
  <c r="AZ318" i="3"/>
  <c r="AZ539" i="3"/>
  <c r="AZ176" i="3"/>
  <c r="AZ261" i="3"/>
  <c r="AZ250" i="3"/>
  <c r="AZ468" i="3"/>
  <c r="AZ28" i="3"/>
  <c r="AZ475" i="3"/>
  <c r="AZ423" i="3"/>
  <c r="AZ545" i="3"/>
  <c r="AZ156" i="3"/>
  <c r="AZ246" i="3"/>
  <c r="AZ452" i="3"/>
  <c r="AZ489" i="3"/>
  <c r="AI13" i="46"/>
  <c r="AZ63" i="3"/>
  <c r="AZ460" i="3"/>
  <c r="AZ411" i="3"/>
  <c r="AZ451" i="3"/>
  <c r="S35" i="35"/>
  <c r="AA35" i="35"/>
  <c r="F70" i="15"/>
  <c r="C6" i="15"/>
  <c r="C32" i="15" s="1"/>
  <c r="M7" i="15"/>
  <c r="J6" i="15" s="1"/>
  <c r="J18" i="15" s="1"/>
  <c r="F49" i="15"/>
  <c r="F65" i="15"/>
  <c r="F67" i="15"/>
  <c r="F63" i="15"/>
  <c r="F50" i="15"/>
  <c r="L60" i="44"/>
  <c r="Q76" i="44" s="1"/>
  <c r="Q72" i="15"/>
  <c r="AC28" i="37"/>
  <c r="W28" i="37"/>
  <c r="AC33" i="40"/>
  <c r="W33" i="40"/>
  <c r="S11" i="36"/>
  <c r="AA11" i="36"/>
  <c r="AZ50" i="3"/>
  <c r="AZ556" i="3"/>
  <c r="AZ66" i="3"/>
  <c r="AZ186" i="3"/>
  <c r="AZ226" i="3"/>
  <c r="AZ44" i="3"/>
  <c r="AZ437" i="3"/>
  <c r="AZ421" i="3"/>
  <c r="AZ463" i="3"/>
  <c r="AZ512" i="3"/>
  <c r="AA16" i="40"/>
  <c r="S16" i="40"/>
  <c r="AZ535" i="3"/>
  <c r="E104" i="46"/>
  <c r="AZ116" i="3"/>
  <c r="F16" i="59"/>
  <c r="F15" i="59" s="1"/>
  <c r="AZ446" i="3"/>
  <c r="AZ440" i="3"/>
  <c r="AA15" i="39"/>
  <c r="S15" i="39"/>
  <c r="AB12" i="34"/>
  <c r="U12" i="34"/>
  <c r="AB25" i="36"/>
  <c r="U25" i="36"/>
  <c r="AZ532" i="3"/>
  <c r="AZ20" i="3"/>
  <c r="E102" i="46"/>
  <c r="AZ418" i="3"/>
  <c r="AZ461" i="3"/>
  <c r="AB39" i="37"/>
  <c r="U39" i="37"/>
  <c r="AA25" i="36"/>
  <c r="S25" i="36"/>
  <c r="S11" i="35"/>
  <c r="AA11" i="35"/>
  <c r="W39" i="37"/>
  <c r="AC39" i="37"/>
  <c r="S27" i="37"/>
  <c r="AA27" i="37"/>
  <c r="E105" i="46"/>
  <c r="D1" i="57"/>
  <c r="E10" i="57" s="1"/>
  <c r="F13" i="39"/>
  <c r="S13" i="39" s="1"/>
  <c r="AZ106" i="3"/>
  <c r="AZ319" i="3"/>
  <c r="AZ514" i="3"/>
  <c r="F28" i="6"/>
  <c r="AZ486" i="3"/>
  <c r="AZ412" i="3"/>
  <c r="AZ562" i="3"/>
  <c r="S12" i="33"/>
  <c r="AA12" i="33"/>
  <c r="K17" i="4"/>
  <c r="A22" i="51" s="1"/>
  <c r="B16" i="63" s="1"/>
  <c r="AZ140" i="3"/>
  <c r="S13" i="33"/>
  <c r="AZ294" i="3"/>
  <c r="AZ296" i="3"/>
  <c r="AZ219" i="3"/>
  <c r="AZ145" i="3"/>
  <c r="D21" i="12"/>
  <c r="C21" i="12" s="1"/>
  <c r="W12" i="33"/>
  <c r="AC12" i="33"/>
  <c r="W16" i="40"/>
  <c r="AC16" i="40"/>
  <c r="AB47" i="39"/>
  <c r="U47" i="39"/>
  <c r="AA14" i="37"/>
  <c r="S14" i="37"/>
  <c r="AZ565" i="3"/>
  <c r="W9" i="35"/>
  <c r="AC9" i="35"/>
  <c r="AA30" i="34"/>
  <c r="S30" i="34"/>
  <c r="U28" i="37"/>
  <c r="AB28" i="37"/>
  <c r="AZ93" i="3"/>
  <c r="AZ286" i="3"/>
  <c r="AZ494" i="3"/>
  <c r="AZ30" i="3"/>
  <c r="AZ113" i="3"/>
  <c r="AZ551" i="3"/>
  <c r="AZ422" i="3"/>
  <c r="AB9" i="35"/>
  <c r="U9" i="35"/>
  <c r="U14" i="33"/>
  <c r="AB14" i="33"/>
  <c r="AZ33" i="3"/>
  <c r="C25" i="59"/>
  <c r="AZ141" i="3"/>
  <c r="AZ41" i="3"/>
  <c r="AZ506" i="3"/>
  <c r="AZ71" i="3"/>
  <c r="AZ438" i="3"/>
  <c r="AZ465" i="3"/>
  <c r="AZ541" i="3"/>
  <c r="U25" i="37"/>
  <c r="AB25" i="37"/>
  <c r="AC14" i="33"/>
  <c r="W14" i="33"/>
  <c r="AZ500" i="3"/>
  <c r="AZ204" i="3"/>
  <c r="U29" i="39"/>
  <c r="AZ528" i="3"/>
  <c r="AZ212" i="3"/>
  <c r="U31" i="34"/>
  <c r="F8" i="59"/>
  <c r="F7" i="59" s="1"/>
  <c r="F6" i="59" s="1"/>
  <c r="F5" i="59" s="1"/>
  <c r="V9" i="59"/>
  <c r="U27" i="37"/>
  <c r="AB27" i="37"/>
  <c r="W30" i="33"/>
  <c r="AC30" i="33"/>
  <c r="AA25" i="37"/>
  <c r="S25" i="37"/>
  <c r="AZ229" i="3"/>
  <c r="AZ98" i="3"/>
  <c r="AZ223" i="3"/>
  <c r="AZ62" i="3"/>
  <c r="AZ525" i="3"/>
  <c r="AZ488" i="3"/>
  <c r="AC13" i="46"/>
  <c r="AC13" i="37"/>
  <c r="W13" i="37"/>
  <c r="AA12" i="34"/>
  <c r="S12" i="34"/>
  <c r="J1" i="65"/>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G16" i="1" s="1"/>
  <c r="C67" i="40"/>
  <c r="D65" i="40"/>
  <c r="A17" i="51"/>
  <c r="B13" i="63"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s="1"/>
  <c r="AB13" i="36"/>
  <c r="U13" i="36"/>
  <c r="M12" i="1"/>
  <c r="Q16" i="1"/>
  <c r="F33" i="12" s="1"/>
  <c r="H16" i="1"/>
  <c r="AP16" i="1"/>
  <c r="F22" i="11" s="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F13" i="44"/>
  <c r="M13" i="44"/>
  <c r="J12" i="44" s="1"/>
  <c r="F11" i="15"/>
  <c r="C52" i="15" s="1"/>
  <c r="M11" i="15"/>
  <c r="J10" i="15" s="1"/>
  <c r="Q75" i="15"/>
  <c r="Q62" i="15"/>
  <c r="N28" i="46"/>
  <c r="P28" i="46"/>
  <c r="O28" i="46"/>
  <c r="M28" i="46"/>
  <c r="E2" i="65"/>
  <c r="C18" i="44"/>
  <c r="C16" i="15"/>
  <c r="AE6" i="1"/>
  <c r="E3" i="65"/>
  <c r="B40" i="1" l="1"/>
  <c r="F26" i="44" s="1"/>
  <c r="C26" i="44" s="1"/>
  <c r="J5" i="15"/>
  <c r="J26" i="15" s="1"/>
  <c r="C33" i="15"/>
  <c r="C48" i="15"/>
  <c r="C47" i="15" s="1"/>
  <c r="C65" i="15" s="1"/>
  <c r="Q63" i="44"/>
  <c r="D113" i="46"/>
  <c r="C34" i="44"/>
  <c r="J7" i="44"/>
  <c r="J28" i="44" s="1"/>
  <c r="C12" i="44"/>
  <c r="C7" i="44" s="1"/>
  <c r="C40" i="44" s="1"/>
  <c r="F17" i="11"/>
  <c r="C17" i="11" s="1"/>
  <c r="J7" i="34"/>
  <c r="S5" i="46"/>
  <c r="T5" i="46" s="1"/>
  <c r="V5" i="46" s="1"/>
  <c r="S7" i="46"/>
  <c r="S3" i="46"/>
  <c r="S6" i="46"/>
  <c r="T6" i="46" s="1"/>
  <c r="V6" i="46" s="1"/>
  <c r="S2" i="46"/>
  <c r="T2" i="46" s="1"/>
  <c r="V2" i="46" s="1"/>
  <c r="S4" i="46"/>
  <c r="T4" i="46" s="1"/>
  <c r="V4" i="46" s="1"/>
  <c r="F7" i="35"/>
  <c r="AA7" i="35" s="1"/>
  <c r="R38" i="35" s="1"/>
  <c r="R39" i="35" s="1"/>
  <c r="U7" i="35"/>
  <c r="F7" i="34"/>
  <c r="H7" i="34"/>
  <c r="AB7" i="34" s="1"/>
  <c r="T49" i="34" s="1"/>
  <c r="G49" i="34" s="1"/>
  <c r="C34" i="12"/>
  <c r="D33" i="12" s="1"/>
  <c r="Q62" i="44"/>
  <c r="Q61" i="15"/>
  <c r="Q67" i="15"/>
  <c r="F1" i="44"/>
  <c r="Q53" i="15"/>
  <c r="T12" i="46"/>
  <c r="V12" i="46" s="1"/>
  <c r="C38" i="46"/>
  <c r="E38"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W7" i="35"/>
  <c r="T8" i="46"/>
  <c r="V8" i="46" s="1"/>
  <c r="E70" i="39"/>
  <c r="D72" i="39"/>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C10" i="59"/>
  <c r="D11" i="59"/>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F46" i="44"/>
  <c r="F41" i="15"/>
  <c r="L52" i="44"/>
  <c r="E35" i="46" l="1"/>
  <c r="U7" i="34"/>
  <c r="F21" i="43"/>
  <c r="C23" i="43" s="1"/>
  <c r="D21" i="43" s="1"/>
  <c r="F24" i="15"/>
  <c r="C24" i="15" s="1"/>
  <c r="F26" i="12"/>
  <c r="C27" i="12" s="1"/>
  <c r="D26" i="12" s="1"/>
  <c r="C32" i="12" s="1"/>
  <c r="D30" i="12" s="1"/>
  <c r="J24" i="15"/>
  <c r="E37" i="46"/>
  <c r="J26" i="44"/>
  <c r="C19" i="11"/>
  <c r="C20" i="11" s="1"/>
  <c r="C21" i="11" s="1"/>
  <c r="C22" i="11" s="1"/>
  <c r="C23" i="11" s="1"/>
  <c r="B2"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E7" i="67"/>
  <c r="F7" i="67"/>
  <c r="B3" i="11" l="1"/>
  <c r="E6" i="3"/>
  <c r="E4" i="67"/>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C17" i="15"/>
  <c r="B7" i="67"/>
  <c r="C19" i="44"/>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M27" i="6"/>
  <c r="C8" i="66"/>
  <c r="C7" i="66"/>
  <c r="O14" i="1"/>
  <c r="O16" i="1" s="1"/>
  <c r="M16" i="1"/>
  <c r="E53" i="21"/>
  <c r="F53" i="21" s="1"/>
  <c r="E52" i="21"/>
  <c r="F52" i="21" s="1"/>
  <c r="G41" i="36"/>
  <c r="H41" i="36" s="1"/>
  <c r="G40" i="36"/>
  <c r="H40" i="36" s="1"/>
  <c r="C49" i="21"/>
  <c r="B3" i="21" s="1"/>
  <c r="B2" i="21" s="1"/>
  <c r="C48" i="21"/>
  <c r="B3" i="46"/>
  <c r="D4" i="46"/>
  <c r="B4" i="46"/>
  <c r="C16" i="44"/>
  <c r="C14" i="15"/>
  <c r="T7" i="1" l="1"/>
  <c r="T9" i="1"/>
  <c r="H27" i="6"/>
  <c r="T11" i="1"/>
  <c r="T10" i="1"/>
  <c r="T13" i="1"/>
  <c r="R24" i="6"/>
  <c r="R23" i="6"/>
  <c r="T12" i="1"/>
  <c r="I70" i="39"/>
  <c r="H72" i="39"/>
  <c r="H67" i="40"/>
  <c r="I65" i="40"/>
  <c r="C20" i="44"/>
  <c r="C17" i="44"/>
  <c r="C18" i="15"/>
  <c r="C15" i="15"/>
  <c r="R19" i="6"/>
  <c r="D27" i="6"/>
  <c r="T8" i="1"/>
  <c r="T16" i="1" s="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5" i="6" s="1"/>
  <c r="I67" i="40"/>
  <c r="J65" i="40"/>
  <c r="I72" i="39"/>
  <c r="J70" i="39"/>
  <c r="C19" i="15"/>
  <c r="C20" i="15" s="1"/>
  <c r="C26" i="15" s="1"/>
  <c r="C21" i="44"/>
  <c r="C22" i="44" s="1"/>
  <c r="C28" i="44" s="1"/>
  <c r="R6" i="1"/>
  <c r="R27" i="6"/>
  <c r="C17" i="43"/>
  <c r="C14" i="43"/>
  <c r="U7" i="33"/>
  <c r="AB7" i="33"/>
  <c r="T48" i="33" s="1"/>
  <c r="G48" i="33" s="1"/>
  <c r="D6" i="59"/>
  <c r="C5" i="59"/>
  <c r="J7" i="33"/>
  <c r="F7" i="33"/>
  <c r="M23" i="44"/>
  <c r="F35" i="15"/>
  <c r="M21" i="15"/>
  <c r="F37" i="44"/>
  <c r="I6" i="6" l="1"/>
  <c r="J72" i="39"/>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I54" i="39" s="1"/>
  <c r="J54" i="39" s="1"/>
  <c r="R50" i="39"/>
  <c r="G54" i="39"/>
  <c r="H54" i="39" s="1"/>
  <c r="G53" i="39"/>
  <c r="H53" i="39" s="1"/>
  <c r="G48" i="40"/>
  <c r="H48" i="40" s="1"/>
  <c r="G49" i="40"/>
  <c r="H49" i="40"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C19" i="9"/>
  <c r="D21" i="9"/>
  <c r="L43" i="9" l="1"/>
  <c r="D22" i="9"/>
  <c r="G19" i="9"/>
  <c r="U25" i="1" s="1"/>
  <c r="B3" i="39"/>
  <c r="B5" i="39"/>
  <c r="B4" i="39"/>
  <c r="C21" i="9"/>
  <c r="C20" i="9"/>
  <c r="D20"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D15" i="66" l="1"/>
  <c r="E15" i="66" l="1"/>
  <c r="B5" i="66"/>
  <c r="G15" i="66"/>
  <c r="B6" i="66" s="1"/>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<sst xmlns="http://schemas.openxmlformats.org/spreadsheetml/2006/main" count="7482" uniqueCount="3171">
  <si>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</si>
  <si>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</si>
  <si>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</si>
  <si>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</si>
  <si>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</si>
  <si>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</si>
  <si>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</si>
  <si>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</si>
  <si>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</si>
  <si>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</si>
  <si>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</si>
  <si>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</si>
  <si>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</si>
  <si>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</si>
  <si>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</si>
  <si>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</si>
  <si>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</si>
  <si>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</si>
  <si>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</si>
  <si>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</si>
  <si>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</si>
  <si>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</si>
  <si>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</si>
  <si>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</si>
  <si>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</si>
  <si>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</si>
  <si>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</si>
  <si>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</si>
  <si>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</si>
  <si>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</si>
  <si>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</si>
  <si>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</si>
  <si>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</si>
  <si>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</si>
  <si>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</si>
  <si>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</si>
  <si>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</si>
  <si>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</si>
  <si>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</si>
  <si>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</si>
  <si>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</si>
  <si>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</si>
  <si>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</si>
  <si>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</si>
  <si>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</si>
  <si>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</si>
  <si>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</si>
  <si>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</si>
  <si>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</si>
  <si>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</si>
  <si>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</si>
  <si>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</si>
  <si>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</si>
  <si>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</si>
  <si>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</si>
  <si>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</si>
  <si>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</si>
  <si>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</si>
  <si>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</si>
  <si>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</si>
  <si>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</si>
  <si>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</si>
  <si>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</si>
  <si>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</si>
  <si>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</si>
  <si>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</si>
  <si>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</si>
  <si>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</si>
  <si>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</si>
  <si>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</si>
  <si>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</si>
  <si>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</si>
  <si>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</si>
  <si>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</si>
  <si>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</si>
  <si>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</si>
  <si>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</si>
  <si>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</si>
  <si>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</si>
  <si>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</si>
  <si>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</si>
  <si>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</si>
  <si>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</si>
  <si>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</si>
  <si>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</si>
  <si>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</si>
  <si>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</si>
  <si>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</si>
  <si>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</si>
  <si>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</si>
  <si>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</si>
  <si>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</si>
  <si>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</si>
  <si>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</si>
  <si>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</si>
  <si>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</si>
  <si>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</si>
  <si>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</si>
  <si>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</si>
  <si>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</si>
  <si>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</si>
  <si>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</si>
  <si>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</si>
  <si>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</si>
  <si>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</si>
  <si>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</si>
  <si>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</si>
  <si>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</si>
  <si>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</si>
  <si>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</si>
  <si>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</si>
  <si>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</si>
  <si>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</si>
  <si>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</si>
  <si>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</si>
  <si>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</si>
  <si>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</si>
  <si>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</si>
  <si>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</si>
  <si>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</si>
  <si>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</si>
  <si>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</si>
  <si>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</si>
  <si>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</si>
  <si>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</si>
  <si>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</si>
  <si>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</si>
  <si>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</si>
  <si>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</si>
  <si>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</si>
  <si>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</si>
  <si>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</si>
  <si>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</si>
  <si>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</si>
  <si>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</si>
  <si>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</si>
  <si>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</si>
  <si>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</si>
  <si>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</si>
  <si>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</si>
  <si>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</si>
  <si>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</si>
  <si>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</si>
  <si>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</si>
  <si>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</si>
  <si>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</si>
  <si>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</si>
  <si>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</si>
  <si>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</si>
  <si>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</si>
  <si>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</si>
  <si>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</si>
  <si>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</si>
  <si>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</si>
  <si>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</si>
  <si>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</si>
  <si>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</si>
  <si>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</si>
  <si>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</si>
  <si>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</si>
  <si>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</si>
  <si>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</si>
  <si>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</si>
  <si>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</si>
  <si>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</si>
  <si>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</si>
  <si>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</si>
  <si>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</si>
  <si>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</si>
  <si>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</si>
  <si>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</si>
  <si>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</si>
  <si>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</si>
  <si>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</si>
  <si>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</si>
  <si>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</si>
  <si>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</si>
  <si>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</si>
  <si>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</si>
  <si>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</si>
  <si>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</si>
  <si>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</si>
  <si>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</si>
  <si>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</si>
  <si>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</si>
  <si>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</si>
  <si>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</si>
  <si>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</si>
  <si>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</si>
  <si>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</si>
  <si>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</si>
  <si>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</si>
  <si>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</si>
  <si>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</si>
  <si>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</si>
  <si>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</si>
  <si>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</si>
  <si>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</si>
  <si>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</si>
  <si>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</si>
  <si>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</si>
  <si>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</si>
  <si>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</si>
  <si>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</si>
  <si>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</si>
  <si>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</si>
  <si>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</si>
  <si>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</si>
  <si>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</si>
  <si>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</si>
  <si>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</si>
  <si>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</si>
  <si>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</si>
  <si>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</si>
  <si>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</si>
  <si>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</si>
  <si>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</si>
  <si>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</si>
  <si>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</si>
  <si>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</si>
  <si>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</si>
  <si>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</si>
  <si>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</si>
  <si>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</si>
  <si>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</si>
  <si>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</si>
  <si>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</si>
  <si>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</si>
  <si>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</si>
  <si>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</si>
  <si>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</si>
  <si>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</si>
  <si>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</si>
  <si>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</si>
  <si>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</si>
  <si>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</si>
  <si>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</si>
  <si>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</si>
  <si>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</si>
  <si>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</si>
  <si>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</si>
  <si>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</si>
  <si>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</si>
  <si>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</si>
  <si>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</si>
  <si>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</si>
  <si>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</si>
  <si>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</si>
  <si>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</si>
  <si>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</si>
  <si>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</si>
  <si>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</si>
  <si>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</si>
  <si>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</si>
  <si>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</si>
  <si>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</si>
  <si>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</si>
  <si>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</si>
  <si>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</si>
  <si>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</si>
  <si>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</si>
  <si>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</si>
  <si>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</si>
  <si>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</si>
  <si>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</si>
  <si>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</si>
  <si>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</si>
  <si>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</si>
  <si>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</si>
  <si>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</si>
  <si>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</si>
  <si>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</si>
  <si>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</si>
  <si>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</si>
  <si>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</si>
  <si>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</si>
  <si>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</si>
  <si>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</si>
  <si>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</si>
  <si>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</si>
  <si>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</si>
  <si>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</si>
  <si>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</si>
  <si>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</si>
  <si>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</si>
  <si>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</si>
  <si>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</si>
  <si>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</si>
  <si>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</si>
  <si>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</si>
  <si>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</si>
  <si>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</si>
  <si>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</si>
  <si>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</si>
  <si>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</si>
  <si>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</si>
  <si>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</si>
  <si>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</si>
  <si>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</si>
  <si>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</si>
  <si>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</si>
  <si>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</si>
  <si>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</si>
  <si>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</si>
  <si>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</si>
  <si>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</si>
  <si>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</si>
  <si>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</si>
  <si>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</si>
  <si>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</si>
  <si>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</si>
  <si>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</si>
  <si>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</si>
  <si>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</si>
  <si>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</si>
  <si>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</si>
  <si>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</si>
  <si>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</si>
  <si>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</si>
  <si>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</si>
  <si>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</si>
  <si>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</si>
  <si>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</si>
  <si>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</si>
  <si>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</si>
  <si>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</si>
  <si>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</si>
  <si>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</si>
  <si>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</si>
  <si>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</si>
  <si>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</si>
  <si>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</si>
  <si>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</si>
  <si>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</si>
  <si>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</si>
  <si>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</si>
  <si>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</si>
  <si>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</si>
  <si>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</si>
  <si>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</si>
  <si>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</si>
  <si>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</si>
  <si>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</si>
  <si>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</si>
  <si>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</si>
  <si>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</si>
  <si>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</si>
  <si>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</si>
  <si>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</si>
  <si>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</si>
  <si>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</si>
  <si>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</si>
  <si>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</si>
  <si>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</si>
  <si>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</si>
  <si>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</si>
  <si>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</si>
  <si>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</si>
  <si>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</si>
  <si>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</si>
  <si>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</si>
  <si>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</si>
  <si>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</si>
  <si>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</si>
  <si>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</si>
  <si>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</si>
  <si>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</si>
  <si>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</si>
  <si>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</si>
  <si>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</si>
  <si>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</si>
  <si>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</si>
  <si>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</si>
  <si>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</si>
  <si>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</si>
  <si>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</si>
  <si>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</si>
  <si>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</si>
  <si>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</si>
  <si>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</si>
  <si>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</si>
  <si>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</si>
  <si>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</si>
  <si>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</si>
  <si>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</si>
  <si>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</si>
  <si>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</si>
  <si>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</si>
  <si>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</si>
  <si>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</si>
  <si>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</si>
  <si>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</si>
  <si>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</si>
  <si>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</si>
  <si>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</si>
  <si>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</si>
  <si>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</si>
  <si>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</si>
  <si>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</si>
  <si>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</si>
  <si>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</si>
  <si>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</si>
  <si>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</si>
  <si>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</si>
  <si>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</si>
  <si>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</si>
  <si>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</si>
  <si>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</si>
  <si>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</si>
  <si>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</si>
  <si>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</si>
  <si>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</si>
  <si>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</si>
  <si>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</si>
  <si>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</si>
  <si>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</si>
  <si>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</si>
  <si>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</si>
  <si>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</si>
  <si>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</si>
  <si>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</si>
  <si>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</si>
  <si>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</si>
  <si>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</si>
  <si>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</si>
  <si>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</si>
  <si>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</si>
  <si>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</si>
  <si>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</si>
  <si>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</si>
  <si>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</si>
  <si>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</si>
  <si>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</si>
  <si>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</si>
  <si>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</si>
  <si>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</si>
  <si>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</si>
  <si>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</si>
  <si>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</si>
  <si>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</si>
  <si>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</si>
  <si>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</si>
  <si>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</si>
  <si>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</si>
  <si>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</si>
  <si>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</si>
  <si>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</si>
  <si>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</si>
  <si>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</si>
  <si>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</si>
  <si>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</si>
  <si>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</si>
  <si>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</si>
  <si>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</si>
  <si>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</si>
  <si>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</si>
  <si>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</si>
  <si>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</si>
  <si>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</si>
  <si>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</si>
  <si>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</si>
  <si>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</si>
  <si>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</si>
  <si>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</si>
  <si>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</si>
  <si>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</si>
  <si>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</si>
  <si>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</si>
  <si>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</si>
  <si>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</si>
  <si>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</si>
  <si>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</si>
  <si>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</si>
  <si>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</si>
  <si>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</si>
  <si>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</si>
  <si>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</si>
  <si>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</si>
  <si>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</si>
  <si>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</si>
  <si>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</si>
  <si>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</si>
  <si>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</si>
  <si>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</si>
  <si>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</si>
  <si>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</si>
  <si>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</si>
  <si>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</si>
  <si>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</si>
  <si>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</si>
  <si>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</si>
  <si>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</si>
  <si>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</si>
  <si>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</si>
  <si>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</si>
  <si>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</si>
  <si>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</si>
  <si>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</si>
  <si>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</si>
  <si>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</si>
  <si>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</si>
  <si>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</si>
  <si>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</si>
  <si>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</si>
  <si>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</si>
  <si>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</si>
  <si>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</si>
  <si>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</si>
  <si>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</si>
  <si>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</si>
  <si>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</si>
  <si>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</si>
  <si>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</si>
  <si>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</si>
  <si>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</si>
  <si>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</si>
  <si>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</si>
  <si>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</si>
  <si>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</si>
  <si>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</si>
  <si>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</si>
  <si>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</si>
  <si>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</si>
  <si>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</si>
  <si>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</si>
  <si>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</si>
  <si>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</si>
  <si>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</si>
  <si>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</si>
  <si>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</si>
  <si>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</si>
  <si>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</si>
  <si>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</si>
  <si>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</si>
  <si>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</si>
  <si>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</si>
  <si>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</si>
  <si>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</si>
  <si>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</si>
  <si>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</si>
  <si>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</si>
  <si>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</si>
  <si>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</si>
  <si>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</si>
  <si>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</si>
  <si>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</si>
  <si>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</si>
  <si>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</si>
  <si>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</si>
  <si>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</si>
  <si>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</si>
  <si>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</si>
  <si>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</si>
  <si>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</si>
  <si>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</si>
  <si>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</si>
  <si>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</si>
  <si>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</si>
  <si>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</si>
  <si>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</si>
  <si>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</si>
  <si>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</si>
  <si>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</si>
  <si>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</si>
  <si>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</si>
  <si>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</si>
  <si>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</si>
  <si>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</si>
  <si>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</si>
  <si>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</si>
  <si>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</si>
  <si>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</si>
  <si>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</si>
  <si>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</si>
  <si>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</si>
  <si>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</si>
  <si>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</si>
  <si>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</si>
  <si>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</si>
  <si>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</si>
  <si>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</si>
  <si>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</si>
  <si>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</si>
  <si>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</si>
  <si>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</si>
  <si>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</si>
  <si>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</si>
  <si>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</si>
  <si>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</si>
  <si>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</si>
  <si>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</si>
  <si>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</si>
  <si>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</si>
  <si>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</si>
  <si>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</si>
  <si>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</si>
  <si>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</si>
  <si>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</si>
  <si>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</si>
  <si>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</si>
  <si>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</si>
  <si>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</si>
  <si>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</si>
  <si>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</si>
  <si>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</si>
  <si>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</si>
  <si>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</si>
  <si>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</si>
  <si>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</si>
  <si>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</si>
  <si>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</si>
  <si>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</si>
  <si>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</si>
  <si>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</si>
  <si>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</si>
  <si>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</si>
  <si>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</si>
  <si>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</si>
  <si>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</si>
  <si>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</si>
  <si>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</si>
  <si>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</si>
  <si>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</si>
  <si>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</si>
  <si>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</si>
  <si>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</si>
  <si>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</si>
  <si>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</si>
  <si>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</si>
  <si>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</si>
  <si>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</si>
  <si>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</si>
  <si>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</si>
  <si>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</si>
  <si>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</si>
  <si>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</si>
  <si>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</si>
  <si>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</si>
  <si>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</si>
  <si>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</si>
  <si>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</si>
  <si>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</si>
  <si>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</si>
  <si>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</si>
  <si>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</si>
  <si>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</si>
  <si>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</si>
  <si>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</si>
  <si>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</si>
  <si>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</si>
  <si>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</si>
  <si>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</si>
  <si>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</si>
  <si>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</si>
  <si>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</si>
  <si>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</si>
  <si>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</si>
  <si>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</si>
  <si>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</si>
  <si>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</si>
  <si>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</si>
  <si>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</si>
  <si>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</si>
  <si>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</si>
  <si>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</si>
  <si>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</si>
  <si>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</si>
  <si>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</si>
  <si>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</si>
  <si>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</si>
  <si>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</si>
  <si>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</si>
  <si>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</si>
  <si>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</si>
  <si>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</si>
  <si>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</si>
  <si>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</si>
  <si>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</si>
  <si>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</si>
  <si>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</si>
  <si>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</si>
  <si>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</si>
  <si>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</si>
  <si>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</si>
  <si>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</si>
  <si>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</si>
  <si>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</si>
  <si>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</si>
  <si>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</si>
  <si>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</si>
  <si>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</si>
  <si>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</si>
  <si>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</si>
  <si>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</si>
  <si>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</si>
  <si>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</si>
  <si>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</si>
  <si>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</si>
  <si>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</si>
  <si>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</si>
  <si>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</si>
  <si>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</si>
  <si>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</si>
  <si>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</si>
  <si>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</si>
  <si>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</si>
  <si>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</si>
  <si>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</si>
  <si>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</si>
  <si>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</si>
  <si>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</si>
  <si>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</si>
  <si>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</si>
  <si>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</si>
  <si>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</si>
  <si>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</si>
  <si>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</si>
  <si>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</si>
  <si>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</si>
  <si>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</si>
  <si>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</si>
  <si>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</si>
  <si>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</si>
  <si>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</si>
  <si>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</si>
  <si>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</si>
  <si>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</si>
  <si>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</si>
  <si>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</si>
  <si>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</si>
  <si>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</si>
  <si>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</si>
  <si>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</si>
  <si>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</si>
  <si>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</si>
  <si>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</si>
  <si>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</si>
  <si>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</si>
  <si>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</si>
  <si>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</si>
  <si>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</si>
  <si>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</si>
  <si>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</si>
  <si>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</si>
  <si>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</si>
  <si>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</si>
  <si>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</si>
  <si>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</si>
  <si>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</si>
  <si>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</si>
  <si>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</si>
  <si>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</si>
  <si>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</si>
  <si>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</si>
  <si>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</si>
  <si>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</si>
  <si>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</si>
  <si>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</si>
  <si>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</si>
  <si>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</si>
  <si>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</si>
  <si>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</si>
  <si>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</si>
  <si>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</si>
  <si>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</si>
  <si>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</si>
  <si>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</si>
  <si>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</si>
  <si>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</si>
  <si>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</si>
  <si>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</si>
  <si>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</si>
  <si>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</si>
  <si>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</si>
  <si>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</si>
  <si>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</si>
  <si>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</si>
  <si>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</si>
  <si>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</si>
  <si>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</si>
  <si>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</si>
  <si>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</si>
  <si>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</si>
  <si>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</si>
  <si>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</si>
  <si>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</si>
  <si>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</si>
  <si>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</si>
  <si>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</si>
  <si>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</si>
  <si>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</si>
  <si>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</si>
  <si>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</si>
  <si>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</si>
  <si>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</si>
  <si>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</si>
  <si>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</si>
  <si>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</si>
  <si>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</si>
  <si>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</si>
  <si>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</si>
  <si>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</si>
  <si>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</si>
  <si>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</si>
  <si>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</si>
  <si>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</si>
  <si>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</si>
  <si>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</si>
  <si>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</si>
  <si>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</si>
  <si>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</si>
  <si>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</si>
  <si>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</si>
  <si>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</si>
  <si>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</si>
  <si>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</si>
  <si>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</si>
  <si>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</si>
  <si>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</si>
  <si>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</si>
  <si>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</si>
  <si>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</si>
  <si>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</si>
  <si>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</si>
  <si>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</si>
  <si>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</si>
  <si>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</si>
  <si>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</si>
  <si>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</si>
  <si>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</si>
  <si>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</si>
  <si>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</si>
  <si>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</si>
  <si>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</si>
  <si>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</si>
  <si>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</si>
  <si>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</si>
  <si>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</si>
  <si>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</si>
  <si>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</si>
  <si>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</si>
  <si>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</si>
  <si>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</si>
  <si>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</si>
  <si>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</si>
  <si>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</si>
  <si>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</si>
  <si>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</si>
  <si>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</si>
  <si>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</si>
  <si>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</si>
  <si>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</si>
  <si>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</si>
  <si>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</si>
  <si>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</si>
  <si>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</si>
  <si>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</si>
  <si>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</si>
  <si>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</si>
  <si>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</si>
  <si>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</si>
  <si>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</si>
  <si>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</si>
  <si>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</si>
  <si>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</si>
  <si>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</si>
  <si>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</si>
  <si>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</si>
  <si>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</si>
  <si>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</si>
  <si>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</si>
  <si>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</si>
  <si>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</si>
  <si>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</si>
  <si>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</si>
  <si>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</si>
  <si>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</si>
  <si>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</si>
  <si>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</si>
  <si>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</si>
  <si>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</si>
  <si>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</si>
  <si>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</si>
  <si>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</si>
  <si>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</si>
  <si>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</si>
  <si>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</si>
  <si>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</si>
  <si>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</si>
  <si>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</si>
  <si>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</si>
  <si>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</si>
  <si>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</si>
  <si>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</si>
  <si>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</si>
  <si>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</si>
  <si>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</si>
  <si>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</si>
  <si>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</si>
  <si>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</si>
  <si>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</si>
  <si>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</si>
  <si>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</si>
  <si>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</si>
  <si>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</si>
  <si>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</si>
  <si>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</si>
  <si>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</si>
  <si>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</si>
  <si>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</si>
  <si>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</si>
  <si>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</si>
  <si>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</si>
  <si>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</si>
  <si>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</si>
  <si>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</si>
  <si>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</si>
  <si>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</si>
  <si>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</si>
  <si>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</si>
  <si>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</si>
  <si>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</si>
  <si>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</si>
  <si>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</si>
  <si>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</si>
  <si>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</si>
  <si>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</si>
  <si>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</si>
  <si>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</si>
  <si>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</si>
  <si>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</si>
  <si>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</si>
  <si>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</si>
  <si>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</si>
  <si>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</si>
  <si>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</si>
  <si>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</si>
  <si>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</si>
  <si>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</si>
  <si>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</si>
  <si>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</si>
  <si>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</si>
  <si>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</si>
  <si>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</si>
  <si>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</si>
  <si>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</si>
  <si>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</si>
  <si>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</si>
  <si>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</si>
  <si>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</si>
  <si>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</si>
  <si>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</si>
  <si>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</si>
  <si>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</si>
  <si>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</si>
  <si>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</si>
  <si>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</si>
  <si>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</si>
  <si>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</si>
  <si>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</si>
  <si>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</si>
  <si>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</si>
  <si>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</si>
  <si>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</si>
  <si>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</si>
  <si>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</si>
  <si>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</si>
  <si>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</si>
  <si>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</si>
  <si>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</si>
  <si>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</si>
  <si>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</si>
  <si>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</si>
  <si>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</si>
  <si>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</si>
  <si>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</si>
  <si>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</si>
  <si>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</si>
  <si>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</si>
  <si>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</si>
  <si>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</si>
  <si>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</si>
  <si>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</si>
  <si>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</si>
  <si>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</si>
  <si>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</si>
  <si>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</si>
  <si>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</si>
  <si>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</si>
  <si>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</si>
  <si>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</si>
  <si>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</si>
  <si>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</si>
  <si>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</si>
  <si>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</si>
  <si>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</si>
  <si>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</si>
  <si>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</si>
  <si>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</si>
  <si>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</si>
  <si>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</si>
  <si>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</si>
  <si>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</si>
  <si>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</si>
  <si>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</si>
  <si>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</si>
  <si>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</si>
  <si>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</si>
  <si>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</si>
  <si>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</si>
  <si>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</si>
  <si>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</si>
  <si>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</si>
  <si>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</si>
  <si>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</si>
  <si>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</si>
  <si>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</si>
  <si>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</si>
  <si>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</si>
  <si>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</si>
  <si>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</si>
  <si>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</si>
  <si>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</si>
  <si>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</si>
  <si>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</si>
  <si>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</si>
  <si>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</si>
  <si>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</si>
  <si>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</si>
  <si>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</si>
  <si>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</si>
  <si>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</si>
  <si>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</si>
  <si>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</si>
  <si>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</si>
  <si>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</si>
  <si>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</si>
  <si>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</si>
  <si>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</si>
  <si>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</si>
  <si>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</si>
  <si>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</si>
  <si>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</si>
  <si>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</si>
  <si>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</si>
  <si>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</si>
  <si>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</si>
  <si>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</si>
  <si>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</si>
  <si>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</si>
  <si>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</si>
  <si>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</si>
  <si>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</si>
  <si>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</si>
  <si>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</si>
  <si>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</si>
  <si>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</si>
  <si>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</si>
  <si>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</si>
  <si>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</si>
  <si>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</si>
  <si>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</si>
  <si>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</si>
  <si>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</si>
  <si>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</si>
  <si>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</si>
  <si>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</si>
  <si>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</si>
  <si>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</si>
  <si>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</si>
  <si>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</si>
  <si>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</si>
  <si>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</si>
  <si>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</si>
  <si>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</si>
  <si>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</si>
  <si>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</si>
  <si>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</si>
  <si>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</si>
  <si>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</si>
  <si>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</si>
  <si>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</si>
  <si>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</si>
  <si>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</si>
  <si>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</si>
  <si>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</si>
  <si>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</si>
  <si>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</si>
  <si>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</si>
  <si>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</si>
  <si>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</si>
  <si>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</si>
  <si>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</si>
  <si>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</si>
  <si>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</si>
  <si>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</si>
  <si>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</si>
  <si>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</si>
  <si>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</si>
  <si>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</si>
  <si>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</si>
  <si>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</si>
  <si>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</si>
  <si>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</si>
  <si>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</si>
  <si>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</si>
  <si>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</si>
  <si>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</si>
  <si>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</si>
  <si>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</si>
  <si>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</si>
  <si>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</si>
  <si>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</si>
  <si>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</si>
  <si>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</si>
  <si>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</si>
  <si>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</si>
  <si>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</si>
  <si>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</si>
  <si>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</si>
  <si>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</si>
  <si>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</si>
  <si>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</si>
  <si>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</si>
  <si>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</si>
  <si>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</si>
  <si>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</si>
  <si>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</si>
  <si>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</si>
  <si>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</si>
  <si>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</si>
  <si>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</si>
  <si>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</si>
  <si>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</si>
  <si>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</si>
  <si>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</si>
  <si>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</si>
  <si>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</si>
  <si>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</si>
  <si>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</si>
  <si>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</si>
  <si>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</si>
  <si>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</si>
  <si>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</si>
  <si>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</si>
  <si>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</si>
  <si>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</si>
  <si>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</si>
  <si>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</si>
  <si>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</si>
  <si>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</si>
  <si>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</si>
  <si>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</si>
  <si>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</si>
  <si>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</si>
  <si>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</si>
  <si>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</si>
  <si>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</si>
  <si>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</si>
  <si>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</si>
  <si>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</si>
  <si>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</si>
  <si>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</si>
  <si>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</si>
  <si>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</si>
  <si>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</si>
  <si>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</si>
  <si>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</si>
  <si>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</si>
  <si>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</si>
  <si>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</si>
  <si>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</si>
  <si>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</si>
  <si>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</si>
  <si>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</si>
  <si>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</si>
  <si>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</si>
  <si>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</si>
  <si>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</si>
  <si>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</si>
  <si>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</si>
  <si>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</si>
  <si>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</si>
  <si>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</si>
  <si>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</si>
  <si>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</si>
  <si>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</si>
  <si>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</si>
  <si>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</si>
  <si>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</si>
  <si>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</si>
  <si>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</si>
  <si>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</si>
  <si>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</si>
  <si>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</si>
  <si>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</si>
  <si>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</si>
  <si>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</si>
  <si>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</si>
  <si>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</si>
  <si>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</si>
  <si>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</si>
  <si>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</si>
  <si>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</si>
  <si>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</si>
  <si>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</si>
  <si>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</si>
  <si>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</si>
  <si>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</si>
  <si>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</si>
  <si>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</si>
  <si>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</si>
  <si>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</si>
  <si>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</si>
  <si>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</si>
  <si>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</si>
  <si>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</si>
  <si>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</si>
  <si>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</si>
  <si>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</si>
  <si>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</si>
  <si>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</si>
  <si>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</si>
  <si>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</si>
  <si>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</si>
  <si>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</si>
  <si>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</si>
  <si>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</si>
  <si>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</si>
  <si>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</si>
  <si>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</si>
  <si>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</si>
  <si>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</si>
  <si>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</si>
  <si>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</si>
  <si>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</si>
  <si>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</si>
  <si>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</si>
  <si>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</si>
  <si>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</si>
  <si>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</si>
  <si>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</si>
  <si>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</si>
  <si>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</si>
  <si>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</si>
  <si>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</si>
  <si>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</si>
  <si>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</si>
  <si>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</si>
  <si>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</si>
  <si>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</si>
  <si>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</si>
  <si>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</si>
  <si>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</si>
  <si>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</si>
  <si>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</si>
  <si>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</si>
  <si>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</si>
  <si>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</si>
  <si>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</si>
  <si>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</si>
  <si>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</si>
  <si>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</si>
  <si>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</si>
  <si>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</si>
  <si>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</si>
  <si>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</si>
  <si>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</si>
  <si>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</si>
  <si>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</si>
  <si>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</si>
  <si>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</si>
  <si>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</si>
  <si>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</si>
  <si>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</si>
  <si>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</si>
  <si>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</si>
  <si>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</si>
  <si>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</si>
  <si>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</si>
  <si>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</si>
  <si>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</si>
  <si>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</si>
  <si>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</si>
  <si>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</si>
  <si>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</si>
  <si>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</si>
  <si>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</si>
  <si>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</si>
  <si>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</si>
  <si>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</si>
  <si>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</si>
  <si>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</si>
  <si>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</si>
  <si>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</si>
  <si>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</si>
  <si>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</si>
  <si>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</si>
  <si>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</si>
  <si>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</si>
  <si>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</si>
  <si>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</si>
  <si>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</si>
  <si>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</si>
  <si>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</si>
  <si>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</si>
  <si>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</si>
  <si>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</si>
  <si>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</si>
  <si>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</si>
  <si>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</si>
  <si>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</si>
  <si>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</si>
  <si>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</si>
  <si>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</si>
  <si>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</si>
  <si>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</si>
  <si>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</si>
  <si>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</si>
  <si>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</si>
  <si>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</si>
  <si>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</si>
  <si>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</si>
  <si>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</si>
  <si>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</si>
  <si>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</si>
  <si>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</si>
  <si>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</si>
  <si>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</si>
  <si>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</si>
  <si>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</si>
  <si>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</si>
  <si>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</si>
  <si>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</si>
  <si>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</si>
  <si>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</si>
  <si>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</si>
  <si>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</si>
  <si>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</si>
  <si>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</si>
  <si>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</si>
  <si>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</si>
  <si>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</si>
  <si>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</si>
  <si>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</si>
  <si>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</si>
  <si>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</si>
  <si>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</si>
  <si>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</si>
  <si>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</si>
  <si>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</si>
  <si>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</si>
  <si>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</si>
  <si>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</si>
  <si>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</si>
  <si>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</si>
  <si>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</si>
  <si>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</si>
  <si>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</si>
  <si>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</si>
  <si>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</si>
  <si>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</si>
  <si>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</si>
  <si>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</si>
  <si>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</si>
  <si>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</si>
  <si>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</si>
  <si>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</si>
  <si>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</si>
  <si>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</si>
  <si>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</si>
  <si>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</si>
  <si>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</si>
  <si>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</si>
  <si>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</si>
  <si>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</si>
  <si>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</si>
  <si>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</si>
  <si>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</si>
  <si>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</si>
  <si>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</si>
  <si>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</si>
  <si>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</si>
  <si>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</si>
  <si>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</si>
  <si>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</si>
  <si>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</si>
  <si>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</si>
  <si>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</si>
  <si>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</si>
  <si>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</si>
  <si>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</si>
  <si>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</si>
  <si>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</si>
  <si>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</si>
  <si>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</si>
  <si>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</si>
  <si>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</si>
  <si>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</si>
  <si>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</si>
  <si>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</si>
  <si>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</si>
  <si>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</si>
  <si>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</si>
  <si>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</si>
  <si>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</si>
  <si>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</si>
  <si>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</si>
  <si>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</si>
  <si>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</si>
  <si>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</si>
  <si>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</si>
  <si>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</si>
  <si>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</si>
  <si>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</si>
  <si>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</si>
  <si>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</si>
  <si>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</si>
  <si>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</si>
  <si>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</si>
  <si>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</si>
  <si>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</si>
  <si>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</si>
  <si>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</si>
  <si>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</si>
  <si>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</si>
  <si>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</si>
  <si>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</si>
  <si>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</si>
  <si>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</si>
  <si>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</si>
  <si>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</si>
  <si>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</si>
  <si>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</si>
  <si>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</si>
  <si>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</si>
  <si>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</si>
  <si>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</si>
  <si>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</si>
  <si>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</si>
  <si>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</si>
  <si>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</si>
  <si>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</si>
  <si>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</si>
  <si>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</si>
  <si>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</si>
  <si>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</si>
  <si>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</si>
  <si>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</si>
  <si>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</si>
  <si>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</si>
  <si>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</si>
  <si>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</si>
  <si>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</si>
  <si>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</si>
  <si>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</si>
  <si>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</si>
  <si>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</si>
  <si>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</si>
  <si>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</si>
  <si>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</si>
  <si>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</si>
  <si>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</si>
  <si>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</si>
  <si>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</si>
  <si>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</si>
  <si>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</si>
  <si>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</si>
  <si>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</si>
  <si>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</si>
  <si>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</si>
  <si>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</si>
  <si>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</si>
  <si>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</si>
  <si>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</si>
  <si>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</si>
  <si>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</si>
  <si>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</si>
  <si>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</si>
  <si>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</si>
  <si>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</si>
  <si>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</si>
  <si>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</si>
  <si>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</si>
  <si>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</si>
  <si>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</si>
  <si>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</si>
  <si>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</si>
  <si>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</si>
  <si>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</si>
  <si>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</si>
  <si>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</si>
  <si>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</si>
  <si>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</si>
  <si>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</si>
  <si>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</si>
  <si>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</si>
  <si>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</si>
  <si>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</si>
  <si>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</si>
  <si>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</si>
  <si>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</si>
  <si>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</si>
  <si>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</si>
  <si>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</si>
  <si>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</si>
  <si>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</si>
  <si>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</si>
  <si>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</si>
  <si>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</si>
  <si>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</si>
  <si>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</si>
  <si>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</si>
  <si>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</si>
  <si>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</si>
  <si>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</si>
  <si>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</si>
  <si>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</si>
  <si>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</si>
  <si>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</si>
  <si>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</si>
  <si>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</si>
  <si>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</si>
  <si>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</si>
  <si>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</si>
  <si>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</si>
  <si>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</si>
  <si>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</si>
  <si>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</si>
  <si>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</si>
  <si>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</si>
  <si>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</si>
  <si>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</si>
  <si>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</si>
  <si>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</si>
  <si>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</si>
  <si>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</si>
  <si>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</si>
  <si>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</si>
  <si>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</si>
  <si>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</si>
  <si>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</si>
  <si>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</si>
  <si>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</si>
  <si>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</si>
  <si>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</si>
  <si>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</si>
  <si>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</si>
  <si>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</si>
  <si>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</si>
  <si>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</si>
  <si>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</si>
  <si>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</si>
  <si>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</si>
  <si>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</si>
  <si>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</si>
  <si>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</si>
  <si>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</si>
  <si>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</si>
  <si>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</si>
  <si>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</si>
  <si>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</si>
  <si>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</si>
  <si>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</si>
  <si>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</si>
  <si>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</si>
  <si>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</si>
  <si>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</si>
  <si>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</si>
  <si>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</si>
  <si>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</si>
  <si>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</si>
  <si>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</si>
  <si>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</si>
  <si>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</si>
  <si>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</si>
  <si>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</si>
  <si>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</si>
  <si>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</si>
  <si>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</si>
  <si>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</si>
  <si>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</si>
  <si>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</si>
  <si>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</si>
  <si>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</si>
  <si>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</si>
  <si>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</si>
  <si>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</si>
  <si>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</si>
  <si>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</si>
  <si>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</si>
  <si>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</si>
  <si>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</si>
  <si>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</si>
  <si>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</si>
  <si>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</si>
  <si>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</si>
  <si>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</si>
  <si>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</si>
  <si>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</si>
  <si>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</si>
  <si>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</si>
  <si>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</si>
  <si>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</si>
  <si>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</si>
  <si>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</si>
  <si>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</si>
  <si>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</si>
  <si>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</si>
  <si>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</si>
  <si>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</si>
  <si>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</si>
  <si>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</si>
  <si>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</si>
  <si>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</si>
  <si>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</si>
  <si>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</si>
  <si>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</si>
  <si>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</si>
  <si>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</si>
  <si>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</si>
  <si>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</si>
  <si>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</si>
  <si>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</si>
  <si>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</si>
  <si>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</si>
  <si>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</si>
  <si>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</si>
  <si>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</si>
  <si>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</si>
  <si>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</si>
  <si>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</si>
  <si>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</si>
  <si>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</si>
  <si>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</si>
  <si>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</si>
  <si>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</si>
  <si>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</si>
  <si>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</si>
  <si>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</si>
  <si>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</si>
  <si>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</si>
  <si>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</si>
  <si>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</si>
  <si>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</si>
  <si>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</si>
  <si>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</si>
  <si>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</si>
  <si>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</si>
  <si>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</si>
  <si>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</si>
  <si>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</si>
  <si>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</si>
  <si>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</si>
  <si>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</si>
  <si>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</si>
  <si>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</si>
  <si>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</si>
  <si>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</si>
  <si>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</si>
  <si>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</si>
  <si>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</si>
  <si>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</si>
  <si>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</si>
  <si>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</si>
  <si>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</si>
  <si>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</si>
  <si>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</si>
  <si>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</si>
  <si>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</si>
  <si>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</si>
  <si>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</si>
  <si>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</si>
  <si>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</si>
  <si>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</si>
  <si>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</si>
  <si>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</si>
  <si>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</si>
  <si>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</si>
  <si>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</si>
  <si>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</si>
  <si>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</si>
  <si>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</si>
  <si>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</si>
  <si>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</si>
  <si>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</si>
  <si>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</si>
  <si>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</si>
  <si>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</si>
  <si>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</si>
  <si>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</si>
  <si>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</si>
  <si>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</si>
  <si>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</si>
  <si>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</si>
  <si>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</si>
  <si>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</si>
  <si>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</si>
  <si>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</si>
  <si>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</si>
  <si>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</si>
  <si>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</si>
  <si>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</si>
  <si>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</si>
  <si>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</si>
  <si>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</si>
  <si>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</si>
  <si>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</si>
  <si>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</si>
  <si>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</si>
  <si>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</si>
  <si>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</si>
  <si>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</si>
  <si>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</si>
  <si>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</si>
  <si>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</si>
  <si>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</si>
  <si>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</si>
  <si>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</si>
  <si>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</si>
  <si>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</si>
  <si>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</si>
  <si>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</si>
  <si>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</si>
  <si>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</si>
  <si>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</si>
  <si>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</si>
  <si>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</si>
  <si>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</si>
  <si>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</si>
  <si>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</si>
  <si>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</si>
  <si>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</si>
  <si>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</si>
  <si>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</si>
  <si>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</si>
  <si>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</si>
  <si>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</si>
  <si>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</si>
  <si>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</si>
  <si>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</si>
  <si>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</si>
  <si>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</si>
  <si>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</si>
  <si>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</si>
  <si>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</si>
  <si>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</si>
  <si>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</si>
  <si>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</si>
  <si>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</si>
  <si>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</si>
  <si>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</si>
  <si>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</si>
  <si>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</si>
  <si>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</si>
  <si>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</si>
  <si>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</si>
  <si>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</si>
  <si>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</si>
  <si>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</si>
  <si>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</si>
  <si>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</si>
  <si>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</si>
  <si>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</si>
  <si>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</si>
  <si>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</si>
  <si>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</si>
  <si>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</si>
  <si>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</si>
  <si>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</si>
  <si>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</si>
  <si>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</si>
  <si>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</si>
  <si>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</si>
  <si>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</si>
  <si>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</si>
  <si>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</si>
  <si>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</si>
  <si>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</si>
  <si>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</si>
  <si>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</si>
  <si>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</si>
  <si>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</si>
  <si>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</si>
  <si>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</si>
  <si>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</si>
  <si>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</si>
  <si>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</si>
  <si>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</si>
  <si>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</si>
  <si>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</si>
  <si>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</si>
  <si>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</si>
  <si>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</si>
  <si>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</si>
  <si>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</si>
  <si>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</si>
  <si>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</si>
  <si>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</si>
  <si>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</si>
  <si>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</si>
  <si>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</si>
  <si>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</si>
  <si>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</si>
  <si>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</si>
  <si>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</si>
  <si>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</si>
  <si>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</si>
  <si>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</si>
  <si>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</si>
  <si>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</si>
  <si>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</si>
  <si>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</si>
  <si>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</si>
  <si>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</si>
  <si>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</si>
  <si>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</si>
  <si>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</si>
  <si>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</si>
  <si>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</si>
  <si>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</si>
  <si>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</si>
  <si>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</si>
  <si>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</si>
  <si>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</si>
  <si>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</si>
  <si>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</si>
  <si>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</si>
  <si>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</si>
  <si>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</si>
  <si>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</si>
  <si>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</si>
  <si>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</si>
  <si>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</si>
  <si>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</si>
  <si>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</si>
  <si>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</si>
  <si>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</si>
  <si>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</si>
  <si>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</si>
  <si>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</si>
  <si>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</si>
  <si>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</si>
  <si>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</si>
  <si>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</si>
  <si>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</si>
  <si>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</si>
  <si>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</si>
  <si>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</si>
  <si>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</si>
  <si>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</si>
  <si>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</si>
  <si>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</si>
  <si>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</si>
  <si>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</si>
  <si>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</si>
  <si>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</si>
  <si>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</si>
  <si>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</si>
  <si>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</si>
  <si>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</si>
  <si>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</si>
  <si>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</si>
  <si>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</si>
  <si>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</si>
  <si>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</si>
  <si>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</si>
  <si>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</si>
  <si>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</si>
  <si>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</si>
  <si>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</si>
  <si>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</si>
  <si>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</si>
  <si>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</si>
  <si>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</si>
  <si>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</si>
  <si>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</si>
  <si>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</si>
  <si>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</si>
  <si>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</si>
  <si>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</si>
  <si>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</si>
  <si>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</si>
  <si>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</si>
  <si>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</si>
  <si>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</si>
  <si>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</si>
  <si>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</si>
  <si>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</si>
  <si>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</si>
  <si>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</si>
  <si>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</si>
  <si>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</si>
  <si>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</si>
  <si>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</si>
  <si>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</si>
  <si>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</si>
  <si>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</si>
  <si>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</si>
  <si>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</si>
  <si>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</si>
  <si>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</si>
  <si>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</si>
  <si>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</si>
  <si>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</si>
  <si>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</si>
  <si>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</si>
  <si>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</si>
  <si>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</si>
  <si>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</si>
  <si>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</si>
  <si>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</si>
  <si>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</si>
  <si>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</si>
  <si>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</si>
  <si>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</si>
  <si>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</si>
  <si>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</si>
  <si>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</si>
  <si>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</si>
  <si>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</si>
  <si>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</si>
  <si>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</si>
  <si>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</si>
  <si>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</si>
  <si>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</si>
  <si>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</si>
  <si>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</si>
  <si>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</si>
  <si>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</si>
  <si>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</si>
  <si>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</si>
  <si>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</si>
  <si>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</si>
  <si>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</si>
  <si>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</si>
  <si>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</si>
  <si>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</si>
  <si>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</si>
  <si>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</si>
  <si>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</si>
  <si>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</si>
  <si>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</si>
  <si>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</si>
  <si>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</si>
  <si>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</si>
  <si>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</si>
  <si>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</si>
  <si>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</si>
  <si>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</si>
  <si>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</si>
  <si>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</si>
  <si>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</si>
  <si>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</si>
  <si>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</si>
  <si>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</si>
  <si>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</si>
  <si>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</si>
  <si>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</si>
  <si>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</si>
  <si>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</si>
  <si>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</si>
  <si>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</si>
  <si>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</si>
  <si>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</si>
  <si>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</si>
  <si>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</si>
  <si>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</si>
  <si>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</si>
  <si>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</si>
  <si>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</si>
  <si>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</si>
  <si>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</si>
  <si>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</si>
  <si>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</si>
  <si>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</si>
  <si>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</si>
  <si>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</si>
  <si>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</si>
  <si>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</si>
  <si>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</si>
  <si>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</si>
  <si>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</si>
  <si>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</si>
  <si>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</si>
  <si>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</si>
  <si>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</si>
  <si>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</si>
  <si>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</si>
  <si>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</si>
  <si>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</si>
  <si>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</si>
  <si>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</si>
  <si>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</si>
  <si>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</si>
  <si>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</si>
  <si>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</si>
  <si>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</si>
  <si>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</si>
  <si>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</si>
  <si>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</si>
  <si>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</si>
  <si>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</si>
  <si>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</si>
  <si>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</si>
  <si>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</si>
  <si>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</si>
  <si>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</si>
  <si>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</si>
  <si>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</si>
  <si>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</si>
  <si>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</si>
  <si>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</si>
  <si>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</si>
  <si>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</si>
  <si>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</si>
  <si>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</si>
  <si>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</si>
  <si>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</si>
  <si>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</si>
  <si>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</si>
  <si>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</si>
  <si>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</si>
  <si>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</si>
  <si>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</si>
  <si>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</si>
  <si>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</si>
  <si>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</si>
  <si>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</si>
  <si>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</si>
  <si>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</si>
  <si>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</si>
  <si>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</si>
  <si>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</si>
  <si>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</si>
  <si>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</si>
  <si>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</si>
  <si>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</si>
  <si>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</si>
  <si>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</si>
  <si>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</si>
  <si>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</si>
  <si>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</si>
  <si>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</si>
  <si>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</si>
  <si>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</si>
  <si>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</si>
  <si>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</si>
  <si>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</si>
  <si>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</si>
  <si>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</si>
  <si>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</si>
  <si>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</si>
  <si>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</si>
  <si>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</si>
  <si>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</si>
  <si>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</si>
  <si>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</si>
  <si>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</si>
  <si>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</si>
  <si>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</si>
  <si>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</si>
  <si>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</si>
  <si>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</si>
  <si>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</si>
  <si>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</si>
  <si>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</si>
  <si>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</si>
  <si>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</si>
  <si>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</si>
  <si>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</si>
  <si>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</si>
  <si>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</si>
  <si>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</si>
  <si>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</si>
  <si>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</si>
  <si>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</si>
  <si>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</si>
  <si>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</si>
  <si>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</si>
  <si>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</si>
  <si>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</si>
  <si>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</si>
  <si>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</si>
  <si>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</si>
  <si>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</si>
  <si>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</si>
  <si>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</si>
  <si>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</si>
  <si>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</si>
  <si>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</si>
  <si>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</si>
  <si>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</si>
  <si>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</si>
  <si>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</si>
  <si>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</si>
  <si>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</si>
  <si>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</si>
  <si>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</si>
  <si>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</si>
  <si>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</si>
  <si>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</si>
  <si>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</si>
  <si>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</si>
  <si>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</si>
  <si>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</si>
  <si>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</si>
  <si>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</si>
  <si>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</si>
  <si>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</si>
  <si>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</si>
  <si>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</si>
  <si>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</si>
  <si>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</si>
  <si>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</si>
  <si>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</si>
  <si>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</si>
  <si>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</si>
  <si>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</si>
  <si>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</si>
  <si>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</si>
  <si>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</si>
  <si>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</si>
  <si>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</si>
  <si>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</si>
  <si>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</si>
  <si>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</si>
  <si>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</si>
  <si>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</si>
  <si>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</si>
  <si>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</si>
  <si>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</si>
  <si>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</si>
  <si>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</si>
  <si>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</si>
  <si>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</si>
  <si>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</si>
  <si>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</si>
  <si>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</si>
  <si>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</si>
  <si>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</si>
  <si>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</si>
  <si>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</si>
  <si>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</si>
  <si>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</si>
  <si>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</si>
  <si>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</si>
  <si>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</si>
  <si>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</si>
  <si>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</si>
  <si>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</si>
  <si>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</si>
  <si>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</si>
  <si>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</si>
  <si>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</si>
  <si>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</si>
  <si>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</si>
  <si>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</si>
  <si>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</si>
  <si>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</si>
  <si>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</si>
  <si>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</si>
  <si>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</si>
  <si>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</si>
  <si>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</si>
  <si>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</si>
  <si>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</si>
  <si>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</si>
  <si>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</si>
  <si>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</si>
  <si>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</si>
  <si>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</si>
  <si>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</si>
  <si>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</si>
  <si>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</si>
  <si>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</si>
  <si>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</si>
  <si>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</si>
  <si>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</si>
  <si>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</si>
  <si>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</si>
  <si>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</si>
  <si>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</si>
  <si>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</si>
  <si>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</si>
  <si>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</si>
  <si>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</si>
  <si>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</si>
  <si>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</si>
  <si>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</si>
  <si>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</si>
  <si>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</si>
  <si>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</si>
  <si>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</si>
  <si>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</si>
  <si>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</si>
  <si>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</si>
  <si>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</si>
  <si>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</si>
  <si>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</si>
  <si>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</si>
  <si>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</si>
  <si>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</si>
  <si>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</si>
  <si>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</si>
  <si>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</si>
  <si>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</si>
  <si>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</si>
  <si>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</si>
  <si>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</si>
  <si>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</si>
  <si>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</si>
  <si>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</si>
  <si>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</si>
  <si>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</si>
  <si>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</si>
  <si>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</si>
  <si>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</si>
  <si>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</si>
  <si>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</si>
  <si>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</si>
  <si>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</si>
  <si>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</si>
  <si>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</si>
  <si>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</si>
  <si>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</si>
  <si>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</si>
  <si>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</si>
  <si>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</si>
  <si>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</si>
  <si>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</si>
  <si>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</si>
  <si>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</si>
  <si>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</si>
  <si>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</si>
  <si>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</si>
  <si>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</si>
  <si>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</si>
  <si>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</si>
  <si>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</si>
  <si>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</si>
  <si>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</si>
  <si>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</si>
  <si>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</si>
  <si>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</si>
  <si>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</si>
  <si>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</si>
  <si>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</si>
  <si>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</si>
  <si>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</si>
  <si>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</si>
  <si>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</si>
  <si>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</si>
  <si>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</si>
  <si>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</si>
  <si>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</si>
  <si>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</si>
  <si>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</si>
  <si>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</si>
  <si>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</si>
  <si>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</si>
  <si>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</si>
  <si>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</si>
  <si>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</si>
  <si>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</si>
  <si>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</si>
  <si>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</si>
  <si>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</si>
  <si>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</si>
  <si>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</si>
  <si>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</si>
  <si>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</si>
  <si>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</si>
  <si>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</si>
  <si>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</si>
  <si>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</si>
  <si>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</si>
  <si>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</si>
  <si>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</si>
  <si>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</si>
  <si>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</si>
  <si>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</si>
  <si>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</si>
  <si>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</si>
  <si>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</si>
  <si>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</si>
  <si>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</si>
  <si>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</si>
  <si>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</si>
  <si>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</si>
  <si>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</si>
  <si>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</si>
  <si>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</si>
  <si>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</si>
  <si>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</si>
  <si>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</si>
  <si>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</si>
  <si>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</si>
  <si>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</si>
  <si>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</si>
  <si>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</si>
  <si>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</si>
  <si>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</si>
  <si>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</si>
  <si>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</si>
  <si>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</si>
  <si>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</si>
  <si>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</si>
  <si>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</si>
  <si>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</si>
  <si>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</si>
  <si>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</si>
  <si>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</si>
  <si>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</si>
  <si>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</si>
  <si>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</si>
  <si>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</si>
  <si>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</si>
  <si>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</si>
  <si>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</si>
  <si>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</si>
  <si>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</si>
  <si>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</si>
  <si>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</si>
  <si>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</si>
  <si>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</si>
  <si>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</si>
  <si>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</si>
  <si>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</si>
  <si>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</si>
  <si>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</si>
  <si>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</si>
  <si>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</si>
  <si>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</si>
  <si>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</si>
  <si>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</si>
  <si>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</si>
  <si>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</si>
  <si>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</si>
  <si>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</si>
  <si>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</si>
  <si>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</si>
  <si>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</si>
  <si>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</si>
  <si>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</si>
  <si>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</si>
  <si>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</si>
  <si>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</si>
  <si>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</si>
  <si>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</si>
  <si>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</si>
  <si>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</si>
  <si>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</si>
  <si>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</si>
  <si>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</si>
  <si>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</si>
  <si>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</si>
  <si>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</si>
  <si>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</si>
  <si>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</si>
  <si>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</si>
  <si>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</si>
  <si>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</si>
  <si>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</si>
  <si>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</si>
  <si>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</si>
  <si>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</si>
  <si>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</si>
  <si>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</si>
  <si>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</si>
  <si>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</si>
  <si>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</si>
  <si>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</si>
  <si>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</si>
  <si>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</si>
  <si>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</si>
  <si>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</si>
  <si>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</si>
  <si>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</si>
  <si>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</si>
  <si>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</si>
  <si>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</si>
  <si>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</si>
  <si>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</si>
  <si>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</si>
  <si>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</si>
  <si>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</si>
  <si>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</si>
  <si>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</si>
  <si>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</si>
  <si>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</si>
  <si>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</si>
  <si>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</si>
  <si>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</si>
  <si>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</si>
  <si>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</si>
  <si>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</si>
  <si>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</si>
  <si>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</si>
  <si>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</si>
  <si>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</si>
  <si>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</si>
  <si>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</si>
  <si>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</si>
  <si>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</si>
  <si>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</si>
  <si>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</si>
  <si>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</si>
  <si>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</si>
  <si>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</si>
  <si>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</si>
  <si>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</si>
  <si>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</si>
  <si>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</si>
  <si>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</si>
  <si>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</si>
  <si>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</si>
  <si>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</si>
  <si>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</si>
  <si>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</si>
  <si>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</si>
  <si>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</si>
  <si>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</si>
  <si>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</si>
  <si>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</si>
  <si>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</si>
  <si>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</si>
  <si>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</si>
  <si>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</si>
  <si>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</si>
  <si>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</si>
  <si>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</si>
  <si>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</si>
  <si>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</si>
  <si>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</si>
  <si>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</si>
  <si>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</si>
  <si>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</si>
  <si>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</si>
  <si>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</si>
  <si>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</si>
  <si>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</si>
  <si>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</si>
  <si>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</si>
  <si>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</si>
  <si>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</si>
  <si>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</si>
  <si>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</si>
  <si>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</si>
  <si>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</si>
  <si>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</si>
  <si>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</si>
  <si>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</si>
  <si>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</si>
  <si>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</si>
  <si>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</si>
  <si>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</si>
  <si>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</si>
  <si>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</si>
  <si>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</si>
  <si>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</si>
  <si>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</si>
  <si>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</si>
  <si>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</si>
  <si>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</si>
  <si>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</si>
  <si>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</si>
  <si>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</si>
  <si>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</si>
  <si>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</si>
  <si>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</si>
  <si>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</si>
  <si>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</si>
  <si>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</si>
  <si>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</si>
  <si>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</si>
  <si>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</si>
  <si>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</si>
  <si>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</si>
  <si>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</si>
  <si>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</si>
  <si>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</si>
  <si>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</si>
  <si>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</si>
  <si>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</si>
  <si>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</si>
  <si>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</si>
  <si>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</si>
  <si>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</si>
  <si>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</si>
  <si>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</si>
  <si>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</si>
  <si>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</si>
  <si>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</si>
  <si>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</si>
  <si>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</si>
  <si>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</si>
  <si>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</si>
  <si>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</si>
  <si>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</si>
  <si>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</si>
  <si>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</si>
  <si>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</si>
  <si>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</si>
  <si>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</si>
  <si>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</si>
  <si>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</si>
  <si>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</si>
  <si>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</si>
  <si>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</si>
  <si>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</si>
  <si>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</si>
  <si>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</si>
  <si>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</si>
  <si>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</si>
  <si>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</si>
  <si>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</si>
  <si>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</si>
  <si>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</si>
  <si>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</si>
  <si>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</si>
  <si>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</si>
  <si>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</si>
  <si>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</si>
  <si>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</si>
  <si>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</si>
  <si>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</si>
  <si>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</si>
  <si>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</si>
  <si>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</si>
  <si>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</si>
  <si>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</si>
  <si>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</si>
  <si>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</si>
  <si>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</si>
  <si>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</si>
  <si>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</si>
  <si>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</si>
  <si>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</si>
  <si>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</si>
  <si>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</si>
  <si>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</si>
  <si>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</si>
  <si>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</si>
  <si>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</si>
  <si>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</si>
  <si>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</si>
  <si>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</si>
  <si>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</si>
  <si>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</si>
  <si>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</si>
  <si>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</si>
  <si>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</si>
  <si>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</si>
  <si>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</si>
  <si>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</si>
  <si>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</si>
  <si>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</si>
  <si>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</si>
  <si>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</si>
  <si>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</si>
  <si>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</si>
  <si>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</si>
  <si>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</si>
  <si>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</si>
  <si>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</si>
  <si>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</si>
  <si>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</si>
  <si>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</si>
  <si>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</si>
  <si>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</si>
  <si>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</si>
  <si>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</si>
  <si>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</si>
  <si>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</si>
  <si>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</si>
  <si>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</si>
  <si>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</si>
  <si>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</si>
  <si>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</si>
  <si>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</si>
  <si>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</si>
  <si>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</si>
  <si>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</si>
  <si>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</si>
  <si>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</si>
  <si>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</si>
  <si>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</si>
  <si>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</si>
  <si>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</si>
  <si>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</si>
  <si>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</si>
  <si>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</si>
  <si>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</si>
  <si>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</si>
  <si>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</si>
  <si>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</si>
  <si>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</si>
  <si>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</si>
  <si>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</si>
  <si>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</si>
  <si>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</si>
  <si>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</si>
  <si>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</si>
  <si>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</si>
  <si>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</si>
  <si>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</si>
  <si>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</si>
  <si>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</si>
  <si>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</si>
  <si>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</si>
  <si>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</si>
  <si>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</si>
  <si>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</si>
  <si>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</si>
  <si>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</si>
  <si>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</si>
  <si>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</si>
  <si>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</si>
  <si>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</si>
  <si>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</si>
  <si>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</si>
  <si>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</si>
  <si>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</si>
  <si>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</si>
  <si>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</si>
  <si>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</si>
  <si>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</si>
  <si>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</si>
  <si>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</si>
  <si>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</si>
  <si>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</si>
  <si>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</si>
  <si>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</si>
  <si>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</si>
  <si>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</si>
  <si>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</si>
  <si>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</si>
  <si>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</si>
  <si>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</si>
  <si>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</si>
  <si>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</si>
  <si>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</si>
  <si>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</si>
  <si>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</si>
  <si>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</si>
  <si>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</si>
  <si>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</si>
  <si>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</si>
  <si>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</si>
  <si>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</si>
  <si>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</si>
  <si>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</si>
  <si>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</si>
  <si>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</si>
  <si>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</si>
  <si>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</si>
  <si>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</si>
  <si>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</si>
  <si>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</si>
  <si>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</si>
  <si>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</si>
  <si>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</si>
  <si>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</si>
  <si>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</si>
  <si>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</si>
  <si>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</si>
  <si>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</si>
  <si>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</si>
  <si>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</si>
  <si>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</si>
  <si>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</si>
  <si>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</si>
  <si>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</si>
  <si>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</si>
  <si>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</si>
  <si>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</si>
  <si>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</si>
  <si>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</si>
  <si>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</si>
  <si>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</si>
  <si>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</si>
  <si>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</si>
  <si>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</si>
  <si>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</si>
  <si>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</si>
  <si>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</si>
  <si>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</si>
  <si>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</si>
  <si>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</si>
  <si>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</si>
  <si>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</si>
  <si>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</si>
  <si>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</si>
  <si>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</si>
  <si>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</si>
  <si>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</si>
  <si>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</si>
  <si>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</si>
  <si>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</si>
  <si>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</si>
  <si>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</si>
  <si>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</si>
  <si>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</si>
  <si>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</si>
  <si>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</si>
  <si>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</si>
  <si>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</si>
  <si>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</si>
  <si>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</si>
  <si>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</si>
  <si>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</si>
  <si>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</si>
  <si>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</si>
  <si>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</si>
  <si>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</si>
  <si>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</si>
  <si>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</si>
  <si>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</si>
  <si>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</si>
  <si>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</si>
  <si>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</si>
  <si>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</si>
  <si>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</si>
  <si>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</si>
  <si>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</si>
  <si>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</si>
  <si>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</si>
  <si>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</si>
  <si>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</si>
  <si>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</si>
  <si>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</si>
  <si>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</si>
  <si>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</si>
  <si>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</si>
  <si>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</si>
  <si>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</si>
  <si>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</si>
  <si>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</si>
  <si>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</si>
  <si>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</si>
  <si>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</si>
  <si>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</si>
  <si>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</si>
  <si>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</si>
  <si>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</si>
  <si>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</si>
  <si>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</si>
  <si>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</si>
  <si>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</si>
  <si>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</si>
  <si>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</si>
  <si>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</si>
  <si>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</si>
  <si>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</si>
  <si>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</si>
  <si>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</si>
  <si>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</si>
  <si>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</si>
  <si>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</si>
  <si>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</si>
  <si>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</si>
  <si>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</si>
  <si>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</si>
  <si>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</si>
  <si>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</si>
  <si>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</si>
  <si>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</si>
  <si>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</si>
  <si>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</si>
  <si>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</si>
  <si>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</si>
  <si>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</si>
  <si>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</si>
  <si>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</si>
  <si>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</si>
  <si>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</si>
  <si>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</si>
  <si>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</si>
  <si>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</si>
  <si>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</si>
  <si>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</si>
  <si>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</si>
  <si>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</si>
  <si>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</si>
  <si>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</si>
  <si>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</si>
  <si>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</si>
  <si>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</si>
  <si>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</si>
  <si>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</si>
  <si>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</si>
  <si>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</si>
  <si>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</si>
  <si>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</si>
  <si>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</si>
  <si>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</si>
  <si>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</si>
  <si>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</si>
  <si>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</si>
  <si>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</si>
  <si>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</si>
  <si>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</si>
  <si>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</si>
  <si>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</si>
  <si>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</si>
  <si>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</si>
  <si>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</si>
  <si>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</si>
  <si>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</si>
  <si>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</si>
  <si>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</si>
  <si>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</si>
  <si>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</si>
  <si>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</si>
  <si>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</si>
  <si>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</si>
  <si>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</si>
  <si>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</si>
  <si>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</si>
  <si>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</si>
  <si>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</si>
  <si>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</si>
  <si>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</si>
  <si>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</si>
  <si>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</si>
  <si>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</si>
  <si>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</si>
  <si>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</si>
  <si>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</si>
  <si>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</si>
  <si>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</si>
  <si>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</si>
  <si>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</si>
  <si>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</si>
  <si>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</si>
  <si>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</si>
  <si>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</si>
  <si>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</si>
  <si>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</si>
  <si>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</si>
  <si>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</si>
  <si>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</si>
  <si>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</si>
  <si>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</si>
  <si>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</si>
  <si>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</si>
  <si>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</si>
  <si>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</si>
  <si>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</si>
  <si>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</si>
  <si>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</si>
  <si>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</si>
  <si>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</si>
  <si>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</si>
  <si>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</si>
  <si>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</si>
  <si>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</si>
  <si>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</si>
  <si>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</si>
  <si>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</si>
  <si>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</si>
  <si>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</si>
  <si>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</si>
  <si>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</si>
  <si>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</si>
  <si>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</si>
  <si>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</si>
  <si>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</si>
  <si>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</si>
  <si>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</si>
  <si>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</si>
  <si>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</si>
  <si>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</si>
  <si>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</si>
  <si>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</si>
  <si>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</si>
  <si>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</si>
  <si>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</si>
  <si>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</si>
  <si>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</si>
  <si>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</si>
  <si>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</si>
  <si>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</si>
  <si>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</si>
  <si>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</si>
  <si>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</si>
  <si>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</si>
  <si>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</si>
  <si>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</si>
  <si>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</si>
  <si>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</si>
  <si>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</si>
  <si>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</si>
  <si>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</si>
  <si>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</si>
  <si>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</si>
  <si>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</si>
  <si>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</si>
  <si>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</si>
  <si>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</si>
  <si>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</si>
  <si>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</si>
  <si>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</si>
  <si>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</si>
  <si>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</si>
  <si>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</si>
  <si>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</si>
  <si>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</si>
  <si>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</si>
  <si>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</si>
  <si>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</si>
  <si>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</si>
  <si>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</si>
  <si>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</si>
  <si>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</si>
  <si>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</si>
  <si>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</si>
  <si>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</si>
  <si>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</si>
  <si>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</si>
  <si>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</si>
  <si>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</si>
  <si>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</si>
  <si>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</si>
  <si>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</si>
  <si>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</si>
  <si>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</si>
  <si>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</si>
  <si>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</si>
  <si>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</si>
  <si>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</si>
  <si>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</si>
  <si>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</si>
  <si>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</si>
  <si>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</si>
  <si>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</si>
  <si>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</si>
  <si>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</si>
  <si>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</si>
  <si>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</si>
  <si>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</si>
  <si>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</si>
  <si>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</si>
  <si>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</si>
  <si>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</si>
  <si>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</si>
  <si>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</si>
  <si>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</si>
  <si>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</si>
  <si>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</si>
  <si>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</si>
  <si>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</si>
  <si>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</si>
  <si>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</si>
  <si>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</si>
  <si>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</si>
  <si>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</si>
  <si>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</si>
  <si>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</si>
  <si>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</si>
  <si>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</si>
  <si>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</si>
  <si>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</si>
  <si>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</si>
  <si>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</si>
  <si>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</si>
  <si>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</si>
  <si>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</si>
  <si>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</si>
  <si>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</si>
  <si>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</si>
  <si>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</si>
  <si>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</si>
  <si>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</si>
  <si>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</si>
  <si>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</si>
  <si>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</si>
  <si>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</si>
  <si>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</si>
  <si>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</si>
  <si>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</si>
  <si>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</si>
  <si>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</si>
  <si>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</si>
  <si>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</si>
  <si>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</si>
  <si>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</si>
  <si>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</si>
  <si>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</si>
  <si>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</si>
  <si>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</si>
  <si>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</si>
  <si>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</si>
  <si>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</si>
  <si>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</si>
  <si>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</si>
  <si>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</si>
  <si>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</si>
  <si>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</si>
  <si>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</si>
  <si>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</si>
  <si>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</si>
  <si>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</si>
  <si>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</si>
  <si>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</si>
  <si>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</si>
  <si>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</si>
  <si>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</si>
  <si>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</si>
  <si>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</si>
  <si>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</si>
  <si>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</si>
  <si>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</si>
  <si>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</si>
  <si>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</si>
  <si>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</si>
  <si>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</si>
  <si>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</si>
  <si>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</si>
  <si>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</si>
  <si>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</si>
  <si>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</si>
  <si>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</si>
  <si>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</si>
  <si>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</si>
  <si>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</si>
  <si>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</si>
  <si>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</si>
  <si>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</si>
  <si>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</si>
  <si>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</si>
  <si>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</si>
  <si>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</si>
  <si>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</si>
  <si>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</si>
  <si>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</si>
  <si>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</si>
  <si>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</si>
  <si>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</si>
  <si>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</si>
  <si>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</si>
  <si>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</si>
  <si>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</si>
  <si>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</si>
  <si>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</si>
  <si>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</si>
  <si>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</si>
  <si>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</si>
  <si>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</si>
  <si>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</si>
  <si>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</si>
  <si>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</si>
  <si>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</si>
  <si>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</si>
  <si>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</si>
  <si>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</si>
  <si>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</si>
  <si>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</si>
  <si>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</si>
  <si>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</si>
  <si>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</si>
  <si>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</si>
  <si>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</si>
  <si>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</si>
  <si>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</si>
  <si>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</si>
  <si>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</si>
  <si>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</si>
  <si>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</si>
  <si>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</si>
  <si>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</si>
  <si>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</si>
  <si>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</si>
  <si>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</si>
  <si>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</si>
  <si>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</si>
  <si>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</si>
  <si>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</si>
  <si>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</si>
  <si>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</si>
  <si>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</si>
  <si>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</si>
  <si>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</si>
  <si>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</si>
  <si>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</si>
  <si>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</si>
  <si>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</si>
  <si>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</si>
  <si>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</si>
  <si>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</si>
  <si>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</si>
  <si>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</si>
  <si>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</si>
  <si>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</si>
  <si>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</si>
  <si>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</si>
  <si>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</si>
  <si>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</si>
  <si>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</si>
  <si>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</si>
  <si>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</si>
  <si>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</si>
  <si>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</si>
  <si>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</si>
  <si>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</si>
  <si>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</si>
  <si>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</si>
  <si>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</si>
  <si>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</si>
  <si>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</si>
  <si>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</si>
  <si>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</si>
  <si>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</si>
  <si>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</si>
  <si>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</si>
  <si>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</si>
  <si>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</si>
  <si>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</si>
  <si>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</si>
  <si>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</si>
  <si>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</si>
  <si>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</si>
  <si>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</si>
  <si>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</si>
  <si>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</si>
  <si>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</si>
  <si>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</si>
  <si>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</si>
  <si>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</si>
  <si>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</si>
  <si>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</si>
  <si>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</si>
  <si>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</si>
  <si>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</si>
  <si>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</si>
  <si>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</si>
  <si>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</si>
  <si>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</si>
  <si>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</si>
  <si>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</si>
  <si>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</si>
  <si>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</si>
  <si>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</si>
  <si>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</si>
  <si>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</si>
  <si>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</si>
  <si>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</si>
  <si>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</si>
  <si>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</si>
  <si>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</si>
  <si>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</si>
  <si>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</si>
  <si>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</si>
  <si>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</si>
  <si>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</si>
  <si>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</si>
  <si>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</si>
  <si>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</si>
  <si>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</si>
  <si>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</si>
  <si>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</si>
  <si>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</si>
  <si>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</si>
  <si>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</si>
  <si>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</si>
  <si>
    <r>
      <rPr>
        <b/>
        <sz val="11"/>
        <rFont val="仿宋_GB2312"/>
        <family val="3"/>
        <charset val="134"/>
      </rPr>
      <t>估价对象</t>
    </r>
    <r>
      <rPr>
        <b/>
        <sz val="11"/>
        <color theme="9" tint="-0.249977111117893"/>
        <rFont val="宋体"/>
        <family val="3"/>
        <charset val="134"/>
      </rPr>
      <t>1</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</si>
  <si>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单位面积地价</t>
  </si>
  <si>
    <t>土地（套用方法）</t>
  </si>
  <si>
    <t>崔锴</t>
  </si>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</sst>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
      <b/>
      <sz val="11"/>
      <color theme="9" tint="-0.249977111117893"/>
      <name val="宋体"/>
      <family val="3"/>
      <charset val="134"/>
    </font>
    <font>
      <b/>
      <sz val="1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280" fillId="0" borderId="11" xfId="0" applyFont="1" applyBorder="1" applyAlignment="1" applyProtection="1">
      <alignment horizontal="center" vertical="center"/>
      <protection locked="0"/>
    </xf>
    <xf numFmtId="0" fontId="71" fillId="8" borderId="2"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 xmlns:a16="http://schemas.microsoft.com/office/drawing/2014/main"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 xmlns:a16="http://schemas.microsoft.com/office/drawing/2014/main"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 xmlns:a16="http://schemas.microsoft.com/office/drawing/2014/main"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 xmlns:a16="http://schemas.microsoft.com/office/drawing/2014/main"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70880</v>
          </cell>
          <cell r="C14">
            <v>28352</v>
          </cell>
          <cell r="D14">
            <v>7497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19"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2649</v>
      </c>
      <c r="B1" s="2845" t="s">
        <v>2746</v>
      </c>
    </row>
    <row r="2" spans="1:55" s="2849" customFormat="1" ht="15"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崔锴、赵雯</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2656</v>
      </c>
      <c r="B5" s="2854" t="str">
        <f>'预评函-封皮'!B49</f>
        <v>康正预评字号</v>
      </c>
    </row>
    <row r="6" spans="1:55" s="2855" customFormat="1" ht="15"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5208</v>
      </c>
    </row>
    <row r="47" spans="1:2">
      <c r="A47" s="2831" t="s">
        <v>2717</v>
      </c>
      <c r="B47" s="2832">
        <f ca="1">'预评函-2'!Q5</f>
        <v>2083</v>
      </c>
    </row>
    <row r="48" spans="1:2">
      <c r="A48" s="2831" t="s">
        <v>2718</v>
      </c>
      <c r="B48" s="2832">
        <f ca="1">'预评函-2'!R5</f>
        <v>33606</v>
      </c>
    </row>
    <row r="49" spans="1:2">
      <c r="A49" s="2831" t="s">
        <v>2734</v>
      </c>
      <c r="B49" s="2832" t="str">
        <f>'预评函-2'!A6</f>
        <v>抵押价格</v>
      </c>
    </row>
    <row r="50" spans="1:2">
      <c r="A50" s="2831" t="s">
        <v>2719</v>
      </c>
      <c r="B50" s="2832">
        <f ca="1">'预评函-2'!R6</f>
        <v>33606</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5" thickBot="1">
      <c r="A54" s="2853" t="s">
        <v>2721</v>
      </c>
      <c r="B54" s="2854" t="str">
        <f>'预评函-2'!R8</f>
        <v>——</v>
      </c>
    </row>
    <row r="55" spans="1:2" ht="15"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5" thickBot="1">
      <c r="A58" s="2853" t="s">
        <v>2722</v>
      </c>
      <c r="B58" s="2854" t="str">
        <f>'预评函-3'!A5</f>
        <v>4.影响价格的其他限定条件：无。</v>
      </c>
    </row>
    <row r="59" spans="1:2" ht="15"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2685</v>
      </c>
      <c r="B68" s="2857">
        <f>'预评函-3'!D30</f>
        <v>42558</v>
      </c>
    </row>
    <row r="69" spans="1:2" ht="15" thickTop="1">
      <c r="A69" s="2842" t="s">
        <v>2683</v>
      </c>
      <c r="B69" s="2843" t="str">
        <f>'预评函-3'!A20</f>
        <v>崔锴</v>
      </c>
    </row>
    <row r="70" spans="1:2">
      <c r="A70" s="2831" t="s">
        <v>2683</v>
      </c>
      <c r="B70" s="2838">
        <f ca="1">'预评函-3'!B20</f>
        <v>2010110070</v>
      </c>
    </row>
    <row r="71" spans="1:2">
      <c r="A71" s="2831" t="s">
        <v>2684</v>
      </c>
      <c r="B71" s="2832" t="str">
        <f>'预评函-3'!A21</f>
        <v>赵雯</v>
      </c>
    </row>
    <row r="72" spans="1:2" s="2846" customFormat="1" ht="15" thickBot="1">
      <c r="A72" s="2853" t="s">
        <v>2684</v>
      </c>
      <c r="B72" s="2859">
        <f ca="1">'预评函-3'!B21</f>
        <v>2011110090</v>
      </c>
    </row>
    <row r="73" spans="1:2" ht="15"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5"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D4" sqref="D4"/>
    </sheetView>
  </sheetViews>
  <sheetFormatPr defaultColWidth="10" defaultRowHeight="14.25"/>
  <cols>
    <col min="1" max="1" width="15.375" style="1673" customWidth="1"/>
    <col min="2" max="2" width="11.375" style="1673" customWidth="1"/>
    <col min="3" max="3" width="12.625" style="1673" customWidth="1"/>
    <col min="4" max="4" width="12.3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1933</v>
      </c>
      <c r="B1" s="3229" t="str">
        <f>IF(B10="北京市","北京市",C10)&amp;F10&amp;B16&amp;"国有建设用地使用权"&amp;B9&amp;"预评估"</f>
        <v>湖南省株洲市醴陵市出让国有建设用地使用权抵押价格预评估</v>
      </c>
      <c r="C1" s="3230"/>
      <c r="D1" s="3230"/>
      <c r="E1" s="3230"/>
      <c r="F1" s="3230"/>
      <c r="G1" s="3230"/>
      <c r="H1" s="3230"/>
      <c r="I1" s="3231"/>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15" thickBot="1">
      <c r="A4" s="1647" t="s">
        <v>1936</v>
      </c>
      <c r="B4" s="1825" t="s">
        <v>3169</v>
      </c>
      <c r="C4" s="1828">
        <f ca="1">SUMIF(土地估价师,B4,估价师及机构信息!E3:E24)</f>
        <v>2010110070</v>
      </c>
      <c r="D4" s="1825" t="s">
        <v>3170</v>
      </c>
      <c r="E4" s="1828">
        <f ca="1">SUMIF(土地估价师,D4,估价师及机构信息!E3:E24)</f>
        <v>2011110090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崔锴、赵雯</v>
      </c>
      <c r="L4" s="1705"/>
      <c r="M4" s="1705"/>
      <c r="N4" s="1676"/>
      <c r="O4" s="1677"/>
      <c r="P4" s="1676"/>
      <c r="Q4" s="1676"/>
      <c r="R4" s="1676"/>
      <c r="S4" s="1676"/>
      <c r="T4" s="1676"/>
      <c r="U4" s="1676"/>
    </row>
    <row r="5" spans="1:21" ht="15"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6.25">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2981</v>
      </c>
      <c r="C8" s="1654"/>
      <c r="D8" s="3235" t="s">
        <v>1940</v>
      </c>
      <c r="E8" s="1826" t="s">
        <v>2988</v>
      </c>
      <c r="F8" s="1655"/>
      <c r="G8" s="1643"/>
      <c r="H8" s="1643"/>
      <c r="I8" s="1689"/>
      <c r="J8" s="1676"/>
      <c r="K8" s="1756"/>
      <c r="L8" s="1705"/>
      <c r="M8" s="1705"/>
      <c r="N8" s="1676"/>
      <c r="O8" s="1677"/>
      <c r="P8" s="1676"/>
      <c r="Q8" s="1676"/>
      <c r="R8" s="1676"/>
      <c r="S8" s="1676"/>
      <c r="T8" s="1676"/>
      <c r="U8" s="1676"/>
    </row>
    <row r="9" spans="1:21" ht="15" thickBot="1">
      <c r="A9" s="1656" t="s">
        <v>1939</v>
      </c>
      <c r="B9" s="1657" t="s">
        <v>2988</v>
      </c>
      <c r="C9" s="1658"/>
      <c r="D9" s="3236"/>
      <c r="E9" s="1657"/>
      <c r="F9" s="1729"/>
      <c r="G9" s="1724"/>
      <c r="H9" s="1724"/>
      <c r="I9" s="1725"/>
      <c r="J9" s="1676"/>
      <c r="K9" s="1756"/>
      <c r="L9" s="1705"/>
      <c r="M9" s="1705"/>
      <c r="N9" s="1676"/>
      <c r="O9" s="1677"/>
      <c r="P9" s="1676"/>
      <c r="Q9" s="1676"/>
      <c r="R9" s="1676"/>
      <c r="S9" s="1676"/>
      <c r="T9" s="1676"/>
      <c r="U9" s="1676"/>
    </row>
    <row r="10" spans="1:21" ht="15" thickTop="1">
      <c r="A10" s="1726" t="s">
        <v>1993</v>
      </c>
      <c r="B10" s="1701" t="s">
        <v>3162</v>
      </c>
      <c r="C10" s="1659"/>
      <c r="D10" s="1650"/>
      <c r="E10" s="1660" t="s">
        <v>1942</v>
      </c>
      <c r="F10" s="3195" t="s">
        <v>3163</v>
      </c>
      <c r="G10" s="1727"/>
      <c r="H10" s="1728"/>
      <c r="I10" s="1650"/>
      <c r="J10" s="1676"/>
      <c r="K10" s="1756"/>
      <c r="L10" s="1705"/>
      <c r="M10" s="1705"/>
      <c r="N10" s="1676"/>
      <c r="O10" s="1677"/>
      <c r="P10" s="1676"/>
      <c r="Q10" s="1676"/>
      <c r="R10" s="1676"/>
      <c r="S10" s="1676"/>
      <c r="T10" s="1676"/>
      <c r="U10" s="1676"/>
    </row>
    <row r="11" spans="1:21">
      <c r="A11" s="1679" t="s">
        <v>1994</v>
      </c>
      <c r="B11" s="1680" t="s">
        <v>2989</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32"/>
      <c r="C12" s="3233"/>
      <c r="D12" s="3234"/>
      <c r="E12" s="1681" t="s">
        <v>2055</v>
      </c>
      <c r="F12" s="3250" t="s">
        <v>2882</v>
      </c>
      <c r="G12" s="3251"/>
      <c r="H12" s="3251"/>
      <c r="I12" s="3252"/>
      <c r="J12" s="1676"/>
      <c r="K12" s="1756"/>
      <c r="L12" s="1705"/>
      <c r="M12" s="1705"/>
      <c r="N12" s="1676"/>
      <c r="O12" s="1677"/>
      <c r="P12" s="1676"/>
      <c r="Q12" s="1676"/>
      <c r="R12" s="1676"/>
      <c r="S12" s="1676"/>
      <c r="T12" s="1676"/>
      <c r="U12" s="1676"/>
    </row>
    <row r="13" spans="1:21">
      <c r="A13" s="1669" t="s">
        <v>2053</v>
      </c>
      <c r="B13" s="3232"/>
      <c r="C13" s="3233"/>
      <c r="D13" s="3234"/>
      <c r="E13" s="1681" t="s">
        <v>2055</v>
      </c>
      <c r="F13" s="3250" t="s">
        <v>2883</v>
      </c>
      <c r="G13" s="3251"/>
      <c r="H13" s="3251"/>
      <c r="I13" s="3252"/>
      <c r="J13" s="1676"/>
      <c r="K13" s="1756"/>
      <c r="L13" s="1705"/>
      <c r="M13" s="1705"/>
      <c r="N13" s="1676"/>
      <c r="O13" s="1677"/>
      <c r="P13" s="1676"/>
      <c r="Q13" s="1676"/>
      <c r="R13" s="1676"/>
      <c r="S13" s="1676"/>
      <c r="T13" s="1676"/>
      <c r="U13" s="1676"/>
    </row>
    <row r="14" spans="1:21">
      <c r="A14" s="1644" t="s">
        <v>2056</v>
      </c>
      <c r="B14" s="1681"/>
      <c r="C14" s="1827" t="s">
        <v>2990</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2976</v>
      </c>
      <c r="C16" s="1681" t="s">
        <v>1944</v>
      </c>
      <c r="D16" s="2608" t="s">
        <v>1945</v>
      </c>
      <c r="E16" s="1704" t="s">
        <v>2991</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47"/>
      <c r="E20" s="3248"/>
      <c r="F20" s="3248"/>
      <c r="G20" s="3248"/>
      <c r="H20" s="3248"/>
      <c r="I20" s="3249"/>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37" t="s">
        <v>1992</v>
      </c>
      <c r="F21" s="3238"/>
      <c r="G21" s="3238"/>
      <c r="H21" s="3238"/>
      <c r="I21" s="3239"/>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37" t="s">
        <v>2884</v>
      </c>
      <c r="F22" s="3238"/>
      <c r="G22" s="3238"/>
      <c r="H22" s="3238"/>
      <c r="I22" s="3239"/>
      <c r="J22" s="1676"/>
      <c r="K22" s="1756"/>
      <c r="L22" s="1705"/>
      <c r="M22" s="1705"/>
      <c r="N22" s="1676"/>
      <c r="O22" s="1677"/>
      <c r="P22" s="1676"/>
      <c r="Q22" s="1676"/>
      <c r="R22" s="1676"/>
      <c r="S22" s="1676"/>
      <c r="T22" s="1676"/>
      <c r="U22" s="1676"/>
    </row>
    <row r="23" spans="1:21" ht="43.5" thickBot="1">
      <c r="A23" s="1747" t="s">
        <v>1958</v>
      </c>
      <c r="B23" s="1683" t="s">
        <v>1959</v>
      </c>
      <c r="C23" s="1684" t="s">
        <v>2992</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40" t="s">
        <v>1962</v>
      </c>
      <c r="C24" s="3241"/>
      <c r="D24" s="3242" t="s">
        <v>1963</v>
      </c>
      <c r="E24" s="3243"/>
      <c r="F24" s="1690" t="s">
        <v>1964</v>
      </c>
      <c r="G24" s="1676"/>
      <c r="H24" s="1676"/>
      <c r="I24" s="1689"/>
      <c r="J24" s="1676"/>
      <c r="K24" s="3228"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28.5">
      <c r="A25" s="1733"/>
      <c r="B25" s="1730" t="s">
        <v>2319</v>
      </c>
      <c r="C25" s="1691" t="s">
        <v>2320</v>
      </c>
      <c r="D25" s="1692"/>
      <c r="E25" s="1693" t="s">
        <v>951</v>
      </c>
      <c r="F25" s="1694"/>
      <c r="G25" s="1676"/>
      <c r="H25" s="1676"/>
      <c r="I25" s="1689"/>
      <c r="J25" s="1676"/>
      <c r="K25" s="322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c r="C26" s="1691"/>
      <c r="D26" s="1643"/>
      <c r="E26" s="1643"/>
      <c r="F26" s="1670"/>
      <c r="G26" s="1676"/>
      <c r="H26" s="1676"/>
      <c r="I26" s="1689"/>
      <c r="J26" s="1676"/>
      <c r="K26" s="322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5" thickTop="1">
      <c r="A31" s="3255" t="s">
        <v>1995</v>
      </c>
      <c r="B31" s="1746" t="s">
        <v>1996</v>
      </c>
      <c r="C31" s="3253" t="s">
        <v>2993</v>
      </c>
      <c r="D31" s="3254"/>
      <c r="E31" s="1676"/>
      <c r="F31" s="1676"/>
      <c r="G31" s="1676"/>
      <c r="H31" s="1676"/>
      <c r="I31" s="1689"/>
      <c r="J31" s="1676"/>
      <c r="K31" s="2420"/>
      <c r="L31" s="1676"/>
      <c r="M31" s="1676"/>
      <c r="N31" s="1676"/>
      <c r="O31" s="1676"/>
      <c r="P31" s="1676"/>
      <c r="Q31" s="1676"/>
      <c r="R31" s="1676"/>
      <c r="S31" s="1676"/>
      <c r="T31" s="1676"/>
      <c r="U31" s="1676"/>
    </row>
    <row r="32" spans="1:21">
      <c r="A32" s="3255"/>
      <c r="B32" s="1644" t="s">
        <v>1997</v>
      </c>
      <c r="C32" s="1701" t="s">
        <v>2994</v>
      </c>
      <c r="D32" s="1702"/>
      <c r="E32" s="1676"/>
      <c r="F32" s="1676"/>
      <c r="G32" s="1676"/>
      <c r="H32" s="1676"/>
      <c r="I32" s="1689"/>
      <c r="J32" s="1676"/>
      <c r="K32" s="2420"/>
      <c r="L32" s="1676"/>
      <c r="M32" s="1676"/>
      <c r="N32" s="1676"/>
      <c r="O32" s="1676"/>
      <c r="P32" s="1676"/>
      <c r="Q32" s="1676"/>
      <c r="R32" s="1676"/>
      <c r="S32" s="1676"/>
      <c r="T32" s="1676"/>
      <c r="U32" s="1676"/>
    </row>
    <row r="33" spans="1:21">
      <c r="A33" s="3255"/>
      <c r="B33" s="1644" t="s">
        <v>1998</v>
      </c>
      <c r="C33" s="1703" t="s">
        <v>2992</v>
      </c>
      <c r="D33" s="1820"/>
      <c r="E33" s="1676"/>
      <c r="F33" s="1676"/>
      <c r="G33" s="1676"/>
      <c r="H33" s="1676"/>
      <c r="I33" s="1689"/>
      <c r="J33" s="1676"/>
      <c r="K33" s="2420"/>
      <c r="L33" s="1676"/>
      <c r="M33" s="1676"/>
      <c r="N33" s="1676"/>
      <c r="O33" s="1676"/>
      <c r="P33" s="1676"/>
      <c r="Q33" s="1676"/>
      <c r="R33" s="1676"/>
      <c r="S33" s="1676"/>
      <c r="T33" s="1676"/>
      <c r="U33" s="1676"/>
    </row>
    <row r="34" spans="1:21">
      <c r="A34" s="3256"/>
      <c r="B34" s="1644" t="s">
        <v>1999</v>
      </c>
      <c r="C34" s="3257"/>
      <c r="D34" s="3258"/>
      <c r="E34" s="1676"/>
      <c r="F34" s="1676"/>
      <c r="G34" s="1676"/>
      <c r="H34" s="1676"/>
      <c r="I34" s="1689"/>
      <c r="J34" s="1676"/>
      <c r="K34" s="2420"/>
      <c r="L34" s="1676"/>
      <c r="M34" s="1676"/>
      <c r="N34" s="1676"/>
      <c r="O34" s="1676"/>
      <c r="P34" s="1676"/>
      <c r="Q34" s="1676"/>
      <c r="R34" s="1676"/>
      <c r="S34" s="1676"/>
      <c r="T34" s="1676"/>
      <c r="U34" s="1676"/>
    </row>
    <row r="35" spans="1:21">
      <c r="A35" s="3259" t="s">
        <v>846</v>
      </c>
      <c r="B35" s="1704" t="s">
        <v>3165</v>
      </c>
      <c r="C35" s="1758" t="str">
        <f>IF(B35="场地平整","——","具体情况：")</f>
        <v>具体情况：</v>
      </c>
      <c r="D35" s="3261"/>
      <c r="E35" s="3262"/>
      <c r="F35" s="3262"/>
      <c r="G35" s="3262"/>
      <c r="H35" s="3262"/>
      <c r="I35" s="3263"/>
      <c r="J35" s="1676"/>
      <c r="K35" s="1757"/>
      <c r="L35" s="1705"/>
      <c r="M35" s="1705"/>
      <c r="N35" s="1676"/>
      <c r="O35" s="1677"/>
      <c r="P35" s="1676"/>
      <c r="Q35" s="1676"/>
      <c r="R35" s="1676"/>
      <c r="S35" s="1676"/>
      <c r="T35" s="1676"/>
      <c r="U35" s="1676"/>
    </row>
    <row r="36" spans="1:21" ht="28.5">
      <c r="A36" s="3255"/>
      <c r="B36" s="3264" t="s">
        <v>2048</v>
      </c>
      <c r="C36" s="3265"/>
      <c r="D36" s="1774" t="s">
        <v>3161</v>
      </c>
      <c r="E36" s="3266"/>
      <c r="F36" s="3266"/>
      <c r="G36" s="1669" t="str">
        <f>IF(B35="场地未平整","估价结果处理","")</f>
        <v>估价结果处理</v>
      </c>
      <c r="H36" s="3267"/>
      <c r="I36" s="3267"/>
      <c r="J36" s="1676"/>
      <c r="K36" s="1757"/>
      <c r="L36" s="1705"/>
      <c r="M36" s="1705"/>
      <c r="N36" s="1676"/>
      <c r="O36" s="1677"/>
      <c r="P36" s="1676"/>
      <c r="Q36" s="1676"/>
      <c r="R36" s="1676"/>
      <c r="S36" s="1676"/>
      <c r="T36" s="1676"/>
      <c r="U36" s="1676"/>
    </row>
    <row r="37" spans="1:21" ht="28.5">
      <c r="A37" s="3255"/>
      <c r="B37" s="3244"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55"/>
      <c r="B38" s="3245"/>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56"/>
      <c r="B39" s="324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2995</v>
      </c>
      <c r="C40" s="1672" t="s">
        <v>2996</v>
      </c>
      <c r="D40" s="1672" t="s">
        <v>2997</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27" t="s">
        <v>1979</v>
      </c>
      <c r="T40" s="1713" t="str">
        <f>NUMBERSTRING(7-K40,1)&amp;"通"</f>
        <v>六通</v>
      </c>
      <c r="U40" s="1676"/>
    </row>
    <row r="41" spans="1:21">
      <c r="A41" s="1646"/>
      <c r="B41" s="3260" t="s">
        <v>1719</v>
      </c>
      <c r="C41" s="3260"/>
      <c r="D41" s="3260"/>
      <c r="E41" s="3260"/>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27"/>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2885</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64529.83</v>
      </c>
      <c r="B3" s="22">
        <f>IF(C3="否",G5-AT5,G5)</f>
        <v>161324.57999999999</v>
      </c>
      <c r="C3" s="23" t="s">
        <v>2992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2998</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2991</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9" t="s">
        <v>203</v>
      </c>
      <c r="B2" s="3279"/>
      <c r="C2" s="3279"/>
      <c r="D2" s="1958" t="s">
        <v>204</v>
      </c>
      <c r="E2" s="106" t="s">
        <v>205</v>
      </c>
      <c r="F2" s="1967"/>
      <c r="G2" s="1193"/>
      <c r="H2" s="1194"/>
      <c r="I2" s="1195" t="s">
        <v>856</v>
      </c>
      <c r="J2" s="1967"/>
      <c r="K2" s="1967"/>
      <c r="L2" s="1967"/>
    </row>
    <row r="3" spans="1:16" ht="15.75" thickBot="1">
      <c r="A3" s="3280" t="s">
        <v>206</v>
      </c>
      <c r="B3" s="3280"/>
      <c r="C3" s="3280"/>
      <c r="D3" s="107">
        <f>'数据-基础表'!AY6</f>
        <v>64529.83</v>
      </c>
      <c r="E3" s="107">
        <f>'数据-基础表'!AZ5</f>
        <v>161324.57999999999</v>
      </c>
      <c r="F3" s="1967"/>
      <c r="G3" s="279" t="s">
        <v>857</v>
      </c>
      <c r="H3" s="274" t="s">
        <v>858</v>
      </c>
      <c r="I3" s="1959">
        <f>ROUND('数据-基础表'!B3/'数据-基础表'!A3,2)</f>
        <v>2.5</v>
      </c>
      <c r="J3" s="1967"/>
      <c r="K3" s="1967"/>
      <c r="L3" s="1967"/>
    </row>
    <row r="4" spans="1:16" ht="15">
      <c r="A4" s="3281"/>
      <c r="B4" s="3282"/>
      <c r="C4" s="3283"/>
      <c r="D4" s="108" t="s">
        <v>204</v>
      </c>
      <c r="E4" s="109" t="s">
        <v>205</v>
      </c>
      <c r="F4" s="1967"/>
      <c r="G4" s="1196"/>
      <c r="H4" s="274" t="s">
        <v>859</v>
      </c>
      <c r="I4" s="1959">
        <f>ROUND(SUMIF('数据-基础表'!I9:AS9,"地上",'数据-基础表'!I5:AS5)/'数据-基础表'!A3,2)</f>
        <v>2.5</v>
      </c>
      <c r="J4" s="1967"/>
      <c r="K4" s="1967"/>
      <c r="L4" s="1967"/>
    </row>
    <row r="5" spans="1:16">
      <c r="A5" s="110" t="s">
        <v>207</v>
      </c>
      <c r="B5" s="3284" t="s">
        <v>230</v>
      </c>
      <c r="C5" s="3284"/>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4" t="s">
        <v>208</v>
      </c>
      <c r="C6" s="3284"/>
      <c r="D6" s="111">
        <f>ROUND($D$3*E6/$E$3,2)</f>
        <v>64529.83</v>
      </c>
      <c r="E6" s="112">
        <f>E3-E5</f>
        <v>161324.57999999999</v>
      </c>
      <c r="F6" s="1967"/>
      <c r="G6" s="1196"/>
      <c r="H6" s="274" t="s">
        <v>859</v>
      </c>
      <c r="I6" s="1959">
        <f>ROUND(F31/D31,2)</f>
        <v>2.5</v>
      </c>
      <c r="J6" s="1967"/>
      <c r="K6" s="1967"/>
      <c r="L6" s="1967"/>
    </row>
    <row r="7" spans="1:16" ht="15">
      <c r="A7" s="3276"/>
      <c r="B7" s="3277"/>
      <c r="C7" s="3278"/>
      <c r="D7" s="108" t="s">
        <v>204</v>
      </c>
      <c r="E7" s="114" t="s">
        <v>231</v>
      </c>
      <c r="F7" s="1967"/>
      <c r="G7" s="1151" t="s">
        <v>1644</v>
      </c>
      <c r="H7" s="1152"/>
      <c r="I7" s="1829"/>
      <c r="J7" s="1967"/>
      <c r="K7" s="1967"/>
      <c r="L7" s="1967"/>
    </row>
    <row r="8" spans="1:16">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64529.83</v>
      </c>
      <c r="E16" s="120">
        <f>SUM(E8:E15)</f>
        <v>161324.57999999999</v>
      </c>
      <c r="F16" s="1967"/>
      <c r="G16" s="1969"/>
      <c r="H16" s="967" t="s">
        <v>219</v>
      </c>
      <c r="I16" s="968"/>
      <c r="J16" s="1967"/>
      <c r="K16" s="3270" t="s">
        <v>2560</v>
      </c>
      <c r="L16" s="3271"/>
      <c r="M16" s="3271"/>
      <c r="N16" s="3271"/>
      <c r="O16" s="3271"/>
      <c r="P16" s="3272"/>
    </row>
    <row r="17" spans="1:19" ht="15">
      <c r="A17" s="121" t="s">
        <v>216</v>
      </c>
      <c r="B17" s="122" t="s">
        <v>217</v>
      </c>
      <c r="C17" s="2281" t="s">
        <v>2307</v>
      </c>
      <c r="D17" s="108" t="s">
        <v>204</v>
      </c>
      <c r="E17" s="124" t="s">
        <v>205</v>
      </c>
      <c r="F17" s="125"/>
      <c r="G17" s="1361"/>
      <c r="H17" s="969" t="s">
        <v>218</v>
      </c>
      <c r="I17" s="970" t="s">
        <v>2306</v>
      </c>
      <c r="J17" s="1967"/>
      <c r="K17" s="3273" t="s">
        <v>2561</v>
      </c>
      <c r="L17" s="3274"/>
      <c r="M17" s="3275"/>
      <c r="N17" s="3273" t="s">
        <v>2562</v>
      </c>
      <c r="O17" s="3274"/>
      <c r="P17" s="3275"/>
      <c r="R17" s="2282" t="s">
        <v>2305</v>
      </c>
      <c r="S17" s="144"/>
    </row>
    <row r="18" spans="1:19" ht="15">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c r="A19" s="133"/>
      <c r="B19" s="115" t="s">
        <v>225</v>
      </c>
      <c r="C19" s="3180" t="s">
        <v>2999</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Z30" sqref="Z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商业</v>
      </c>
      <c r="B6" s="2320" t="str">
        <f>IF(A6=0,"","经营性")</f>
        <v>经营性</v>
      </c>
      <c r="C6" s="173" t="s">
        <v>2991</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7">
        <v>2000</v>
      </c>
      <c r="M6" s="177">
        <f t="shared" ref="M6:M14" si="0">ROUND(K6*L6/10000,0)</f>
        <v>32265</v>
      </c>
      <c r="N6" s="2978">
        <v>0</v>
      </c>
      <c r="O6" s="177">
        <f>IF($N$5="成新度","——",ROUND(M6*N6,0))</f>
        <v>0</v>
      </c>
      <c r="P6" s="178">
        <f>IF($N$5="成新度","——",M6-O6)</f>
        <v>32265</v>
      </c>
      <c r="Q6" s="3188">
        <v>0.1</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1">
        <v>1.3</v>
      </c>
      <c r="V6" s="181">
        <v>2.5000000000000001E-2</v>
      </c>
      <c r="W6" s="3192">
        <v>0.1</v>
      </c>
      <c r="X6" s="2304"/>
      <c r="Y6" s="182">
        <v>1</v>
      </c>
      <c r="Z6" s="183"/>
      <c r="AA6" s="176"/>
      <c r="AB6" s="176"/>
      <c r="AC6" s="2307"/>
      <c r="AD6" s="184"/>
      <c r="AE6" s="971">
        <f ca="1">IF(AN6="",0,SUMIF(INDIRECT("'"&amp;AN6&amp;"'"&amp;"!E:E"),$AE$5,INDIRECT("'"&amp;AN6&amp;"'"&amp;"!F:F")))</f>
        <v>31.729999999999997</v>
      </c>
      <c r="AF6" s="141"/>
      <c r="AG6" s="1208">
        <f>IF(AF6="",0,AE6-AF6)</f>
        <v>0</v>
      </c>
      <c r="AH6" s="141"/>
      <c r="AI6" s="187">
        <v>365</v>
      </c>
      <c r="AJ6" s="188"/>
      <c r="AK6" s="189">
        <v>1.2E-2</v>
      </c>
      <c r="AL6" s="3189">
        <v>1.15E-3</v>
      </c>
      <c r="AM6" s="3190">
        <v>1.4E-2</v>
      </c>
      <c r="AN6" s="2354" t="s">
        <v>3000</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0.1</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f ca="1">结果表!G19</f>
        <v>33735</v>
      </c>
      <c r="V25" s="1972"/>
      <c r="W25" s="1972">
        <v>33735</v>
      </c>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80</v>
      </c>
      <c r="C31" s="2329"/>
      <c r="D31" s="1979"/>
      <c r="E31" s="1977"/>
      <c r="F31" s="1977"/>
      <c r="G31" s="1975"/>
      <c r="H31" s="1975"/>
      <c r="I31" s="1975"/>
      <c r="J31" s="1975"/>
      <c r="K31" s="1974"/>
      <c r="L31" s="1974"/>
      <c r="M31" s="1972"/>
      <c r="N31" s="1972"/>
      <c r="O31" s="1972"/>
      <c r="P31" s="1972">
        <v>1</v>
      </c>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3">
        <v>70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4">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2887</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193">
        <v>0.01</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0.01</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0.04</v>
      </c>
      <c r="C48" s="3024"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0" t="s">
        <v>1095</v>
      </c>
      <c r="C53" s="3025" t="s">
        <v>2897</v>
      </c>
      <c r="D53" s="3026"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2899</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2900</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2901</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2902</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2903</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2904</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2908</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5" t="s">
        <v>1662</v>
      </c>
      <c r="B1" s="3286"/>
      <c r="C1" s="3286"/>
      <c r="D1" s="3286"/>
      <c r="E1" s="3286"/>
      <c r="F1" s="3286"/>
      <c r="G1" s="3286"/>
      <c r="H1" s="1985"/>
      <c r="I1" s="1986"/>
      <c r="J1" s="1987"/>
      <c r="K1" s="1985"/>
      <c r="L1" s="1986"/>
      <c r="M1" s="1987"/>
      <c r="N1" s="1985"/>
      <c r="O1" s="1986"/>
      <c r="P1" s="1987"/>
      <c r="Q1" s="1988"/>
      <c r="R1" s="1989"/>
    </row>
    <row r="2" spans="1:18" ht="14.25" thickBot="1">
      <c r="A2" s="1216"/>
      <c r="B2" s="1217"/>
      <c r="C2" s="1218" t="s">
        <v>1663</v>
      </c>
      <c r="D2" s="1219"/>
      <c r="E2" s="1220"/>
      <c r="F2" s="1221"/>
      <c r="G2" s="1218" t="s">
        <v>1664</v>
      </c>
      <c r="H2" s="1991"/>
      <c r="I2" s="1991"/>
      <c r="J2" s="1991"/>
      <c r="K2" s="1991"/>
      <c r="L2" s="1991"/>
      <c r="M2" s="1991"/>
      <c r="N2" s="1991"/>
      <c r="O2" s="1991"/>
      <c r="P2" s="1991"/>
      <c r="Q2" s="1991"/>
      <c r="R2" s="1991"/>
    </row>
    <row r="3" spans="1:18" ht="42.75">
      <c r="A3" s="1222" t="s">
        <v>1665</v>
      </c>
      <c r="B3" s="1223" t="s">
        <v>1652</v>
      </c>
      <c r="C3" s="3030"/>
      <c r="D3" s="1992"/>
      <c r="E3" s="1224" t="s">
        <v>1665</v>
      </c>
      <c r="F3" s="1225" t="s">
        <v>1653</v>
      </c>
      <c r="G3" s="3034" t="s">
        <v>2913</v>
      </c>
      <c r="H3" s="1991"/>
      <c r="I3" s="1991"/>
      <c r="J3" s="1991"/>
      <c r="K3" s="1991"/>
      <c r="L3" s="1991"/>
      <c r="M3" s="1991"/>
      <c r="N3" s="1991"/>
      <c r="O3" s="1991"/>
      <c r="P3" s="1991"/>
      <c r="Q3" s="1991"/>
      <c r="R3" s="1991"/>
    </row>
    <row r="4" spans="1:18" ht="40.5">
      <c r="A4" s="1224"/>
      <c r="B4" s="1226" t="s">
        <v>1666</v>
      </c>
      <c r="C4" s="3031"/>
      <c r="D4" s="1992"/>
      <c r="E4" s="1227"/>
      <c r="F4" s="1228" t="s">
        <v>1667</v>
      </c>
      <c r="G4" s="3032" t="s">
        <v>2910</v>
      </c>
      <c r="H4" s="1991"/>
      <c r="I4" s="1991"/>
      <c r="J4" s="1991"/>
      <c r="K4" s="1991"/>
      <c r="L4" s="1991"/>
      <c r="M4" s="1991"/>
      <c r="N4" s="1991"/>
      <c r="O4" s="1991"/>
      <c r="P4" s="1991"/>
      <c r="Q4" s="1991"/>
      <c r="R4" s="1991"/>
    </row>
    <row r="5" spans="1:18" ht="27">
      <c r="A5" s="1224"/>
      <c r="B5" s="1226" t="s">
        <v>1668</v>
      </c>
      <c r="C5" s="3031"/>
      <c r="D5" s="1992"/>
      <c r="E5" s="1227"/>
      <c r="F5" s="1226" t="s">
        <v>2540</v>
      </c>
      <c r="G5" s="3032" t="s">
        <v>2911</v>
      </c>
      <c r="H5" s="1991"/>
      <c r="I5" s="1991"/>
      <c r="J5" s="1991"/>
      <c r="K5" s="1991"/>
      <c r="L5" s="1991"/>
      <c r="M5" s="1991"/>
      <c r="N5" s="1991"/>
      <c r="O5" s="1991"/>
      <c r="P5" s="1991"/>
      <c r="Q5" s="1991"/>
      <c r="R5" s="1991"/>
    </row>
    <row r="6" spans="1:18" ht="27">
      <c r="A6" s="1224"/>
      <c r="B6" s="1226" t="s">
        <v>1654</v>
      </c>
      <c r="C6" s="3032"/>
      <c r="D6" s="1992"/>
      <c r="E6" s="1227"/>
      <c r="F6" s="1226" t="s">
        <v>2541</v>
      </c>
      <c r="G6" s="3032" t="s">
        <v>2909</v>
      </c>
      <c r="H6" s="1991"/>
      <c r="I6" s="1991"/>
      <c r="J6" s="1991"/>
      <c r="K6" s="1991"/>
      <c r="L6" s="1991"/>
      <c r="M6" s="1991"/>
      <c r="N6" s="1991"/>
      <c r="O6" s="1991"/>
      <c r="P6" s="1991"/>
      <c r="Q6" s="1991"/>
      <c r="R6" s="1991"/>
    </row>
    <row r="7" spans="1:18" ht="41.25" thickBot="1">
      <c r="A7" s="1224"/>
      <c r="B7" s="1226" t="s">
        <v>2540</v>
      </c>
      <c r="C7" s="3032"/>
      <c r="D7" s="1993"/>
      <c r="E7" s="1229"/>
      <c r="F7" s="1230" t="s">
        <v>1669</v>
      </c>
      <c r="G7" s="3035" t="s">
        <v>2912</v>
      </c>
      <c r="H7" s="1991"/>
      <c r="I7" s="1991"/>
      <c r="J7" s="1991"/>
      <c r="K7" s="1991"/>
      <c r="L7" s="1991"/>
      <c r="M7" s="1991"/>
      <c r="N7" s="1991"/>
      <c r="O7" s="1991"/>
      <c r="P7" s="1991"/>
      <c r="Q7" s="1991"/>
      <c r="R7" s="1991"/>
    </row>
    <row r="8" spans="1:18" ht="14.25">
      <c r="A8" s="1224"/>
      <c r="B8" s="1226" t="s">
        <v>2541</v>
      </c>
      <c r="C8" s="3032"/>
      <c r="D8" s="1993"/>
      <c r="E8" s="1993"/>
      <c r="F8" s="1539"/>
      <c r="G8" s="1539"/>
      <c r="H8" s="1991"/>
      <c r="I8" s="1991"/>
      <c r="J8" s="1991"/>
      <c r="K8" s="1991"/>
      <c r="L8" s="1991"/>
      <c r="M8" s="1991"/>
      <c r="N8" s="1991"/>
      <c r="O8" s="1991"/>
      <c r="P8" s="1991"/>
      <c r="Q8" s="1991"/>
      <c r="R8" s="1991"/>
    </row>
    <row r="9" spans="1:18" ht="14.25">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9"/>
      <c r="E13" s="2540"/>
      <c r="F13" s="2540"/>
      <c r="G13" s="2540"/>
    </row>
    <row r="14" spans="1:18" ht="14.25" thickBot="1">
      <c r="A14" s="1233"/>
      <c r="B14" s="1234"/>
      <c r="C14" s="1235" t="s">
        <v>1663</v>
      </c>
      <c r="D14" s="1992"/>
      <c r="E14" s="1236"/>
      <c r="F14" s="1236"/>
      <c r="G14" s="1218" t="s">
        <v>1664</v>
      </c>
    </row>
    <row r="15" spans="1:18" ht="40.5">
      <c r="A15" s="2550" t="s">
        <v>1656</v>
      </c>
      <c r="B15" s="1237" t="s">
        <v>1652</v>
      </c>
      <c r="C15" s="1238">
        <f>C3</f>
        <v>0</v>
      </c>
      <c r="D15" s="1992"/>
      <c r="E15" s="2547" t="s">
        <v>1657</v>
      </c>
      <c r="F15" s="1237" t="s">
        <v>1672</v>
      </c>
      <c r="G15" s="1239" t="str">
        <f>G3</f>
        <v>估价对象位于XX开发区，园区建设成熟度XX，产业集聚程度XX</v>
      </c>
    </row>
    <row r="16" spans="1:18" ht="40.5">
      <c r="A16" s="2551"/>
      <c r="B16" s="1240" t="s">
        <v>1666</v>
      </c>
      <c r="C16" s="1241">
        <f>C4</f>
        <v>0</v>
      </c>
      <c r="D16" s="1992"/>
      <c r="E16" s="2548"/>
      <c r="F16" s="1242" t="s">
        <v>1667</v>
      </c>
      <c r="G16" s="1004" t="str">
        <f>G4</f>
        <v>估价对象周边道路状况、公共交通通达情况、停车便捷程度，综合评价交通便捷度较好</v>
      </c>
    </row>
    <row r="17" spans="1:7" ht="14.25">
      <c r="A17" s="2551"/>
      <c r="B17" s="1240" t="s">
        <v>1668</v>
      </c>
      <c r="C17" s="1241">
        <f>C5</f>
        <v>0</v>
      </c>
      <c r="D17" s="1993"/>
      <c r="E17" s="2548"/>
      <c r="F17" s="1242" t="s">
        <v>1673</v>
      </c>
      <c r="G17" s="2748"/>
    </row>
    <row r="18" spans="1:7" ht="40.5">
      <c r="A18" s="2551"/>
      <c r="B18" s="1242" t="s">
        <v>1654</v>
      </c>
      <c r="C18" s="1004">
        <f>C6</f>
        <v>0</v>
      </c>
      <c r="D18" s="1993"/>
      <c r="E18" s="2548"/>
      <c r="F18" s="1242" t="s">
        <v>1669</v>
      </c>
      <c r="G18" s="1004" t="str">
        <f>G7</f>
        <v>该园区内是否有污染型企业，绿化情况，卫生条件，整体环境状况判断</v>
      </c>
    </row>
    <row r="19" spans="1:7" ht="27">
      <c r="A19" s="2551"/>
      <c r="B19" s="1242" t="s">
        <v>1658</v>
      </c>
      <c r="C19" s="2748"/>
      <c r="D19" s="1992"/>
      <c r="E19" s="2548"/>
      <c r="F19" s="1226" t="s">
        <v>2540</v>
      </c>
      <c r="G19" s="1004" t="str">
        <f>G5</f>
        <v>估价对象所在区域公共配套设施齐备情况</v>
      </c>
    </row>
    <row r="20" spans="1:7" ht="27">
      <c r="A20" s="2551"/>
      <c r="B20" s="1242" t="s">
        <v>1659</v>
      </c>
      <c r="C20" s="1241">
        <f>C9</f>
        <v>0</v>
      </c>
      <c r="D20" s="1993"/>
      <c r="E20" s="2548"/>
      <c r="F20" s="1226" t="s">
        <v>2541</v>
      </c>
      <c r="G20" s="1004" t="str">
        <f>G6</f>
        <v>估价对象所在区域基础设施水平</v>
      </c>
    </row>
    <row r="21" spans="1:7" ht="14.25">
      <c r="A21" s="2551"/>
      <c r="B21" s="1226" t="s">
        <v>2540</v>
      </c>
      <c r="C21" s="1004">
        <f>C7</f>
        <v>0</v>
      </c>
      <c r="D21" s="1992"/>
      <c r="E21" s="2548"/>
      <c r="F21" s="1242" t="s">
        <v>1660</v>
      </c>
      <c r="G21" s="3036"/>
    </row>
    <row r="22" spans="1:7" ht="14.25">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4.2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D23" sqref="D23"/>
    </sheetView>
  </sheetViews>
  <sheetFormatPr defaultColWidth="14.625" defaultRowHeight="13.5"/>
  <cols>
    <col min="1" max="1" width="24.375" customWidth="1"/>
  </cols>
  <sheetData>
    <row r="1" spans="1:9" ht="16.5">
      <c r="A1" s="2994" t="s">
        <v>2837</v>
      </c>
      <c r="B1" s="2994">
        <f>SUM(B14:B23)</f>
        <v>232204.58</v>
      </c>
      <c r="C1" s="2995"/>
      <c r="D1" s="2995"/>
      <c r="E1" s="2995"/>
      <c r="F1" s="2995"/>
    </row>
    <row r="2" spans="1:9" ht="16.5">
      <c r="A2" s="2994" t="s">
        <v>2838</v>
      </c>
      <c r="B2" s="2994">
        <f>SUM(C14:C23)</f>
        <v>92881.83</v>
      </c>
      <c r="C2" s="2995"/>
      <c r="D2" s="2995"/>
      <c r="E2" s="2995"/>
      <c r="F2" s="2995"/>
    </row>
    <row r="3" spans="1:9" ht="16.5">
      <c r="A3" s="2994" t="s">
        <v>2839</v>
      </c>
      <c r="B3" s="2996">
        <f>项目基本情况!D3</f>
        <v>43882</v>
      </c>
      <c r="C3" s="2995"/>
      <c r="D3" s="2995"/>
      <c r="E3" s="2995"/>
      <c r="F3" s="2995"/>
    </row>
    <row r="4" spans="1:9" ht="33">
      <c r="A4" s="2994" t="s">
        <v>2840</v>
      </c>
      <c r="B4" s="2994" t="s">
        <v>2841</v>
      </c>
      <c r="C4" s="2994" t="s">
        <v>2842</v>
      </c>
      <c r="D4" s="2994" t="s">
        <v>2843</v>
      </c>
      <c r="E4" s="2995"/>
      <c r="F4" s="2995"/>
    </row>
    <row r="5" spans="1:9" ht="16.5">
      <c r="A5" s="2994" t="s">
        <v>2844</v>
      </c>
      <c r="B5" s="2994">
        <f ca="1">SUM(D14:D23)</f>
        <v>41103</v>
      </c>
      <c r="C5" s="2994">
        <f ca="1">ROUND(B5*10000/$B$1,0)</f>
        <v>1770</v>
      </c>
      <c r="D5" s="2994">
        <f ca="1">ROUND(B5*10000/$B$2,0)</f>
        <v>4425</v>
      </c>
      <c r="E5" s="2995"/>
      <c r="F5" s="2995"/>
    </row>
    <row r="6" spans="1:9" ht="16.5">
      <c r="A6" s="2994" t="s">
        <v>2845</v>
      </c>
      <c r="B6" s="2994">
        <f ca="1">SUM(G14:G23)</f>
        <v>41103</v>
      </c>
      <c r="C6" s="2994">
        <f t="shared" ref="C6:C8" ca="1" si="0">ROUND(B6*10000/$B$1,0)</f>
        <v>1770</v>
      </c>
      <c r="D6" s="2994">
        <f t="shared" ref="D6:D8" ca="1" si="1">ROUND(B6*10000/$B$2,0)</f>
        <v>4425</v>
      </c>
      <c r="E6" s="2995"/>
      <c r="F6" s="2995"/>
    </row>
    <row r="7" spans="1:9" ht="16.5">
      <c r="A7" s="2994" t="s">
        <v>2846</v>
      </c>
      <c r="B7" s="2994">
        <f>SUM(H14:H23)</f>
        <v>0</v>
      </c>
      <c r="C7" s="2994">
        <f t="shared" si="0"/>
        <v>0</v>
      </c>
      <c r="D7" s="2994">
        <f t="shared" si="1"/>
        <v>0</v>
      </c>
      <c r="E7" s="2995"/>
      <c r="F7" s="2995"/>
    </row>
    <row r="8" spans="1:9" ht="16.5">
      <c r="A8" s="2994" t="s">
        <v>2847</v>
      </c>
      <c r="B8" s="2994">
        <f>SUM(I14:I23)</f>
        <v>0</v>
      </c>
      <c r="C8" s="2994">
        <f t="shared" si="0"/>
        <v>0</v>
      </c>
      <c r="D8" s="2994">
        <f t="shared" si="1"/>
        <v>0</v>
      </c>
      <c r="E8" s="2995"/>
      <c r="F8" s="2995"/>
    </row>
    <row r="9" spans="1:9" ht="16.5">
      <c r="A9" s="2994" t="s">
        <v>2848</v>
      </c>
      <c r="B9" s="2997"/>
      <c r="C9" s="2995"/>
      <c r="D9" s="2995"/>
      <c r="E9" s="2995"/>
      <c r="F9" s="2995"/>
    </row>
    <row r="10" spans="1:9" ht="16.5">
      <c r="A10" s="2994" t="s">
        <v>2849</v>
      </c>
      <c r="B10" s="2997"/>
      <c r="C10" s="2995"/>
      <c r="D10" s="2995"/>
      <c r="E10" s="2995"/>
      <c r="F10" s="2995"/>
    </row>
    <row r="11" spans="1:9" ht="16.5">
      <c r="A11" s="2994" t="s">
        <v>2866</v>
      </c>
      <c r="B11" s="2997"/>
      <c r="C11" s="2995"/>
      <c r="D11" s="2995"/>
      <c r="E11" s="2995"/>
      <c r="F11" s="2995"/>
    </row>
    <row r="12" spans="1:9" ht="16.5">
      <c r="A12" s="2995"/>
      <c r="B12" s="2995"/>
      <c r="C12" s="2995"/>
      <c r="D12" s="2995"/>
      <c r="E12" s="2995"/>
      <c r="F12" s="2995"/>
    </row>
    <row r="13" spans="1:9" ht="33">
      <c r="A13" s="3000" t="s">
        <v>2865</v>
      </c>
      <c r="B13" s="2998" t="s">
        <v>2837</v>
      </c>
      <c r="C13" s="2998" t="s">
        <v>2838</v>
      </c>
      <c r="D13" s="2998" t="s">
        <v>2850</v>
      </c>
      <c r="E13" s="2994" t="s">
        <v>2864</v>
      </c>
      <c r="F13" s="2994" t="s">
        <v>2843</v>
      </c>
      <c r="G13" s="2998" t="s">
        <v>2851</v>
      </c>
      <c r="H13" s="2998" t="s">
        <v>2852</v>
      </c>
      <c r="I13" s="2998" t="s">
        <v>2853</v>
      </c>
    </row>
    <row r="14" spans="1:9" ht="16.5">
      <c r="A14" s="3001" t="s">
        <v>2863</v>
      </c>
      <c r="B14" s="2998">
        <f>结果表!L38</f>
        <v>161324.57999999999</v>
      </c>
      <c r="C14" s="2998">
        <f>结果表!K38</f>
        <v>64529.83</v>
      </c>
      <c r="D14" s="2998">
        <f ca="1">结果表!C42</f>
        <v>33606</v>
      </c>
      <c r="E14" s="2998">
        <f ca="1">ROUND(D14*10000/B14,0)</f>
        <v>2083</v>
      </c>
      <c r="F14" s="2998">
        <f ca="1">ROUND(D14*10000/C14,0)</f>
        <v>5208</v>
      </c>
      <c r="G14" s="2998">
        <f ca="1">结果表!C44</f>
        <v>33606</v>
      </c>
      <c r="H14" s="2998" t="str">
        <f>结果表!C45</f>
        <v>——</v>
      </c>
      <c r="I14" s="2998" t="str">
        <f>结果表!C46</f>
        <v>——</v>
      </c>
    </row>
    <row r="15" spans="1:9" ht="16.5">
      <c r="A15" s="3001" t="s">
        <v>2854</v>
      </c>
      <c r="B15" s="3002">
        <f>[1]系统读取表!$B$14</f>
        <v>70880</v>
      </c>
      <c r="C15" s="3002">
        <f>[1]系统读取表!$C$14</f>
        <v>28352</v>
      </c>
      <c r="D15" s="3002">
        <f ca="1">[1]系统读取表!$D$14</f>
        <v>7497</v>
      </c>
      <c r="E15" s="2998">
        <f t="shared" ref="E15:E23" ca="1" si="2">ROUND(D15*10000/B15,0)</f>
        <v>1058</v>
      </c>
      <c r="F15" s="2998">
        <f t="shared" ref="F15:F23" ca="1" si="3">ROUND(D15*10000/C15,0)</f>
        <v>2644</v>
      </c>
      <c r="G15" s="2999">
        <f ca="1">D15</f>
        <v>7497</v>
      </c>
      <c r="H15" s="2999"/>
      <c r="I15" s="3002"/>
    </row>
    <row r="16" spans="1:9" ht="16.5">
      <c r="A16" s="3001" t="s">
        <v>2855</v>
      </c>
      <c r="B16" s="3002"/>
      <c r="C16" s="3002"/>
      <c r="D16" s="3002"/>
      <c r="E16" s="2998" t="e">
        <f t="shared" si="2"/>
        <v>#DIV/0!</v>
      </c>
      <c r="F16" s="2998" t="e">
        <f t="shared" si="3"/>
        <v>#DIV/0!</v>
      </c>
      <c r="G16" s="2999"/>
      <c r="H16" s="2999"/>
      <c r="I16" s="3002"/>
    </row>
    <row r="17" spans="1:9" ht="16.5">
      <c r="A17" s="3001" t="s">
        <v>2856</v>
      </c>
      <c r="B17" s="3002"/>
      <c r="C17" s="3002"/>
      <c r="D17" s="3002"/>
      <c r="E17" s="2998" t="e">
        <f t="shared" si="2"/>
        <v>#DIV/0!</v>
      </c>
      <c r="F17" s="2998" t="e">
        <f t="shared" si="3"/>
        <v>#DIV/0!</v>
      </c>
      <c r="G17" s="2999"/>
      <c r="H17" s="2999"/>
      <c r="I17" s="3002"/>
    </row>
    <row r="18" spans="1:9" ht="16.5">
      <c r="A18" s="3001" t="s">
        <v>2857</v>
      </c>
      <c r="B18" s="3002"/>
      <c r="C18" s="3002"/>
      <c r="D18" s="3002"/>
      <c r="E18" s="2998" t="e">
        <f t="shared" si="2"/>
        <v>#DIV/0!</v>
      </c>
      <c r="F18" s="2998" t="e">
        <f t="shared" si="3"/>
        <v>#DIV/0!</v>
      </c>
      <c r="G18" s="3002"/>
      <c r="H18" s="3002"/>
      <c r="I18" s="3002"/>
    </row>
    <row r="19" spans="1:9" ht="16.5">
      <c r="A19" s="3001" t="s">
        <v>2858</v>
      </c>
      <c r="B19" s="3002"/>
      <c r="C19" s="3002"/>
      <c r="D19" s="3002"/>
      <c r="E19" s="2998" t="e">
        <f t="shared" si="2"/>
        <v>#DIV/0!</v>
      </c>
      <c r="F19" s="2998" t="e">
        <f t="shared" si="3"/>
        <v>#DIV/0!</v>
      </c>
      <c r="G19" s="3002"/>
      <c r="H19" s="3002"/>
      <c r="I19" s="3002"/>
    </row>
    <row r="20" spans="1:9" ht="16.5">
      <c r="A20" s="3001" t="s">
        <v>2859</v>
      </c>
      <c r="B20" s="3002"/>
      <c r="C20" s="3002"/>
      <c r="D20" s="3002"/>
      <c r="E20" s="2998" t="e">
        <f t="shared" si="2"/>
        <v>#DIV/0!</v>
      </c>
      <c r="F20" s="2998" t="e">
        <f t="shared" si="3"/>
        <v>#DIV/0!</v>
      </c>
      <c r="G20" s="3002"/>
      <c r="H20" s="3002"/>
      <c r="I20" s="3002"/>
    </row>
    <row r="21" spans="1:9" ht="16.5">
      <c r="A21" s="3001" t="s">
        <v>2860</v>
      </c>
      <c r="B21" s="3002"/>
      <c r="C21" s="3002"/>
      <c r="D21" s="3002"/>
      <c r="E21" s="2998" t="e">
        <f t="shared" si="2"/>
        <v>#DIV/0!</v>
      </c>
      <c r="F21" s="2998" t="e">
        <f t="shared" si="3"/>
        <v>#DIV/0!</v>
      </c>
      <c r="G21" s="3002"/>
      <c r="H21" s="3002"/>
      <c r="I21" s="3002"/>
    </row>
    <row r="22" spans="1:9" ht="16.5">
      <c r="A22" s="3001" t="s">
        <v>2861</v>
      </c>
      <c r="B22" s="3002"/>
      <c r="C22" s="3002"/>
      <c r="D22" s="3002"/>
      <c r="E22" s="2998" t="e">
        <f t="shared" si="2"/>
        <v>#DIV/0!</v>
      </c>
      <c r="F22" s="2998" t="e">
        <f t="shared" si="3"/>
        <v>#DIV/0!</v>
      </c>
      <c r="G22" s="3002"/>
      <c r="H22" s="3002"/>
      <c r="I22" s="3002"/>
    </row>
    <row r="23" spans="1:9" ht="16.5">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G27" sqref="G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32" t="str">
        <f>项目基本情况!K2</f>
        <v>湖南省株洲市醴陵市出让国有建设用地使用权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4.25">
      <c r="A3" s="3343" t="s">
        <v>298</v>
      </c>
      <c r="B3" s="3344"/>
      <c r="C3" s="3344"/>
      <c r="D3" s="3344"/>
      <c r="E3" s="3344"/>
      <c r="F3" s="3344"/>
      <c r="G3" s="3344"/>
      <c r="H3" s="3344"/>
      <c r="I3" s="3344"/>
      <c r="J3" s="2013"/>
      <c r="K3" s="2012"/>
      <c r="L3" s="2012"/>
      <c r="M3" s="2012"/>
      <c r="N3" s="2012"/>
      <c r="O3" s="2012"/>
      <c r="P3" s="2012"/>
      <c r="Q3" s="2012"/>
      <c r="R3" s="2012"/>
      <c r="S3" s="2012"/>
      <c r="T3" s="2012"/>
      <c r="U3" s="2012"/>
      <c r="V3" s="2012"/>
    </row>
    <row r="4" spans="1:22" ht="14.25">
      <c r="A4" s="257" t="s">
        <v>299</v>
      </c>
      <c r="B4" s="258" t="s">
        <v>300</v>
      </c>
      <c r="C4" s="259" t="s">
        <v>3159</v>
      </c>
      <c r="D4" s="259" t="s">
        <v>3160</v>
      </c>
      <c r="E4" s="3307" t="s">
        <v>301</v>
      </c>
      <c r="F4" s="3349"/>
      <c r="G4" s="3349"/>
      <c r="H4" s="3349"/>
      <c r="I4" s="3308"/>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36" t="s">
        <v>302</v>
      </c>
      <c r="B5" s="3337">
        <v>25</v>
      </c>
      <c r="C5" s="3345"/>
      <c r="D5" s="3348"/>
      <c r="E5" s="260" t="s">
        <v>303</v>
      </c>
      <c r="F5" s="261"/>
      <c r="G5" s="261"/>
      <c r="H5" s="261"/>
      <c r="I5" s="262"/>
      <c r="J5" s="2013"/>
      <c r="K5" s="2012"/>
      <c r="L5" s="2012"/>
      <c r="M5" s="2012"/>
      <c r="N5" s="2012"/>
      <c r="O5" s="2012"/>
      <c r="P5" s="2012"/>
      <c r="Q5" s="2012"/>
      <c r="R5" s="2012"/>
      <c r="S5" s="2012"/>
      <c r="T5" s="2012"/>
      <c r="U5" s="2012"/>
      <c r="V5" s="2012"/>
    </row>
    <row r="6" spans="1:22" ht="14.25">
      <c r="A6" s="3336"/>
      <c r="B6" s="3337"/>
      <c r="C6" s="3346"/>
      <c r="D6" s="3348"/>
      <c r="E6" s="260" t="s">
        <v>304</v>
      </c>
      <c r="F6" s="261"/>
      <c r="G6" s="261"/>
      <c r="H6" s="261"/>
      <c r="I6" s="262"/>
      <c r="J6" s="2013"/>
      <c r="K6" s="2012"/>
      <c r="L6" s="2012"/>
      <c r="M6" s="2012"/>
      <c r="N6" s="2012"/>
      <c r="O6" s="2012"/>
      <c r="P6" s="2012"/>
      <c r="Q6" s="2012"/>
      <c r="R6" s="2012"/>
      <c r="S6" s="2012"/>
      <c r="T6" s="2012"/>
      <c r="U6" s="2012"/>
      <c r="V6" s="2012"/>
    </row>
    <row r="7" spans="1:22" ht="14.25">
      <c r="A7" s="3336"/>
      <c r="B7" s="3337"/>
      <c r="C7" s="3347"/>
      <c r="D7" s="3348"/>
      <c r="E7" s="260" t="s">
        <v>305</v>
      </c>
      <c r="F7" s="261"/>
      <c r="G7" s="261"/>
      <c r="H7" s="261"/>
      <c r="I7" s="262"/>
      <c r="J7" s="2013"/>
      <c r="K7" s="2012"/>
      <c r="L7" s="2012"/>
      <c r="M7" s="2012"/>
      <c r="N7" s="2012"/>
      <c r="O7" s="2012"/>
      <c r="P7" s="2012"/>
      <c r="Q7" s="2012"/>
      <c r="R7" s="2012"/>
      <c r="S7" s="2012"/>
      <c r="T7" s="2012"/>
      <c r="U7" s="2012"/>
      <c r="V7" s="2012"/>
    </row>
    <row r="8" spans="1:22" ht="14.25">
      <c r="A8" s="3336" t="s">
        <v>306</v>
      </c>
      <c r="B8" s="3337">
        <v>15</v>
      </c>
      <c r="C8" s="3345"/>
      <c r="D8" s="3348"/>
      <c r="E8" s="260" t="s">
        <v>307</v>
      </c>
      <c r="F8" s="261"/>
      <c r="G8" s="261"/>
      <c r="H8" s="261"/>
      <c r="I8" s="262"/>
      <c r="J8" s="2013"/>
      <c r="K8" s="2012"/>
      <c r="L8" s="2012"/>
      <c r="M8" s="2012"/>
      <c r="N8" s="2012"/>
      <c r="O8" s="2012"/>
      <c r="P8" s="2012"/>
      <c r="Q8" s="2012"/>
      <c r="R8" s="2012"/>
      <c r="S8" s="2012"/>
      <c r="T8" s="2012"/>
      <c r="U8" s="2012"/>
      <c r="V8" s="2012"/>
    </row>
    <row r="9" spans="1:22" ht="14.25">
      <c r="A9" s="3336"/>
      <c r="B9" s="3337"/>
      <c r="C9" s="3347"/>
      <c r="D9" s="3348"/>
      <c r="E9" s="260" t="s">
        <v>308</v>
      </c>
      <c r="F9" s="261"/>
      <c r="G9" s="261"/>
      <c r="H9" s="261"/>
      <c r="I9" s="262"/>
      <c r="J9" s="2013"/>
      <c r="K9" s="2012"/>
      <c r="L9" s="2012"/>
      <c r="M9" s="2012"/>
      <c r="N9" s="2012"/>
      <c r="O9" s="2012"/>
      <c r="P9" s="2012"/>
      <c r="Q9" s="2012"/>
      <c r="R9" s="2012"/>
      <c r="S9" s="2012"/>
      <c r="T9" s="2012"/>
      <c r="U9" s="2012"/>
      <c r="V9" s="2012"/>
    </row>
    <row r="10" spans="1:22" ht="14.25">
      <c r="A10" s="3336" t="s">
        <v>309</v>
      </c>
      <c r="B10" s="3337">
        <v>15</v>
      </c>
      <c r="C10" s="3345"/>
      <c r="D10" s="3348"/>
      <c r="E10" s="260" t="s">
        <v>310</v>
      </c>
      <c r="F10" s="261"/>
      <c r="G10" s="261"/>
      <c r="H10" s="261"/>
      <c r="I10" s="262"/>
      <c r="J10" s="2013"/>
      <c r="K10" s="2012"/>
      <c r="L10" s="2012"/>
      <c r="M10" s="2012"/>
      <c r="N10" s="2012"/>
      <c r="O10" s="2012"/>
      <c r="P10" s="2012"/>
      <c r="Q10" s="2012"/>
      <c r="R10" s="2012"/>
      <c r="S10" s="2012"/>
      <c r="T10" s="2012"/>
      <c r="U10" s="2012"/>
      <c r="V10" s="2012"/>
    </row>
    <row r="11" spans="1:22" ht="14.25">
      <c r="A11" s="3336"/>
      <c r="B11" s="3337"/>
      <c r="C11" s="3347"/>
      <c r="D11" s="3348"/>
      <c r="E11" s="260" t="s">
        <v>311</v>
      </c>
      <c r="F11" s="261"/>
      <c r="G11" s="261"/>
      <c r="H11" s="261"/>
      <c r="I11" s="262"/>
      <c r="J11" s="2013"/>
      <c r="K11" s="2012"/>
      <c r="L11" s="2012"/>
      <c r="M11" s="2012"/>
      <c r="N11" s="2012"/>
      <c r="O11" s="2012"/>
      <c r="P11" s="2012"/>
      <c r="Q11" s="2012"/>
      <c r="R11" s="2012"/>
      <c r="S11" s="2012"/>
      <c r="T11" s="2012"/>
      <c r="U11" s="2012"/>
      <c r="V11" s="2012"/>
    </row>
    <row r="12" spans="1:22" ht="14.25">
      <c r="A12" s="3336" t="s">
        <v>312</v>
      </c>
      <c r="B12" s="3337">
        <v>15</v>
      </c>
      <c r="C12" s="3345"/>
      <c r="D12" s="3348"/>
      <c r="E12" s="260" t="s">
        <v>313</v>
      </c>
      <c r="F12" s="261"/>
      <c r="G12" s="261"/>
      <c r="H12" s="261"/>
      <c r="I12" s="262"/>
      <c r="J12" s="2013"/>
      <c r="K12" s="2012"/>
      <c r="L12" s="2012"/>
      <c r="M12" s="2012"/>
      <c r="N12" s="2012"/>
      <c r="O12" s="2012"/>
      <c r="P12" s="2012"/>
      <c r="Q12" s="2012"/>
      <c r="R12" s="2012"/>
      <c r="S12" s="2012"/>
      <c r="T12" s="2012"/>
      <c r="U12" s="2012"/>
      <c r="V12" s="2012"/>
    </row>
    <row r="13" spans="1:22" ht="14.25">
      <c r="A13" s="3336"/>
      <c r="B13" s="3337"/>
      <c r="C13" s="3347"/>
      <c r="D13" s="3348"/>
      <c r="E13" s="260" t="s">
        <v>314</v>
      </c>
      <c r="F13" s="261"/>
      <c r="G13" s="261"/>
      <c r="H13" s="261"/>
      <c r="I13" s="262"/>
      <c r="J13" s="2013"/>
      <c r="K13" s="2012"/>
      <c r="L13" s="2012"/>
      <c r="M13" s="2012"/>
      <c r="N13" s="2012"/>
      <c r="O13" s="2012"/>
      <c r="P13" s="2012"/>
      <c r="Q13" s="2012"/>
      <c r="R13" s="2012"/>
      <c r="S13" s="2012"/>
      <c r="T13" s="2012"/>
      <c r="U13" s="2012"/>
      <c r="V13" s="2012"/>
    </row>
    <row r="14" spans="1:22" ht="14.25">
      <c r="A14" s="3336" t="s">
        <v>315</v>
      </c>
      <c r="B14" s="3337">
        <v>30</v>
      </c>
      <c r="C14" s="3345">
        <v>5</v>
      </c>
      <c r="D14" s="3348">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36"/>
      <c r="B15" s="3337"/>
      <c r="C15" s="3346"/>
      <c r="D15" s="3348"/>
      <c r="E15" s="260" t="s">
        <v>317</v>
      </c>
      <c r="F15" s="261"/>
      <c r="G15" s="261"/>
      <c r="H15" s="261"/>
      <c r="I15" s="262"/>
      <c r="J15" s="2013"/>
      <c r="K15" s="2012"/>
      <c r="L15" s="2012"/>
      <c r="M15" s="2012"/>
      <c r="N15" s="2012"/>
      <c r="O15" s="2012"/>
      <c r="P15" s="2012"/>
      <c r="Q15" s="2012"/>
      <c r="R15" s="2012"/>
      <c r="S15" s="2012"/>
      <c r="T15" s="2012"/>
      <c r="U15" s="2012"/>
      <c r="V15" s="2012"/>
    </row>
    <row r="16" spans="1:22" ht="14.25">
      <c r="A16" s="3336"/>
      <c r="B16" s="3337"/>
      <c r="C16" s="3347"/>
      <c r="D16" s="3348"/>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34620</v>
      </c>
      <c r="D19" s="270">
        <f ca="1">SUMIF(INDIRECT("'"&amp;D4&amp;"'"&amp;"!A:A"),结果表!B19,INDIRECT("'"&amp;D4&amp;"'"&amp;"!B:B"))</f>
        <v>32849</v>
      </c>
      <c r="E19" s="267" t="s">
        <v>323</v>
      </c>
      <c r="F19" s="268" t="s">
        <v>322</v>
      </c>
      <c r="G19" s="271">
        <f ca="1">ROUND(C19*$C$18+D19*$D$18,0)</f>
        <v>33735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2146</v>
      </c>
      <c r="D20" s="276">
        <f ca="1">SUMIF(INDIRECT("'"&amp;D4&amp;"'"&amp;"!A:A"),结果表!B20,INDIRECT("'"&amp;D4&amp;"'"&amp;"!B:B"))</f>
        <v>2036</v>
      </c>
      <c r="E20" s="273"/>
      <c r="F20" s="274" t="s">
        <v>325</v>
      </c>
      <c r="G20" s="277">
        <f ca="1">ROUND(C20*$C$18+D20*$D$18,0)</f>
        <v>2091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5365</v>
      </c>
      <c r="D21" s="151">
        <f ca="1">SUMIF(INDIRECT("'"&amp;D4&amp;"'"&amp;"!A:A"),结果表!B21,INDIRECT("'"&amp;D4&amp;"'"&amp;"!B:B"))</f>
        <v>5091</v>
      </c>
      <c r="E21" s="273"/>
      <c r="F21" s="279" t="s">
        <v>327</v>
      </c>
      <c r="G21" s="281">
        <f ca="1">ROUND(C21*$C$18+D21*$D$18,0)</f>
        <v>5228</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5.3913361137325255E-2</v>
      </c>
      <c r="E22" s="283"/>
      <c r="F22" s="284"/>
      <c r="G22" s="285">
        <f ca="1">ROUND(G19/('数据-汇总表'!D3/666.67),0)</f>
        <v>349</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23.45" customHeight="1" thickBot="1">
      <c r="A24" s="3309" t="s">
        <v>330</v>
      </c>
      <c r="B24" s="268" t="s">
        <v>322</v>
      </c>
      <c r="C24" s="287">
        <f>IF(B30=0,0,D30)</f>
        <v>129</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51"/>
      <c r="B25" s="1316" t="s">
        <v>3167</v>
      </c>
      <c r="C25" s="289">
        <f>IF(B30=0,0,C30)</f>
        <v>20</v>
      </c>
      <c r="D25" s="290"/>
      <c r="E25" s="310"/>
      <c r="F25" s="310"/>
      <c r="G25" s="310"/>
      <c r="H25" s="310"/>
      <c r="I25" s="310"/>
      <c r="J25" s="2012"/>
      <c r="K25" s="1250" t="str">
        <f ca="1">项目基本情况!B16&amp;"国有建设用地使用权价格："&amp;O38&amp;"万元"</f>
        <v>出让国有建设用地使用权价格：33606万元</v>
      </c>
      <c r="L25" s="1251"/>
      <c r="M25" s="1251"/>
      <c r="N25" s="1251"/>
      <c r="O25" s="1252"/>
      <c r="P25" s="2012"/>
      <c r="Q25" s="2012"/>
      <c r="R25" s="2012"/>
      <c r="S25" s="2012"/>
      <c r="T25" s="2012"/>
      <c r="U25" s="2012"/>
      <c r="V25" s="2012"/>
    </row>
    <row r="26" spans="1:26" s="1249" customFormat="1" ht="18">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大写金额：人民币叁亿叁仟陆佰零陆万元整</v>
      </c>
      <c r="L26" s="1247"/>
      <c r="M26" s="1247"/>
      <c r="N26" s="1247"/>
      <c r="O26" s="1246"/>
      <c r="P26" s="2012"/>
      <c r="Q26" s="2012"/>
      <c r="R26" s="2012"/>
      <c r="S26" s="2012"/>
      <c r="T26" s="2012"/>
      <c r="U26" s="2012"/>
      <c r="V26" s="2012"/>
      <c r="W26" s="291"/>
      <c r="X26" s="291"/>
      <c r="Y26" s="291"/>
      <c r="Z26" s="291"/>
    </row>
    <row r="27" spans="1:26" ht="18">
      <c r="A27" s="3196" t="s">
        <v>3164</v>
      </c>
      <c r="B27" s="293">
        <f>'数据-基础表'!A3</f>
        <v>64529.83</v>
      </c>
      <c r="C27" s="293">
        <v>20</v>
      </c>
      <c r="D27" s="294">
        <f>ROUND(B27*C27/10000,0)</f>
        <v>129</v>
      </c>
      <c r="E27" s="310"/>
      <c r="F27" s="310"/>
      <c r="G27" s="310"/>
      <c r="H27" s="310"/>
      <c r="I27" s="310"/>
      <c r="J27" s="2012"/>
      <c r="K27" s="1253" t="str">
        <f ca="1">"单位面积地价："&amp;M38&amp;"元/平方米"</f>
        <v>单位面积地价：5208元/平方米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楼面地价：2083元/平方米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抵押价格：33606万元</v>
      </c>
      <c r="L29" s="1247"/>
      <c r="M29" s="1247"/>
      <c r="N29" s="1247"/>
      <c r="O29" s="1246"/>
      <c r="P29" s="2012"/>
      <c r="V29" s="2012"/>
    </row>
    <row r="30" spans="1:26" ht="18.75" thickBot="1">
      <c r="A30" s="3079" t="s">
        <v>335</v>
      </c>
      <c r="B30" s="308">
        <f>SUM(B27:B29)</f>
        <v>64529.83</v>
      </c>
      <c r="C30" s="308">
        <v>20</v>
      </c>
      <c r="D30" s="309">
        <f>SUM(D27:D29)</f>
        <v>129</v>
      </c>
      <c r="E30" s="3080" t="s">
        <v>2957</v>
      </c>
      <c r="F30" s="310"/>
      <c r="G30" s="310"/>
      <c r="H30" s="310"/>
      <c r="I30" s="310"/>
      <c r="J30" s="2012"/>
      <c r="K30" s="1253" t="str">
        <f ca="1">IF(K29="——","——","大写金额：人民币"&amp;NUMBERSTRING(INT(O39*10000),2)&amp;"元整")</f>
        <v>大写金额：人民币叁亿叁仟陆佰零陆万元整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336</v>
      </c>
      <c r="B32" s="1377" t="s">
        <v>1686</v>
      </c>
      <c r="C32" s="1378">
        <f ca="1">G19-C24</f>
        <v>33606</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339</v>
      </c>
      <c r="B33" s="1380" t="s">
        <v>1688</v>
      </c>
      <c r="C33" s="263">
        <f ca="1">ROUND(C32*10000/'数据-汇总表'!E3,0)</f>
        <v>2083</v>
      </c>
      <c r="D33" s="1381" t="s">
        <v>1689</v>
      </c>
      <c r="E33" s="3309" t="s">
        <v>337</v>
      </c>
      <c r="F33" s="295" t="s">
        <v>338</v>
      </c>
      <c r="G33" s="296">
        <v>33735</v>
      </c>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2" t="s">
        <v>1690</v>
      </c>
      <c r="C34" s="263">
        <f ca="1">ROUND(C32*10000/'数据-汇总表'!D3,0)</f>
        <v>5208</v>
      </c>
      <c r="D34" s="1383" t="s">
        <v>1689</v>
      </c>
      <c r="E34" s="3310"/>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4"/>
      <c r="C35" s="1385">
        <f ca="1">ROUND(C32/('数据-汇总表'!D3/666.67),0)</f>
        <v>347</v>
      </c>
      <c r="D35" s="1386" t="s">
        <v>1691</v>
      </c>
      <c r="E35" s="3311"/>
      <c r="F35" s="300" t="s">
        <v>341</v>
      </c>
      <c r="G35" s="981"/>
      <c r="H35" s="980" t="s">
        <v>342</v>
      </c>
      <c r="I35" s="310"/>
      <c r="J35" s="2012"/>
      <c r="K35" s="3315" t="s">
        <v>349</v>
      </c>
      <c r="L35" s="3315" t="s">
        <v>350</v>
      </c>
      <c r="M35" s="1259" t="s">
        <v>351</v>
      </c>
      <c r="N35" s="3315" t="s">
        <v>352</v>
      </c>
      <c r="O35" s="3315" t="s">
        <v>353</v>
      </c>
      <c r="P35" s="2012"/>
      <c r="V35" s="2012"/>
    </row>
    <row r="36" spans="1:26" ht="16.5" customHeight="1">
      <c r="A36" s="302" t="s">
        <v>343</v>
      </c>
      <c r="B36" s="303" t="s">
        <v>332</v>
      </c>
      <c r="C36" s="304" t="s">
        <v>344</v>
      </c>
      <c r="D36" s="304" t="s">
        <v>345</v>
      </c>
      <c r="E36" s="305" t="s">
        <v>346</v>
      </c>
      <c r="F36" s="310"/>
      <c r="G36" s="310"/>
      <c r="H36" s="310"/>
      <c r="I36" s="310"/>
      <c r="J36" s="2014"/>
      <c r="K36" s="3316"/>
      <c r="L36" s="3316"/>
      <c r="M36" s="1261" t="s">
        <v>354</v>
      </c>
      <c r="N36" s="3316"/>
      <c r="O36" s="3316"/>
      <c r="P36" s="2012"/>
      <c r="V36" s="2012"/>
    </row>
    <row r="37" spans="1:26" ht="16.5" customHeight="1" thickBot="1">
      <c r="A37" s="1255" t="s">
        <v>347</v>
      </c>
      <c r="B37" s="306"/>
      <c r="C37" s="293"/>
      <c r="D37" s="293"/>
      <c r="E37" s="294"/>
      <c r="F37" s="310"/>
      <c r="G37" s="310"/>
      <c r="H37" s="310"/>
      <c r="I37" s="310"/>
      <c r="J37" s="2014"/>
      <c r="K37" s="3317"/>
      <c r="L37" s="3317"/>
      <c r="M37" s="1262"/>
      <c r="N37" s="3317"/>
      <c r="O37" s="3317"/>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5208</v>
      </c>
      <c r="N38" s="1264">
        <f ca="1">C33</f>
        <v>2083</v>
      </c>
      <c r="O38" s="1265">
        <f ca="1">C32</f>
        <v>33606</v>
      </c>
      <c r="P38" s="2012"/>
      <c r="V38" s="2012"/>
    </row>
    <row r="39" spans="1:26" ht="16.5" customHeight="1" thickBot="1">
      <c r="A39" s="1260"/>
      <c r="B39" s="307"/>
      <c r="C39" s="308"/>
      <c r="D39" s="308"/>
      <c r="E39" s="309"/>
      <c r="F39" s="310"/>
      <c r="G39" s="310"/>
      <c r="H39" s="310"/>
      <c r="I39" s="310"/>
      <c r="J39" s="2014"/>
      <c r="K39" s="3292" t="str">
        <f>MID(A44,3,LEN(A44)-2)</f>
        <v>抵押价格</v>
      </c>
      <c r="L39" s="3293"/>
      <c r="M39" s="3293"/>
      <c r="N39" s="3294"/>
      <c r="O39" s="1388">
        <f ca="1">C44</f>
        <v>33606</v>
      </c>
      <c r="P39" s="2012"/>
      <c r="V39" s="2012"/>
    </row>
    <row r="40" spans="1:26" ht="19.5" thickBot="1">
      <c r="A40" s="104" t="s">
        <v>872</v>
      </c>
      <c r="B40" s="310"/>
      <c r="C40" s="310"/>
      <c r="D40" s="310"/>
      <c r="E40" s="310"/>
      <c r="F40" s="310"/>
      <c r="G40" s="310"/>
      <c r="H40" s="310"/>
      <c r="I40" s="310"/>
      <c r="J40" s="2014"/>
      <c r="K40" s="3292" t="str">
        <f t="shared" ref="K40:K41" si="0">MID(A45,3,LEN(A45)-2)</f>
        <v/>
      </c>
      <c r="L40" s="3293"/>
      <c r="M40" s="3293"/>
      <c r="N40" s="3294"/>
      <c r="O40" s="1388" t="str">
        <f>C45</f>
        <v>——</v>
      </c>
      <c r="P40" s="2012"/>
      <c r="V40" s="2012"/>
    </row>
    <row r="41" spans="1:26" ht="16.5" thickBot="1">
      <c r="A41" s="311" t="s">
        <v>355</v>
      </c>
      <c r="B41" s="312"/>
      <c r="C41" s="313" t="s">
        <v>356</v>
      </c>
      <c r="D41" s="314" t="s">
        <v>357</v>
      </c>
      <c r="E41" s="314" t="s">
        <v>358</v>
      </c>
      <c r="F41" s="315" t="s">
        <v>359</v>
      </c>
      <c r="G41" s="310"/>
      <c r="H41" s="310"/>
      <c r="I41" s="310"/>
      <c r="J41" s="2014"/>
      <c r="K41" s="3292" t="str">
        <f t="shared" si="0"/>
        <v/>
      </c>
      <c r="L41" s="3293"/>
      <c r="M41" s="3293"/>
      <c r="N41" s="3294"/>
      <c r="O41" s="1388" t="str">
        <f>C46</f>
        <v>——</v>
      </c>
      <c r="P41" s="2012"/>
      <c r="V41" s="2012"/>
    </row>
    <row r="42" spans="1:26" ht="29.25">
      <c r="A42" s="3352" t="s">
        <v>2061</v>
      </c>
      <c r="B42" s="3353"/>
      <c r="C42" s="263">
        <f ca="1">C32</f>
        <v>33606</v>
      </c>
      <c r="D42" s="316">
        <f ca="1">C33</f>
        <v>2083</v>
      </c>
      <c r="E42" s="316">
        <f ca="1">C34</f>
        <v>5208</v>
      </c>
      <c r="F42" s="317">
        <f ca="1">C35</f>
        <v>347</v>
      </c>
      <c r="G42" s="310"/>
      <c r="H42" s="310"/>
      <c r="I42" s="318"/>
      <c r="J42" s="2014"/>
      <c r="K42" s="1266" t="s">
        <v>360</v>
      </c>
      <c r="L42" s="2031" t="s">
        <v>361</v>
      </c>
      <c r="M42" s="1267" t="s">
        <v>362</v>
      </c>
      <c r="N42" s="2032" t="s">
        <v>363</v>
      </c>
      <c r="O42" s="2033" t="s">
        <v>364</v>
      </c>
      <c r="P42" s="2012"/>
      <c r="V42" s="2012"/>
    </row>
    <row r="43" spans="1:26" ht="30">
      <c r="A43" s="3362" t="s">
        <v>2723</v>
      </c>
      <c r="B43" s="3363"/>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34620</v>
      </c>
      <c r="M43" s="1270">
        <f>C18</f>
        <v>0.5</v>
      </c>
      <c r="N43" s="1271">
        <f ca="1">IF(N42="测算结果/万元",G19,G20)</f>
        <v>33735</v>
      </c>
      <c r="O43" s="1272">
        <f ca="1">IF(O42="最终结果/万元",C32,C33)</f>
        <v>33606</v>
      </c>
      <c r="P43" s="2012"/>
      <c r="V43" s="2012"/>
    </row>
    <row r="44" spans="1:26" ht="30.75" thickBot="1">
      <c r="A44" s="3352" t="str">
        <f>IF(OR(项目基本情况!E8="抵押价格",项目基本情况!E8="已注销及未注销"),"3.抵押价格","——")</f>
        <v>3.抵押价格</v>
      </c>
      <c r="B44" s="3353"/>
      <c r="C44" s="263">
        <f ca="1">IF(A44="——","——",C42-C43)</f>
        <v>33606</v>
      </c>
      <c r="D44" s="316">
        <f ca="1">ROUND(C44*10000/'数据-汇总表'!E3,0)</f>
        <v>2083</v>
      </c>
      <c r="E44" s="316">
        <f ca="1">ROUND(C44*10000/'数据-汇总表'!D3,0)</f>
        <v>5208</v>
      </c>
      <c r="F44" s="317">
        <f ca="1">ROUND(C44/('数据-汇总表'!D3/666.67),0)</f>
        <v>347</v>
      </c>
      <c r="G44" s="310"/>
      <c r="H44" s="310"/>
      <c r="I44" s="318"/>
      <c r="J44" s="2014"/>
      <c r="K44" s="1273" t="str">
        <f>D4</f>
        <v>剩余法-待开发</v>
      </c>
      <c r="L44" s="1274">
        <f ca="1">IF(L42="估价结果/万元",D19,D20)</f>
        <v>32849</v>
      </c>
      <c r="M44" s="1275">
        <f>D18</f>
        <v>0.5</v>
      </c>
      <c r="N44" s="1276"/>
      <c r="O44" s="1277"/>
      <c r="P44" s="2012"/>
      <c r="V44" s="2012"/>
    </row>
    <row r="45" spans="1:26" ht="15">
      <c r="A45" s="3357" t="str">
        <f>IF(项目基本情况!E8="已注销及未注销","4.抵押担保权已注销时的抵押价格",IF(项目基本情况!E8="已注销","3.抵押担保权已注销时的抵押价格","——"))</f>
        <v>——</v>
      </c>
      <c r="B45" s="3358"/>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54" t="str">
        <f>IF(项目基本情况!E9="抵押净值",IF(A45="——","4.抵押净值","5.抵押净值"),"——")</f>
        <v>——</v>
      </c>
      <c r="B46" s="3355"/>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0" t="s">
        <v>373</v>
      </c>
      <c r="B63" s="3321"/>
      <c r="C63" s="3322"/>
      <c r="D63" s="340">
        <f ca="1">ROUND(C42*F63,0)</f>
        <v>20164</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59" t="s">
        <v>377</v>
      </c>
      <c r="B64" s="3360"/>
      <c r="C64" s="3360"/>
      <c r="D64" s="3360"/>
      <c r="E64" s="3360"/>
      <c r="F64" s="3360"/>
      <c r="G64" s="3361"/>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5.5">
      <c r="A66" s="3356" t="s">
        <v>385</v>
      </c>
      <c r="B66" s="3327"/>
      <c r="C66" s="3327"/>
      <c r="D66" s="260">
        <f ca="1">IF(H66="情况1",0,IF(H66="情况2",D70,IF(H66="情况3",D71,IF(H66="情况4",D72))))</f>
        <v>1075</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296" t="s">
        <v>384</v>
      </c>
      <c r="M66" s="3297"/>
      <c r="N66" s="2421"/>
      <c r="O66" s="2422"/>
      <c r="P66" s="2423"/>
      <c r="Q66" s="2012"/>
      <c r="R66" s="2012"/>
      <c r="S66" s="2012"/>
      <c r="T66" s="2012"/>
      <c r="U66" s="2012"/>
      <c r="V66" s="2012"/>
    </row>
    <row r="67" spans="1:22" ht="25.5" customHeight="1">
      <c r="A67" s="351" t="s">
        <v>389</v>
      </c>
      <c r="B67" s="3339" t="s">
        <v>390</v>
      </c>
      <c r="C67" s="3339"/>
      <c r="D67" s="352">
        <v>0</v>
      </c>
      <c r="E67" s="41" t="s">
        <v>391</v>
      </c>
      <c r="F67" s="62" t="s">
        <v>21</v>
      </c>
      <c r="G67" s="3323"/>
      <c r="H67" s="310"/>
      <c r="I67" s="1287"/>
      <c r="J67" s="2019"/>
      <c r="K67" s="1960">
        <v>2</v>
      </c>
      <c r="L67" s="3295" t="s">
        <v>388</v>
      </c>
      <c r="M67" s="3295"/>
      <c r="N67" s="1320">
        <f>'数据-取费表'!B2</f>
        <v>43882</v>
      </c>
      <c r="O67" s="1320"/>
      <c r="P67" s="1320"/>
      <c r="Q67" s="2012"/>
      <c r="R67" s="2012"/>
      <c r="S67" s="2012"/>
      <c r="T67" s="2012"/>
      <c r="U67" s="2012"/>
      <c r="V67" s="2012"/>
    </row>
    <row r="68" spans="1:22" ht="25.5" customHeight="1">
      <c r="A68" s="353"/>
      <c r="B68" s="3339" t="s">
        <v>393</v>
      </c>
      <c r="C68" s="3339"/>
      <c r="D68" s="354"/>
      <c r="E68" s="77"/>
      <c r="F68" s="355"/>
      <c r="G68" s="3324"/>
      <c r="H68" s="310"/>
      <c r="I68" s="1287"/>
      <c r="J68" s="2019"/>
      <c r="K68" s="1960">
        <v>3</v>
      </c>
      <c r="L68" s="3295" t="s">
        <v>392</v>
      </c>
      <c r="M68" s="3295"/>
      <c r="N68" s="1288">
        <f ca="1">C42</f>
        <v>33606</v>
      </c>
      <c r="O68" s="1288"/>
      <c r="P68" s="1288"/>
      <c r="Q68" s="2012"/>
      <c r="R68" s="2012"/>
      <c r="S68" s="2012"/>
      <c r="T68" s="2012"/>
      <c r="U68" s="2012"/>
      <c r="V68" s="2012"/>
    </row>
    <row r="69" spans="1:22" ht="12" customHeight="1">
      <c r="A69" s="356"/>
      <c r="B69" s="3339" t="s">
        <v>394</v>
      </c>
      <c r="C69" s="3339"/>
      <c r="D69" s="357"/>
      <c r="E69" s="73"/>
      <c r="F69" s="355"/>
      <c r="G69" s="3325"/>
      <c r="H69" s="310"/>
      <c r="I69" s="1287"/>
      <c r="J69" s="2019"/>
      <c r="K69" s="1289">
        <v>4</v>
      </c>
      <c r="L69" s="3301" t="s">
        <v>2876</v>
      </c>
      <c r="M69" s="3302"/>
      <c r="N69" s="1290">
        <f ca="1">C44</f>
        <v>33606</v>
      </c>
      <c r="O69" s="1290"/>
      <c r="P69" s="1290"/>
      <c r="Q69" s="2012"/>
      <c r="R69" s="2012"/>
      <c r="S69" s="2012"/>
      <c r="T69" s="2012"/>
      <c r="U69" s="2012"/>
      <c r="V69" s="2012"/>
    </row>
    <row r="70" spans="1:22" ht="24" customHeight="1">
      <c r="A70" s="358" t="s">
        <v>395</v>
      </c>
      <c r="B70" s="3339" t="s">
        <v>396</v>
      </c>
      <c r="C70" s="3339"/>
      <c r="D70" s="357">
        <f ca="1">ROUND(D63*'数据-取费表'!B41/(1+'数据-取费表'!C42),0)</f>
        <v>1075</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338" t="s">
        <v>404</v>
      </c>
      <c r="C71" s="3350"/>
      <c r="D71" s="357">
        <f ca="1">ROUND(D63*'数据-取费表'!B41/(1+'数据-取费表'!C42),0)</f>
        <v>1075</v>
      </c>
      <c r="E71" s="17" t="s">
        <v>397</v>
      </c>
      <c r="F71" s="359">
        <f>'数据-取费表'!B41</f>
        <v>5.6000000000000001E-2</v>
      </c>
      <c r="G71" s="360"/>
      <c r="H71" s="310"/>
      <c r="I71" s="1287"/>
      <c r="J71" s="2019"/>
      <c r="K71" s="3010" t="s">
        <v>398</v>
      </c>
      <c r="L71" s="3303" t="s">
        <v>399</v>
      </c>
      <c r="M71" s="3303"/>
      <c r="N71" s="3010" t="s">
        <v>400</v>
      </c>
      <c r="O71" s="3010" t="s">
        <v>401</v>
      </c>
      <c r="P71" s="3010" t="s">
        <v>402</v>
      </c>
      <c r="Q71" s="2012"/>
      <c r="R71" s="2012"/>
      <c r="S71" s="2012"/>
      <c r="T71" s="2012"/>
      <c r="U71" s="2012"/>
      <c r="V71" s="2012"/>
    </row>
    <row r="72" spans="1:22" ht="12" customHeight="1">
      <c r="A72" s="358" t="s">
        <v>406</v>
      </c>
      <c r="B72" s="3338" t="s">
        <v>407</v>
      </c>
      <c r="C72" s="3350"/>
      <c r="D72" s="357">
        <f ca="1">C86</f>
        <v>963</v>
      </c>
      <c r="E72" s="73" t="s">
        <v>408</v>
      </c>
      <c r="F72" s="359">
        <f>'数据-取费表'!B41</f>
        <v>5.6000000000000001E-2</v>
      </c>
      <c r="G72" s="360"/>
      <c r="H72" s="1293"/>
      <c r="I72" s="1287"/>
      <c r="J72" s="2019"/>
      <c r="K72" s="1960">
        <v>1</v>
      </c>
      <c r="L72" s="3300" t="s">
        <v>405</v>
      </c>
      <c r="M72" s="3300"/>
      <c r="N72" s="1291">
        <f ca="1">D66</f>
        <v>1075</v>
      </c>
      <c r="O72" s="1843" t="str">
        <f>E66</f>
        <v>销售额×税（费）率</v>
      </c>
      <c r="P72" s="1292">
        <f>F66</f>
        <v>5.6000000000000001E-2</v>
      </c>
      <c r="Q72" s="2012"/>
      <c r="R72" s="2012"/>
      <c r="S72" s="2012"/>
      <c r="T72" s="2012"/>
      <c r="U72" s="2012"/>
      <c r="V72" s="2012"/>
    </row>
    <row r="73" spans="1:22" ht="24" customHeight="1">
      <c r="A73" s="3326" t="s">
        <v>410</v>
      </c>
      <c r="B73" s="3327"/>
      <c r="C73" s="3327"/>
      <c r="D73" s="361">
        <f>IF(H73="个人住宅",0,ROUND(D63*I73,0))</f>
        <v>0</v>
      </c>
      <c r="E73" s="17" t="s">
        <v>411</v>
      </c>
      <c r="F73" s="359" t="str">
        <f>IF(H73="正常",I73,"免征")</f>
        <v>免征</v>
      </c>
      <c r="G73" s="360"/>
      <c r="H73" s="191" t="s">
        <v>2449</v>
      </c>
      <c r="I73" s="359">
        <f>'数据-取费表'!B49</f>
        <v>5.0000000000000001E-4</v>
      </c>
      <c r="J73" s="2019"/>
      <c r="K73" s="1960">
        <v>2</v>
      </c>
      <c r="L73" s="3300" t="s">
        <v>409</v>
      </c>
      <c r="M73" s="3300"/>
      <c r="N73" s="1291">
        <f t="shared" ref="N73:P74" si="1">D73</f>
        <v>0</v>
      </c>
      <c r="O73" s="1843" t="str">
        <f t="shared" si="1"/>
        <v>销售额×税（费）率</v>
      </c>
      <c r="P73" s="1292" t="str">
        <f t="shared" si="1"/>
        <v>免征</v>
      </c>
      <c r="Q73" s="2012"/>
      <c r="R73" s="2012"/>
      <c r="S73" s="2012"/>
      <c r="T73" s="2012"/>
      <c r="U73" s="2012"/>
      <c r="V73" s="2012"/>
    </row>
    <row r="74" spans="1:22" ht="24.75">
      <c r="A74" s="3326" t="s">
        <v>414</v>
      </c>
      <c r="B74" s="3327"/>
      <c r="C74" s="3327"/>
      <c r="D74" s="361">
        <f ca="1">IF(H74="个人住宅",D75,D76)</f>
        <v>10753</v>
      </c>
      <c r="E74" s="17" t="s">
        <v>415</v>
      </c>
      <c r="F74" s="359" t="str">
        <f>IF(H74="正常",F76,"免征")</f>
        <v>——</v>
      </c>
      <c r="G74" s="982" t="s">
        <v>416</v>
      </c>
      <c r="H74" s="362" t="s">
        <v>412</v>
      </c>
      <c r="I74" s="42"/>
      <c r="J74" s="2019"/>
      <c r="K74" s="1960">
        <v>3</v>
      </c>
      <c r="L74" s="3300" t="s">
        <v>413</v>
      </c>
      <c r="M74" s="3300"/>
      <c r="N74" s="1291">
        <f t="shared" ca="1" si="1"/>
        <v>10753</v>
      </c>
      <c r="O74" s="1843" t="str">
        <f t="shared" si="1"/>
        <v>增值额×税（费）率</v>
      </c>
      <c r="P74" s="1294" t="str">
        <f t="shared" si="1"/>
        <v>——</v>
      </c>
      <c r="Q74" s="2012"/>
      <c r="R74" s="2012"/>
      <c r="S74" s="2012"/>
      <c r="T74" s="2012"/>
      <c r="U74" s="2012"/>
      <c r="V74" s="2012"/>
    </row>
    <row r="75" spans="1:22" ht="24">
      <c r="A75" s="358" t="s">
        <v>417</v>
      </c>
      <c r="B75" s="3307" t="s">
        <v>418</v>
      </c>
      <c r="C75" s="3308"/>
      <c r="D75" s="363">
        <v>0</v>
      </c>
      <c r="E75" s="41" t="s">
        <v>419</v>
      </c>
      <c r="F75" s="364"/>
      <c r="G75" s="360"/>
      <c r="H75" s="42"/>
      <c r="I75" s="42"/>
      <c r="J75" s="2019"/>
      <c r="K75" s="3003">
        <f>IF(H77="非个人房产","",4)</f>
        <v>4</v>
      </c>
      <c r="L75" s="3300" t="str">
        <f>IF(H77="非个人房产","——","个人所得税")</f>
        <v>个人所得税</v>
      </c>
      <c r="M75" s="3300"/>
      <c r="N75" s="1295">
        <f ca="1">D77</f>
        <v>202</v>
      </c>
      <c r="O75" s="1856" t="str">
        <f>E77</f>
        <v>销售额×税（费）率</v>
      </c>
      <c r="P75" s="1296">
        <f>F77</f>
        <v>0.01</v>
      </c>
      <c r="Q75" s="2012"/>
      <c r="R75" s="2012"/>
      <c r="S75" s="2012"/>
      <c r="T75" s="2012"/>
      <c r="U75" s="2012"/>
      <c r="V75" s="2012"/>
    </row>
    <row r="76" spans="1:22" ht="24.75">
      <c r="A76" s="358" t="s">
        <v>395</v>
      </c>
      <c r="B76" s="3307" t="s">
        <v>421</v>
      </c>
      <c r="C76" s="3349"/>
      <c r="D76" s="361">
        <f ca="1">IF(H76="转让取得",C99,C115)</f>
        <v>10753</v>
      </c>
      <c r="E76" s="17" t="s">
        <v>422</v>
      </c>
      <c r="F76" s="53" t="s">
        <v>21</v>
      </c>
      <c r="G76" s="360"/>
      <c r="H76" s="362" t="s">
        <v>423</v>
      </c>
      <c r="I76" s="42"/>
      <c r="J76" s="2019"/>
      <c r="K76" s="3003" t="str">
        <f>IF(项目基本情况!K6="上海银行",IF(K75="",4,K75+1),"")</f>
        <v/>
      </c>
      <c r="L76" s="3288" t="str">
        <f>IF(项目基本情况!K6="上海银行","其他处置费用","")</f>
        <v/>
      </c>
      <c r="M76" s="3289"/>
      <c r="N76" s="1291" t="str">
        <f>IF(项目基本情况!K6="上海银行",N89,"")</f>
        <v/>
      </c>
      <c r="O76" s="3290" t="str">
        <f>IF(项目基本情况!K6="上海银行","包含处置中涉及的律师、诉讼、拍卖、评估等费用","")</f>
        <v/>
      </c>
      <c r="P76" s="3291"/>
      <c r="Q76" s="2012"/>
      <c r="R76" s="2012"/>
      <c r="S76" s="2012"/>
      <c r="T76" s="2012"/>
      <c r="U76" s="2012"/>
      <c r="V76" s="2012"/>
    </row>
    <row r="77" spans="1:22" ht="26.25" thickBot="1">
      <c r="A77" s="3318" t="s">
        <v>425</v>
      </c>
      <c r="B77" s="3319"/>
      <c r="C77" s="3319"/>
      <c r="D77" s="365">
        <f ca="1">IF(H77="非个人房产","——",IF(H77="个人住宅",0,ROUND(D63*I77,0)))</f>
        <v>202</v>
      </c>
      <c r="E77" s="366" t="str">
        <f>IF(H77="非个人房产","——","销售额×税（费）率")</f>
        <v>销售额×税（费）率</v>
      </c>
      <c r="F77" s="367">
        <f>IF(H77="非个人房产","——",IF(H77="个人住宅","免征",I77))</f>
        <v>0.01</v>
      </c>
      <c r="G77" s="983" t="s">
        <v>416</v>
      </c>
      <c r="H77" s="362" t="s">
        <v>2877</v>
      </c>
      <c r="I77" s="368">
        <v>0.01</v>
      </c>
      <c r="J77" s="2019"/>
      <c r="K77" s="3314">
        <f>IF(AND(K75="",K76=""),4,IF(项目基本情况!K6="上海银行",K76+1,K75+1))</f>
        <v>5</v>
      </c>
      <c r="L77" s="3300" t="s">
        <v>2878</v>
      </c>
      <c r="M77" s="3009" t="s">
        <v>420</v>
      </c>
      <c r="N77" s="1297"/>
      <c r="O77" s="1298">
        <f ca="1">SUMIF(N72:N76,"&lt;9e307")</f>
        <v>12030</v>
      </c>
      <c r="P77" s="1299"/>
      <c r="Q77" s="3007">
        <f ca="1">O77/N69</f>
        <v>0.35797179075165148</v>
      </c>
      <c r="R77" s="2012"/>
      <c r="S77" s="2012"/>
      <c r="T77" s="2012"/>
      <c r="U77" s="2012"/>
      <c r="V77" s="2012"/>
    </row>
    <row r="78" spans="1:22" ht="12" customHeight="1">
      <c r="A78" s="1300"/>
      <c r="B78" s="310"/>
      <c r="C78" s="310"/>
      <c r="D78" s="310"/>
      <c r="E78" s="42"/>
      <c r="F78" s="42"/>
      <c r="G78" s="42"/>
      <c r="H78" s="1002"/>
      <c r="I78" s="310"/>
      <c r="J78" s="2019"/>
      <c r="K78" s="3314"/>
      <c r="L78" s="3300"/>
      <c r="M78" s="3009" t="s">
        <v>424</v>
      </c>
      <c r="N78" s="1297"/>
      <c r="O78" s="1298" t="str">
        <f ca="1">NUMBERSTRING(INT(O77*10000),2)&amp;"元整"</f>
        <v>壹亿贰仟零叁拾万元整</v>
      </c>
      <c r="P78" s="1299"/>
      <c r="Q78" s="2012"/>
      <c r="R78" s="2012"/>
      <c r="S78" s="2012"/>
      <c r="T78" s="2012"/>
      <c r="U78" s="2012"/>
      <c r="V78" s="2012"/>
    </row>
    <row r="79" spans="1:22" ht="13.5" thickBot="1">
      <c r="A79" s="3304" t="s">
        <v>426</v>
      </c>
      <c r="B79" s="3304"/>
      <c r="C79" s="3304"/>
      <c r="D79" s="3304"/>
      <c r="E79" s="3304"/>
      <c r="F79" s="42"/>
      <c r="G79" s="42"/>
      <c r="H79" s="1002"/>
      <c r="I79" s="310"/>
      <c r="J79" s="2019"/>
      <c r="K79" s="3298">
        <f>K77+1</f>
        <v>6</v>
      </c>
      <c r="L79" s="3300" t="s">
        <v>2879</v>
      </c>
      <c r="M79" s="3009" t="s">
        <v>420</v>
      </c>
      <c r="N79" s="1297"/>
      <c r="O79" s="1298">
        <f ca="1">N69-O77</f>
        <v>21576</v>
      </c>
      <c r="P79" s="1299"/>
      <c r="Q79" s="2012"/>
      <c r="R79" s="2012"/>
      <c r="S79" s="2012"/>
      <c r="T79" s="2012"/>
      <c r="U79" s="2012"/>
      <c r="V79" s="2012"/>
    </row>
    <row r="80" spans="1:22" ht="25.5">
      <c r="A80" s="3305" t="s">
        <v>427</v>
      </c>
      <c r="B80" s="3306"/>
      <c r="C80" s="993"/>
      <c r="D80" s="993" t="s">
        <v>428</v>
      </c>
      <c r="E80" s="369" t="s">
        <v>429</v>
      </c>
      <c r="F80" s="42"/>
      <c r="G80" s="42"/>
      <c r="H80" s="1002"/>
      <c r="I80" s="310"/>
      <c r="J80" s="2012"/>
      <c r="K80" s="3299"/>
      <c r="L80" s="3300"/>
      <c r="M80" s="3009" t="s">
        <v>424</v>
      </c>
      <c r="N80" s="1297"/>
      <c r="O80" s="1298" t="str">
        <f ca="1">NUMBERSTRING(INT(O79*10000),2)&amp;"元整"</f>
        <v>贰亿壹仟伍佰柒拾陆万元整</v>
      </c>
      <c r="P80" s="1299"/>
      <c r="Q80" s="2012"/>
      <c r="R80" s="2012"/>
      <c r="S80" s="2012"/>
      <c r="T80" s="2012"/>
      <c r="U80" s="2012"/>
      <c r="V80" s="2012"/>
    </row>
    <row r="81" spans="1:26" ht="13.5" thickBot="1">
      <c r="A81" s="380" t="s">
        <v>1821</v>
      </c>
      <c r="B81" s="370" t="s">
        <v>430</v>
      </c>
      <c r="C81" s="371">
        <f ca="1">ROUND((C82+C83)/(1+'数据-取费表'!C42),0)</f>
        <v>19204</v>
      </c>
      <c r="D81" s="372"/>
      <c r="E81" s="373"/>
      <c r="F81" s="42"/>
      <c r="G81" s="42"/>
      <c r="H81" s="1002"/>
      <c r="I81" s="310"/>
      <c r="J81" s="2012"/>
      <c r="K81" s="3003">
        <f>K79+1</f>
        <v>7</v>
      </c>
      <c r="L81" s="3312" t="s">
        <v>2880</v>
      </c>
      <c r="M81" s="3313"/>
      <c r="N81" s="1301"/>
      <c r="O81" s="1302">
        <f ca="1">ROUND(O79*10000/'数据-汇总表'!E3,0)</f>
        <v>1337</v>
      </c>
      <c r="P81" s="1303"/>
      <c r="Q81" s="2012"/>
      <c r="R81" s="2012"/>
      <c r="S81" s="2012"/>
      <c r="T81" s="2012"/>
      <c r="U81" s="2012"/>
      <c r="V81" s="2012"/>
    </row>
    <row r="82" spans="1:26" ht="13.5" thickTop="1">
      <c r="A82" s="374" t="s">
        <v>1822</v>
      </c>
      <c r="B82" s="375" t="s">
        <v>431</v>
      </c>
      <c r="C82" s="376">
        <f ca="1">D63</f>
        <v>20164</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1823</v>
      </c>
      <c r="B83" s="375" t="s">
        <v>432</v>
      </c>
      <c r="C83" s="379">
        <v>0</v>
      </c>
      <c r="D83" s="377"/>
      <c r="E83" s="378"/>
      <c r="F83" s="42"/>
      <c r="G83" s="42"/>
      <c r="H83" s="1002"/>
      <c r="I83" s="310"/>
      <c r="J83" s="2012"/>
      <c r="K83" s="3287" t="s">
        <v>2867</v>
      </c>
      <c r="L83" s="3015" t="s">
        <v>2868</v>
      </c>
      <c r="M83" s="3005">
        <f ca="1">IF(N69&gt;10000,N69*0.5%,IF(AND(N69&gt;1000,N69&lt;=10000),N69*1%,IF(AND(N69&gt;100,N69&lt;=1000),N69*3%,IF(AND(N69&gt;10,N69&lt;=100),N69*5%,N69*8%))))</f>
        <v>168.03</v>
      </c>
      <c r="N83" s="53">
        <f ca="1">ROUND(M83,1)</f>
        <v>168</v>
      </c>
      <c r="O83" s="3008"/>
      <c r="P83" s="2012"/>
      <c r="Q83" s="2012"/>
      <c r="R83" s="2012"/>
      <c r="S83" s="2012"/>
      <c r="T83" s="2012"/>
      <c r="U83" s="2012"/>
      <c r="V83" s="2012"/>
    </row>
    <row r="84" spans="1:26" ht="12.75">
      <c r="A84" s="380" t="s">
        <v>1824</v>
      </c>
      <c r="B84" s="381" t="s">
        <v>433</v>
      </c>
      <c r="C84" s="382">
        <v>2000</v>
      </c>
      <c r="D84" s="383" t="s">
        <v>19</v>
      </c>
      <c r="E84" s="3050" t="s">
        <v>2930</v>
      </c>
      <c r="F84" s="42"/>
      <c r="G84" s="42"/>
      <c r="H84" s="1002"/>
      <c r="I84" s="310"/>
      <c r="J84" s="2012"/>
      <c r="K84" s="3287"/>
      <c r="L84" s="3015" t="s">
        <v>2869</v>
      </c>
      <c r="M84" s="3005">
        <f ca="1">IF(N69&gt;2000,N69*0.5%,IF(AND(N69&gt;1000,N69&lt;=2000),N69*0.6%,IF(AND(N69&gt;500,N69&lt;=1000),N69*0.7%,IF(AND(N69&gt;200,N69&lt;=500),N69*0.8%,IF(AND(N69&gt;100,N69&lt;=200),N69*0.9%,IF(AND(N69&gt;50,N69&lt;=100),N69*1%,IF(AND(N69&gt;20,N69&lt;=50),N69*1.5%,IF(AND(N69&gt;10,N69&lt;=20),N69*2%,IF(AND(N69&gt;1,N69&lt;=10),N69*2.5%)))))))))</f>
        <v>168.03</v>
      </c>
      <c r="N84" s="53">
        <f t="shared" ref="N84:N85" ca="1" si="2">ROUND(M84,1)</f>
        <v>168</v>
      </c>
      <c r="O84" s="2012" t="s">
        <v>2870</v>
      </c>
      <c r="P84" s="2012"/>
      <c r="Q84" s="2012"/>
      <c r="R84" s="2012"/>
      <c r="S84" s="2012"/>
      <c r="T84" s="2012"/>
      <c r="U84" s="2012"/>
      <c r="V84" s="2012"/>
    </row>
    <row r="85" spans="1:26" ht="12.75">
      <c r="A85" s="380" t="s">
        <v>1825</v>
      </c>
      <c r="B85" s="381" t="s">
        <v>434</v>
      </c>
      <c r="C85" s="384">
        <f ca="1">C81-C84</f>
        <v>17204</v>
      </c>
      <c r="D85" s="377" t="s">
        <v>19</v>
      </c>
      <c r="E85" s="378"/>
      <c r="F85" s="42"/>
      <c r="G85" s="42"/>
      <c r="H85" s="1002"/>
      <c r="I85" s="310"/>
      <c r="J85" s="2012"/>
      <c r="K85" s="3287"/>
      <c r="L85" s="3015" t="s">
        <v>2871</v>
      </c>
      <c r="M85" s="3005">
        <f ca="1">IF(N69&gt;1000,N69*0.1%,IF(AND(N69&gt;500,N69&lt;=1000),N69*0.5%,IF(AND(N69&gt;50,N69&lt;=500),N69*1%,IF(AND(N69&gt;1,N69&lt;=50),N69*1.5%))))</f>
        <v>33.606000000000002</v>
      </c>
      <c r="N85" s="53">
        <f t="shared" ca="1" si="2"/>
        <v>33.6</v>
      </c>
      <c r="O85" s="2012" t="s">
        <v>2870</v>
      </c>
      <c r="P85" s="2012"/>
      <c r="Q85" s="2012"/>
      <c r="R85" s="2012"/>
      <c r="S85" s="2012"/>
      <c r="T85" s="2012"/>
      <c r="U85" s="2012"/>
      <c r="V85" s="2012"/>
    </row>
    <row r="86" spans="1:26" ht="13.5" thickBot="1">
      <c r="A86" s="385" t="s">
        <v>1826</v>
      </c>
      <c r="B86" s="386" t="s">
        <v>435</v>
      </c>
      <c r="C86" s="387">
        <f ca="1">IF(C85&lt;=0,0,ROUND(C85*D86,0))</f>
        <v>963</v>
      </c>
      <c r="D86" s="388">
        <f>'数据-取费表'!B41</f>
        <v>5.6000000000000001E-2</v>
      </c>
      <c r="E86" s="389"/>
      <c r="F86" s="42"/>
      <c r="G86" s="42"/>
      <c r="H86" s="1002"/>
      <c r="I86" s="310"/>
      <c r="J86" s="2012"/>
      <c r="K86" s="3287"/>
      <c r="L86" s="3015" t="s">
        <v>2872</v>
      </c>
      <c r="M86" s="3005">
        <f ca="1">N69*0.5%</f>
        <v>168.03</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87"/>
      <c r="L87" s="3015" t="s">
        <v>2874</v>
      </c>
      <c r="M87" s="3005">
        <f ca="1">IF(N69&gt;=10000,(8.25+(N69-10000)*0.01%),IF(AND(N69&gt;=8000,N69&lt;10000),(7.85+(N69-8000)*0.02%),IF(AND(N69&gt;=5000,N69&lt;8000),(6.65+(N69-5000)*0.04%),IF(AND(N69&gt;=2000,N69&lt;5000),(4.25+(PN69-2000)*0.08%),IF(AND(N69&gt;=1000,N69&lt;2000),(2.75+(N69-1000)*0.15%),IF(AND(N69&gt;=100,N69&lt;1000),(0.5+(N69-100)*0.25%),IF(AND(N69&gt;0,N69&lt;100),N69*0.5%)))))))</f>
        <v>10.6106</v>
      </c>
      <c r="N87" s="53">
        <f ca="1">ROUND(M87*0.9,1)</f>
        <v>9.5</v>
      </c>
      <c r="O87" s="3008"/>
      <c r="P87" s="310"/>
      <c r="Q87" s="2012"/>
      <c r="R87" s="2012"/>
      <c r="S87" s="2012"/>
      <c r="T87" s="2012"/>
      <c r="U87" s="2012"/>
      <c r="V87" s="2012"/>
      <c r="W87" s="291"/>
      <c r="X87" s="291"/>
      <c r="Y87" s="291"/>
      <c r="Z87" s="291"/>
    </row>
    <row r="88" spans="1:26" s="1309" customFormat="1" ht="15" thickBot="1">
      <c r="A88" s="3341" t="s">
        <v>436</v>
      </c>
      <c r="B88" s="3342"/>
      <c r="C88" s="3342"/>
      <c r="D88" s="3342"/>
      <c r="E88" s="3342"/>
      <c r="F88" s="3342"/>
      <c r="G88" s="3342"/>
      <c r="H88" s="3342"/>
      <c r="I88" s="1310"/>
      <c r="J88" s="2020"/>
      <c r="K88" s="3287"/>
      <c r="L88" s="3015" t="s">
        <v>2875</v>
      </c>
      <c r="M88" s="3005">
        <f ca="1">IF(N69&gt;10000,N69*0.5%,IF(AND(N69&gt;5000,N69&lt;=10000),N69*1%,IF(AND(N69&gt;1000,N69&lt;=5000),N69*2%,IF(AND(N69&gt;200,N69&lt;=1000),N69*3%,N69*5%))))</f>
        <v>168.03</v>
      </c>
      <c r="N88" s="53">
        <f ca="1">ROUND(M88,1)</f>
        <v>168</v>
      </c>
      <c r="O88" s="3008"/>
      <c r="P88" s="11"/>
      <c r="Q88" s="2017"/>
      <c r="R88" s="2017"/>
      <c r="S88" s="2017"/>
      <c r="T88" s="2017"/>
      <c r="U88" s="2017"/>
      <c r="V88" s="2017"/>
      <c r="W88" s="2021"/>
      <c r="X88" s="2021"/>
      <c r="Y88" s="2021"/>
      <c r="Z88" s="2021"/>
    </row>
    <row r="89" spans="1:26" s="1309" customFormat="1" ht="14.25">
      <c r="A89" s="3305" t="s">
        <v>427</v>
      </c>
      <c r="B89" s="3306"/>
      <c r="C89" s="993"/>
      <c r="D89" s="993" t="s">
        <v>428</v>
      </c>
      <c r="E89" s="390" t="s">
        <v>437</v>
      </c>
      <c r="F89" s="391"/>
      <c r="G89" s="391"/>
      <c r="H89" s="392"/>
      <c r="I89" s="1311"/>
      <c r="J89" s="2022"/>
      <c r="K89" s="3287"/>
      <c r="L89" s="3015" t="s">
        <v>27</v>
      </c>
      <c r="M89" s="3006"/>
      <c r="N89" s="53">
        <f ca="1">ROUND(SUM(N83:N88),0)</f>
        <v>548</v>
      </c>
      <c r="O89" s="3016">
        <f ca="1">N89/N69</f>
        <v>1.6306611914539072E-2</v>
      </c>
      <c r="P89" s="2017"/>
      <c r="Q89" s="2017"/>
      <c r="R89" s="2017"/>
      <c r="S89" s="2017"/>
      <c r="T89" s="2017"/>
      <c r="U89" s="2017"/>
      <c r="V89" s="2017"/>
      <c r="W89" s="2021"/>
      <c r="X89" s="2021"/>
      <c r="Y89" s="2021"/>
      <c r="Z89" s="2021"/>
    </row>
    <row r="90" spans="1:26" s="1309" customFormat="1" ht="14.25">
      <c r="A90" s="380" t="s">
        <v>1821</v>
      </c>
      <c r="B90" s="381" t="s">
        <v>438</v>
      </c>
      <c r="C90" s="384">
        <f ca="1">ROUND(D63/(1+'数据-取费表'!C42),0)</f>
        <v>19204</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1827</v>
      </c>
      <c r="B91" s="347" t="s">
        <v>439</v>
      </c>
      <c r="C91" s="384">
        <f ca="1">C92+C96</f>
        <v>2696</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338" t="s">
        <v>446</v>
      </c>
      <c r="F94" s="3339"/>
      <c r="G94" s="3339"/>
      <c r="H94" s="3340"/>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115</v>
      </c>
      <c r="D96" s="405">
        <f>'数据-取费表'!B43</f>
        <v>6.000000000000001E-3</v>
      </c>
      <c r="E96" s="3328" t="s">
        <v>2422</v>
      </c>
      <c r="F96" s="3329"/>
      <c r="G96" s="3329"/>
      <c r="H96" s="3330"/>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2" t="s">
        <v>1833</v>
      </c>
      <c r="B97" s="381" t="s">
        <v>450</v>
      </c>
      <c r="C97" s="384">
        <f ca="1">C90-C91</f>
        <v>16508</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6.1231454005934722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3" t="s">
        <v>1835</v>
      </c>
      <c r="B99" s="386" t="s">
        <v>452</v>
      </c>
      <c r="C99" s="407">
        <f ca="1">ROUND(IF(C97&lt;=0,0,IF(C98&gt;=200%,C97*60%-C91*35%,IF(C98&gt;=100%,C97*50%-C91*15%,IF(C98&gt;=50%,C97*40%-C91*5%,IF(C98&lt;50%,C97*30%,0))))),0)</f>
        <v>8961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41" t="s">
        <v>453</v>
      </c>
      <c r="B101" s="3342"/>
      <c r="C101" s="3342"/>
      <c r="D101" s="3342"/>
      <c r="E101" s="3342"/>
      <c r="F101" s="3342"/>
      <c r="G101" s="3342"/>
      <c r="H101" s="3342"/>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05" t="s">
        <v>427</v>
      </c>
      <c r="B102" s="3306"/>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1821</v>
      </c>
      <c r="B103" s="381" t="s">
        <v>438</v>
      </c>
      <c r="C103" s="384">
        <f ca="1">ROUND(D63/(1+'数据-取费表'!C42),0)</f>
        <v>19204</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1827</v>
      </c>
      <c r="B104" s="347" t="s">
        <v>439</v>
      </c>
      <c r="C104" s="384">
        <f ca="1">IF(H106="仅含出让金",C105+C108+C109+C110+C111+C112,C105+C109+C110+C111+C112)</f>
        <v>810</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31" t="s">
        <v>461</v>
      </c>
      <c r="F109" s="3329"/>
      <c r="G109" s="3329"/>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31" t="s">
        <v>463</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115</v>
      </c>
      <c r="D111" s="405">
        <f>'数据-取费表'!B43</f>
        <v>6.000000000000001E-3</v>
      </c>
      <c r="E111" s="3328" t="s">
        <v>2422</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31" t="s">
        <v>2447</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2" t="s">
        <v>1833</v>
      </c>
      <c r="B113" s="381" t="s">
        <v>450</v>
      </c>
      <c r="C113" s="384">
        <f ca="1">ROUND(C103-C104,0)</f>
        <v>18394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22.708641975308641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3" t="s">
        <v>1835</v>
      </c>
      <c r="B115" s="386" t="s">
        <v>452</v>
      </c>
      <c r="C115" s="407">
        <f ca="1">ROUND(IF(C113&lt;=0,0,IF(C114&gt;=200%,C113*60%-C104*35%,IF(C114&gt;=100%,C113*50%-C104*15%,IF(C114&gt;=50%,C113*40%-C104*5%,IF(C114&lt;50%,C113*30%,0))))),0)</f>
        <v>10753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K23" sqref="K23"/>
    </sheetView>
  </sheetViews>
  <sheetFormatPr defaultColWidth="9" defaultRowHeight="14.25"/>
  <cols>
    <col min="1" max="1" width="15.625" style="1332" customWidth="1"/>
    <col min="2" max="2" width="15.75" style="1332" customWidth="1"/>
    <col min="3" max="3" width="17.1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34620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2146</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5365</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358</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0.25">
      <c r="A6" s="511" t="s">
        <v>520</v>
      </c>
      <c r="B6" s="512"/>
      <c r="C6" s="3392" t="s">
        <v>521</v>
      </c>
      <c r="D6" s="3393"/>
      <c r="E6" s="3392" t="s">
        <v>522</v>
      </c>
      <c r="F6" s="3393"/>
      <c r="G6" s="3392" t="s">
        <v>523</v>
      </c>
      <c r="H6" s="3393"/>
      <c r="I6" s="3392" t="s">
        <v>524</v>
      </c>
      <c r="J6" s="3393"/>
      <c r="K6" s="513" t="s">
        <v>525</v>
      </c>
      <c r="L6" s="2117"/>
      <c r="M6" s="2116"/>
      <c r="N6" s="2116"/>
      <c r="O6" s="2118"/>
      <c r="P6" s="3394" t="s">
        <v>526</v>
      </c>
      <c r="Q6" s="3395"/>
      <c r="R6" s="3380" t="s">
        <v>522</v>
      </c>
      <c r="S6" s="3381"/>
      <c r="T6" s="3380" t="s">
        <v>523</v>
      </c>
      <c r="U6" s="3381"/>
      <c r="V6" s="3400" t="s">
        <v>524</v>
      </c>
      <c r="W6" s="3400"/>
      <c r="X6" s="1553"/>
      <c r="Y6" s="3380" t="s">
        <v>526</v>
      </c>
      <c r="Z6" s="3381"/>
      <c r="AA6" s="3375" t="s">
        <v>522</v>
      </c>
      <c r="AB6" s="3376" t="s">
        <v>523</v>
      </c>
      <c r="AC6" s="3375" t="s">
        <v>524</v>
      </c>
    </row>
    <row r="7" spans="1:30" ht="20.25">
      <c r="A7" s="514"/>
      <c r="B7" s="515"/>
      <c r="C7" s="3403" t="s">
        <v>2919</v>
      </c>
      <c r="D7" s="3404"/>
      <c r="E7" s="3403" t="s">
        <v>2920</v>
      </c>
      <c r="F7" s="3404"/>
      <c r="G7" s="3403" t="s">
        <v>2921</v>
      </c>
      <c r="H7" s="3404"/>
      <c r="I7" s="3403" t="s">
        <v>2922</v>
      </c>
      <c r="J7" s="3404"/>
      <c r="K7" s="513"/>
      <c r="L7" s="2117"/>
      <c r="M7" s="2116"/>
      <c r="N7" s="2116"/>
      <c r="O7" s="2118"/>
      <c r="P7" s="3396"/>
      <c r="Q7" s="3397"/>
      <c r="R7" s="3382"/>
      <c r="S7" s="3383"/>
      <c r="T7" s="3382"/>
      <c r="U7" s="3383"/>
      <c r="V7" s="3400"/>
      <c r="W7" s="3400"/>
      <c r="X7" s="1553"/>
      <c r="Y7" s="3382"/>
      <c r="Z7" s="3383"/>
      <c r="AA7" s="3376"/>
      <c r="AB7" s="3376"/>
      <c r="AC7" s="3376"/>
    </row>
    <row r="8" spans="1:30" ht="21" thickBot="1">
      <c r="A8" s="514"/>
      <c r="B8" s="515"/>
      <c r="C8" s="3405" t="s">
        <v>2923</v>
      </c>
      <c r="D8" s="3406"/>
      <c r="E8" s="3405" t="str">
        <f>Sheet1!A1</f>
        <v>来龙门街道办事处马脑村</v>
      </c>
      <c r="F8" s="3406"/>
      <c r="G8" s="3401" t="str">
        <f>Sheet1!A2</f>
        <v>来龙门街道办事处珊田村、马脑村</v>
      </c>
      <c r="H8" s="3402"/>
      <c r="I8" s="3401" t="str">
        <f>Sheet1!A3</f>
        <v>国瓷街道办事处玉瓷村</v>
      </c>
      <c r="J8" s="3402"/>
      <c r="K8" s="513" t="s">
        <v>527</v>
      </c>
      <c r="L8" s="2117"/>
      <c r="M8" s="2116"/>
      <c r="N8" s="2116"/>
      <c r="O8" s="2118"/>
      <c r="P8" s="3398"/>
      <c r="Q8" s="3399"/>
      <c r="R8" s="3382"/>
      <c r="S8" s="3383"/>
      <c r="T8" s="3384"/>
      <c r="U8" s="3385"/>
      <c r="V8" s="3400"/>
      <c r="W8" s="3400"/>
      <c r="X8" s="1553"/>
      <c r="Y8" s="3384"/>
      <c r="Z8" s="3385"/>
      <c r="AA8" s="3377"/>
      <c r="AB8" s="3377"/>
      <c r="AC8" s="3377"/>
    </row>
    <row r="9" spans="1:30" s="1215" customFormat="1" ht="21" thickBot="1">
      <c r="A9" s="2866"/>
      <c r="B9" s="2873" t="s">
        <v>528</v>
      </c>
      <c r="C9" s="2865">
        <f>'数据-取费表'!B2</f>
        <v>43882</v>
      </c>
      <c r="D9" s="519">
        <v>100</v>
      </c>
      <c r="E9" s="520" t="str">
        <f>Sheet1!J1</f>
        <v>2019-09-04</v>
      </c>
      <c r="F9" s="521">
        <f>SUMIF(72:72,YEAR(E9)&amp;"-"&amp;INT((MONTH(E9)+2)/3),73:73)</f>
        <v>99</v>
      </c>
      <c r="G9" s="522" t="str">
        <f>Sheet1!J2</f>
        <v>2019-06-05</v>
      </c>
      <c r="H9" s="519">
        <f>SUMIF(72:72,YEAR(G9)&amp;"-"&amp;INT((MONTH(G9)+2)/3),73:73)</f>
        <v>98.5</v>
      </c>
      <c r="I9" s="522" t="str">
        <f>Sheet1!J3</f>
        <v>2018-10-17</v>
      </c>
      <c r="J9" s="519">
        <f>SUMIF(72:72,YEAR(I9)&amp;"-"&amp;INT((MONTH(I9)+2)/3),73:73)</f>
        <v>97.5</v>
      </c>
      <c r="K9" s="523"/>
      <c r="L9" s="2119"/>
      <c r="M9" s="2116"/>
      <c r="N9" s="2116"/>
      <c r="O9" s="2120"/>
      <c r="P9" s="3378" t="s">
        <v>529</v>
      </c>
      <c r="Q9" s="3387"/>
      <c r="R9" s="1554" t="s">
        <v>8</v>
      </c>
      <c r="S9" s="1555">
        <f t="shared" ref="S9:S17" si="0">F9</f>
        <v>99</v>
      </c>
      <c r="T9" s="1554" t="s">
        <v>8</v>
      </c>
      <c r="U9" s="1555">
        <f t="shared" ref="U9:U17" si="1">H9</f>
        <v>98.5</v>
      </c>
      <c r="V9" s="1554" t="s">
        <v>8</v>
      </c>
      <c r="W9" s="1555">
        <f t="shared" ref="W9:W17" si="2">J9</f>
        <v>97.5</v>
      </c>
      <c r="X9" s="1556"/>
      <c r="Y9" s="3378" t="s">
        <v>529</v>
      </c>
      <c r="Z9" s="3379"/>
      <c r="AA9" s="1557">
        <f>D9/F9</f>
        <v>1.0101010101010102</v>
      </c>
      <c r="AB9" s="1557">
        <f>D9/H9</f>
        <v>1.015228426395939</v>
      </c>
      <c r="AC9" s="1557">
        <f>D9/J9</f>
        <v>1.0256410256410255</v>
      </c>
    </row>
    <row r="10" spans="1:30" s="1215" customFormat="1" ht="21" thickBot="1">
      <c r="A10" s="2867"/>
      <c r="B10" s="2874" t="s">
        <v>530</v>
      </c>
      <c r="C10" s="855" t="s">
        <v>531</v>
      </c>
      <c r="D10" s="519">
        <v>100</v>
      </c>
      <c r="E10" s="524" t="s">
        <v>3007</v>
      </c>
      <c r="F10" s="521">
        <f>SUMIF(75:75,E10,76:76)-SUMIF(75:75,C10,76:76)+100</f>
        <v>100</v>
      </c>
      <c r="G10" s="524" t="s">
        <v>3007</v>
      </c>
      <c r="H10" s="519">
        <f>SUMIF(75:75,G10,76:76)-SUMIF(75:75,C10,76:76)+100</f>
        <v>100</v>
      </c>
      <c r="I10" s="524" t="s">
        <v>3007</v>
      </c>
      <c r="J10" s="519">
        <f>SUMIF(75:75,I10,76:76)-SUMIF(75:75,C10,76:76)+100</f>
        <v>100</v>
      </c>
      <c r="K10" s="523"/>
      <c r="L10" s="2119"/>
      <c r="M10" s="2116"/>
      <c r="N10" s="2116"/>
      <c r="O10" s="2120"/>
      <c r="P10" s="3378" t="s">
        <v>532</v>
      </c>
      <c r="Q10" s="3379"/>
      <c r="R10" s="1554" t="s">
        <v>8</v>
      </c>
      <c r="S10" s="1555">
        <f t="shared" si="0"/>
        <v>100</v>
      </c>
      <c r="T10" s="1554" t="s">
        <v>8</v>
      </c>
      <c r="U10" s="1555">
        <f t="shared" si="1"/>
        <v>100</v>
      </c>
      <c r="V10" s="1554" t="s">
        <v>8</v>
      </c>
      <c r="W10" s="1555">
        <f t="shared" si="2"/>
        <v>100</v>
      </c>
      <c r="X10" s="1556"/>
      <c r="Y10" s="3378" t="s">
        <v>532</v>
      </c>
      <c r="Z10" s="3379"/>
      <c r="AA10" s="1557">
        <f t="shared" ref="AA10:AA47" si="3">D10/F10</f>
        <v>1</v>
      </c>
      <c r="AB10" s="1557">
        <f t="shared" ref="AB10:AB47" si="4">D10/H10</f>
        <v>1</v>
      </c>
      <c r="AC10" s="1557">
        <f t="shared" ref="AC10:AC47" si="5">D10/J10</f>
        <v>1</v>
      </c>
    </row>
    <row r="11" spans="1:30" s="1215" customFormat="1" ht="20.25">
      <c r="A11" s="2868"/>
      <c r="B11" s="2875" t="s">
        <v>2749</v>
      </c>
      <c r="C11" s="2862" t="s">
        <v>2991</v>
      </c>
      <c r="D11" s="253">
        <v>100</v>
      </c>
      <c r="E11" s="525" t="s">
        <v>2991</v>
      </c>
      <c r="F11" s="253">
        <f>SUMIF(77:77,E11,78:78)-SUMIF(77:77,C11,78:78)+100</f>
        <v>100</v>
      </c>
      <c r="G11" s="525" t="s">
        <v>2991</v>
      </c>
      <c r="H11" s="253">
        <f>SUMIF(77:77,G11,78:78)-SUMIF(77:77,C11,78:78)+100</f>
        <v>100</v>
      </c>
      <c r="I11" s="525" t="s">
        <v>2991</v>
      </c>
      <c r="J11" s="253">
        <f>SUMIF(77:77,I11,78:78)-SUMIF(77:77,C11,78:78)+100</f>
        <v>100</v>
      </c>
      <c r="K11" s="523"/>
      <c r="L11" s="2119"/>
      <c r="M11" s="2116"/>
      <c r="N11" s="2116"/>
      <c r="O11" s="2121"/>
      <c r="P11" s="3386" t="s">
        <v>534</v>
      </c>
      <c r="Q11" s="1146" t="str">
        <f t="shared" ref="Q11:Q17" si="6">B11</f>
        <v>用途</v>
      </c>
      <c r="R11" s="1554" t="s">
        <v>8</v>
      </c>
      <c r="S11" s="1555">
        <f t="shared" si="0"/>
        <v>100</v>
      </c>
      <c r="T11" s="1554" t="s">
        <v>8</v>
      </c>
      <c r="U11" s="1555">
        <f t="shared" si="1"/>
        <v>100</v>
      </c>
      <c r="V11" s="1554" t="s">
        <v>8</v>
      </c>
      <c r="W11" s="1555">
        <f t="shared" si="2"/>
        <v>100</v>
      </c>
      <c r="X11" s="1556"/>
      <c r="Y11" s="3337" t="s">
        <v>535</v>
      </c>
      <c r="Z11" s="1145" t="str">
        <f t="shared" ref="Z11:Z17" si="7">Q11</f>
        <v>用途</v>
      </c>
      <c r="AA11" s="1557">
        <f t="shared" si="3"/>
        <v>1</v>
      </c>
      <c r="AB11" s="1557">
        <f t="shared" si="4"/>
        <v>1</v>
      </c>
      <c r="AC11" s="1557">
        <f t="shared" si="5"/>
        <v>1</v>
      </c>
    </row>
    <row r="12" spans="1:30" s="1333" customFormat="1" ht="27">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86"/>
      <c r="Q12" s="1146" t="str">
        <f t="shared" si="6"/>
        <v>土地使用年限（年）</v>
      </c>
      <c r="R12" s="1554" t="s">
        <v>8</v>
      </c>
      <c r="S12" s="1555">
        <f t="shared" si="0"/>
        <v>106</v>
      </c>
      <c r="T12" s="1554" t="s">
        <v>8</v>
      </c>
      <c r="U12" s="1555">
        <f t="shared" si="1"/>
        <v>106</v>
      </c>
      <c r="V12" s="1554" t="s">
        <v>8</v>
      </c>
      <c r="W12" s="1555">
        <f t="shared" si="2"/>
        <v>106</v>
      </c>
      <c r="X12" s="1556"/>
      <c r="Y12" s="3337"/>
      <c r="Z12" s="1145" t="str">
        <f t="shared" si="7"/>
        <v>土地使用年限（年）</v>
      </c>
      <c r="AA12" s="1557">
        <f t="shared" si="3"/>
        <v>0.94339622641509435</v>
      </c>
      <c r="AB12" s="1557">
        <f t="shared" si="4"/>
        <v>0.94339622641509435</v>
      </c>
      <c r="AC12" s="1557">
        <f t="shared" si="5"/>
        <v>0.94339622641509435</v>
      </c>
    </row>
    <row r="13" spans="1:30" ht="20.25">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86"/>
      <c r="Q13" s="1146" t="str">
        <f t="shared" si="6"/>
        <v>容积率</v>
      </c>
      <c r="R13" s="1554" t="s">
        <v>8</v>
      </c>
      <c r="S13" s="1555">
        <f t="shared" si="0"/>
        <v>101</v>
      </c>
      <c r="T13" s="1554" t="s">
        <v>8</v>
      </c>
      <c r="U13" s="1555">
        <f t="shared" si="1"/>
        <v>101</v>
      </c>
      <c r="V13" s="1554" t="s">
        <v>8</v>
      </c>
      <c r="W13" s="1555">
        <f t="shared" si="2"/>
        <v>101</v>
      </c>
      <c r="X13" s="1556"/>
      <c r="Y13" s="3337"/>
      <c r="Z13" s="1145" t="str">
        <f t="shared" si="7"/>
        <v>容积率</v>
      </c>
      <c r="AA13" s="1557">
        <f t="shared" si="3"/>
        <v>0.99009900990099009</v>
      </c>
      <c r="AB13" s="1557">
        <f t="shared" si="4"/>
        <v>0.99009900990099009</v>
      </c>
      <c r="AC13" s="1557">
        <f t="shared" si="5"/>
        <v>0.99009900990099009</v>
      </c>
    </row>
    <row r="14" spans="1:30" s="1215" customFormat="1" ht="20.25"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86"/>
      <c r="Q14" s="1146" t="str">
        <f t="shared" si="6"/>
        <v>配建</v>
      </c>
      <c r="R14" s="1554" t="s">
        <v>8</v>
      </c>
      <c r="S14" s="1555">
        <f t="shared" si="0"/>
        <v>100</v>
      </c>
      <c r="T14" s="1554" t="s">
        <v>8</v>
      </c>
      <c r="U14" s="1555">
        <f t="shared" si="1"/>
        <v>100</v>
      </c>
      <c r="V14" s="1554" t="s">
        <v>8</v>
      </c>
      <c r="W14" s="1555">
        <f t="shared" si="2"/>
        <v>100</v>
      </c>
      <c r="X14" s="1556"/>
      <c r="Y14" s="3337"/>
      <c r="Z14" s="1145" t="str">
        <f t="shared" si="7"/>
        <v>配建</v>
      </c>
      <c r="AA14" s="1557">
        <f>D14/F14</f>
        <v>1</v>
      </c>
      <c r="AB14" s="1557">
        <f>D14/H14</f>
        <v>1</v>
      </c>
      <c r="AC14" s="1557">
        <f>D14/J14</f>
        <v>1</v>
      </c>
    </row>
    <row r="15" spans="1:30" ht="20.25"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86"/>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D15/F15</f>
        <v>1</v>
      </c>
      <c r="AB15" s="1557">
        <f>D15/H15</f>
        <v>1</v>
      </c>
      <c r="AC15" s="1557">
        <f>D15/J15</f>
        <v>1</v>
      </c>
    </row>
    <row r="16" spans="1:30" ht="21"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86"/>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D16/F16</f>
        <v>1</v>
      </c>
      <c r="AB16" s="1557">
        <f>D16/H16</f>
        <v>1</v>
      </c>
      <c r="AC16" s="1557">
        <f>D16/J16</f>
        <v>1</v>
      </c>
    </row>
    <row r="17" spans="1:29" ht="20.25"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388" t="s">
        <v>539</v>
      </c>
      <c r="Q17" s="1558" t="str">
        <f t="shared" si="6"/>
        <v>居住社区成熟度</v>
      </c>
      <c r="R17" s="1559" t="s">
        <v>8</v>
      </c>
      <c r="S17" s="1560">
        <f t="shared" si="0"/>
        <v>100</v>
      </c>
      <c r="T17" s="1559" t="s">
        <v>8</v>
      </c>
      <c r="U17" s="1560">
        <f t="shared" si="1"/>
        <v>100</v>
      </c>
      <c r="V17" s="1559" t="s">
        <v>8</v>
      </c>
      <c r="W17" s="1560">
        <f t="shared" si="2"/>
        <v>100</v>
      </c>
      <c r="X17" s="1553"/>
      <c r="Y17" s="3388" t="s">
        <v>539</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6"/>
      <c r="M18" s="2116"/>
      <c r="N18" s="2116"/>
      <c r="O18" s="2125"/>
      <c r="P18" s="3389"/>
      <c r="Q18" s="1558"/>
      <c r="R18" s="1559"/>
      <c r="S18" s="1560"/>
      <c r="T18" s="1559"/>
      <c r="U18" s="1560"/>
      <c r="V18" s="1559"/>
      <c r="W18" s="1560"/>
      <c r="X18" s="1553"/>
      <c r="Y18" s="3389"/>
      <c r="Z18" s="1561"/>
      <c r="AA18" s="1562">
        <v>1</v>
      </c>
      <c r="AB18" s="1562">
        <v>1</v>
      </c>
      <c r="AC18" s="1562">
        <v>1</v>
      </c>
    </row>
    <row r="19" spans="1:29" ht="20.25">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4">
        <v>1</v>
      </c>
      <c r="L19" s="2126"/>
      <c r="M19" s="2116"/>
      <c r="N19" s="2116"/>
      <c r="O19" s="2125"/>
      <c r="P19" s="3389"/>
      <c r="Q19" s="1558" t="str">
        <f>B19</f>
        <v>商业繁华度</v>
      </c>
      <c r="R19" s="1559" t="s">
        <v>8</v>
      </c>
      <c r="S19" s="1560">
        <f>F19</f>
        <v>101</v>
      </c>
      <c r="T19" s="1559" t="s">
        <v>8</v>
      </c>
      <c r="U19" s="1560">
        <f>H19</f>
        <v>101</v>
      </c>
      <c r="V19" s="1559" t="s">
        <v>8</v>
      </c>
      <c r="W19" s="1560">
        <f>J19</f>
        <v>101</v>
      </c>
      <c r="X19" s="1553"/>
      <c r="Y19" s="3389"/>
      <c r="Z19" s="1561" t="str">
        <f>Q19</f>
        <v>商业繁华度</v>
      </c>
      <c r="AA19" s="1562">
        <f t="shared" si="3"/>
        <v>0.99009900990099009</v>
      </c>
      <c r="AB19" s="1562">
        <f t="shared" si="4"/>
        <v>0.99009900990099009</v>
      </c>
      <c r="AC19" s="1562">
        <f t="shared" si="5"/>
        <v>0.99009900990099009</v>
      </c>
    </row>
    <row r="20" spans="1:29" ht="19.149999999999999" customHeight="1">
      <c r="A20" s="531"/>
      <c r="B20" s="565"/>
      <c r="C20" s="566" t="s">
        <v>3008</v>
      </c>
      <c r="D20" s="562"/>
      <c r="E20" s="568" t="s">
        <v>3009</v>
      </c>
      <c r="F20" s="558"/>
      <c r="G20" s="567" t="s">
        <v>3009</v>
      </c>
      <c r="H20" s="554"/>
      <c r="I20" s="568" t="s">
        <v>3009</v>
      </c>
      <c r="J20" s="554"/>
      <c r="K20" s="530"/>
      <c r="L20" s="2126"/>
      <c r="M20" s="2116"/>
      <c r="N20" s="2116"/>
      <c r="O20" s="2125"/>
      <c r="P20" s="3389"/>
      <c r="Q20" s="1558"/>
      <c r="R20" s="1559"/>
      <c r="S20" s="1560"/>
      <c r="T20" s="1559"/>
      <c r="U20" s="1560"/>
      <c r="V20" s="1559"/>
      <c r="W20" s="1560"/>
      <c r="X20" s="1553"/>
      <c r="Y20" s="3389"/>
      <c r="Z20" s="1561"/>
      <c r="AA20" s="1562">
        <v>1</v>
      </c>
      <c r="AB20" s="1562">
        <v>1</v>
      </c>
      <c r="AC20" s="1562">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89"/>
      <c r="Q21" s="1558" t="str">
        <f>B21</f>
        <v>办公集聚程度</v>
      </c>
      <c r="R21" s="1559" t="s">
        <v>8</v>
      </c>
      <c r="S21" s="1560">
        <f>F21</f>
        <v>100</v>
      </c>
      <c r="T21" s="1559" t="s">
        <v>8</v>
      </c>
      <c r="U21" s="1560">
        <f>H21</f>
        <v>100</v>
      </c>
      <c r="V21" s="1559" t="s">
        <v>8</v>
      </c>
      <c r="W21" s="1560">
        <f>J21</f>
        <v>100</v>
      </c>
      <c r="X21" s="1553"/>
      <c r="Y21" s="3389"/>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6"/>
      <c r="M22" s="2116"/>
      <c r="N22" s="2116"/>
      <c r="O22" s="2125"/>
      <c r="P22" s="3389"/>
      <c r="Q22" s="1558"/>
      <c r="R22" s="1559"/>
      <c r="S22" s="1560"/>
      <c r="T22" s="1559"/>
      <c r="U22" s="1560"/>
      <c r="V22" s="1559"/>
      <c r="W22" s="1560"/>
      <c r="X22" s="1553"/>
      <c r="Y22" s="3389"/>
      <c r="Z22" s="1561"/>
      <c r="AA22" s="1562">
        <v>1</v>
      </c>
      <c r="AB22" s="1562">
        <v>1</v>
      </c>
      <c r="AC22" s="1562">
        <v>1</v>
      </c>
    </row>
    <row r="23" spans="1:29" ht="20.25">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4">
        <v>1</v>
      </c>
      <c r="L23" s="2126"/>
      <c r="M23" s="2116"/>
      <c r="N23" s="2116"/>
      <c r="O23" s="2125"/>
      <c r="P23" s="3389"/>
      <c r="Q23" s="1558" t="str">
        <f>B23</f>
        <v>交通便捷度</v>
      </c>
      <c r="R23" s="1559" t="s">
        <v>8</v>
      </c>
      <c r="S23" s="1560">
        <f>F23</f>
        <v>100</v>
      </c>
      <c r="T23" s="1559" t="s">
        <v>8</v>
      </c>
      <c r="U23" s="1560">
        <f>H23</f>
        <v>100</v>
      </c>
      <c r="V23" s="1559" t="s">
        <v>8</v>
      </c>
      <c r="W23" s="1560">
        <f>J23</f>
        <v>101</v>
      </c>
      <c r="X23" s="1553"/>
      <c r="Y23" s="3389"/>
      <c r="Z23" s="1561" t="str">
        <f>Q23</f>
        <v>交通便捷度</v>
      </c>
      <c r="AA23" s="1562">
        <f t="shared" si="3"/>
        <v>1</v>
      </c>
      <c r="AB23" s="1562">
        <f t="shared" si="4"/>
        <v>1</v>
      </c>
      <c r="AC23" s="1562">
        <f t="shared" si="5"/>
        <v>0.99009900990099009</v>
      </c>
    </row>
    <row r="24" spans="1:29" ht="20.25">
      <c r="A24" s="531"/>
      <c r="B24" s="577"/>
      <c r="C24" s="553" t="s">
        <v>3008</v>
      </c>
      <c r="D24" s="556"/>
      <c r="E24" s="553" t="s">
        <v>3008</v>
      </c>
      <c r="F24" s="554"/>
      <c r="G24" s="553" t="s">
        <v>3008</v>
      </c>
      <c r="H24" s="554"/>
      <c r="I24" s="557" t="s">
        <v>3009</v>
      </c>
      <c r="J24" s="554"/>
      <c r="K24" s="530"/>
      <c r="L24" s="2126"/>
      <c r="M24" s="2116"/>
      <c r="N24" s="2116"/>
      <c r="O24" s="2125"/>
      <c r="P24" s="3389"/>
      <c r="Q24" s="1558"/>
      <c r="R24" s="1559"/>
      <c r="S24" s="1560"/>
      <c r="T24" s="1559"/>
      <c r="U24" s="1560"/>
      <c r="V24" s="1559"/>
      <c r="W24" s="1560"/>
      <c r="X24" s="1553"/>
      <c r="Y24" s="3389"/>
      <c r="Z24" s="1561"/>
      <c r="AA24" s="1562">
        <v>1</v>
      </c>
      <c r="AB24" s="1562">
        <v>1</v>
      </c>
      <c r="AC24" s="1562">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389"/>
      <c r="Q25" s="1558" t="str">
        <f t="shared" ref="Q25:Q39" si="8">B25</f>
        <v>区域土地利用方向</v>
      </c>
      <c r="R25" s="1559" t="s">
        <v>8</v>
      </c>
      <c r="S25" s="1560">
        <f>F25</f>
        <v>100</v>
      </c>
      <c r="T25" s="1559" t="s">
        <v>8</v>
      </c>
      <c r="U25" s="1560">
        <f>H25</f>
        <v>100</v>
      </c>
      <c r="V25" s="1559" t="s">
        <v>8</v>
      </c>
      <c r="W25" s="1560">
        <f>J25</f>
        <v>100</v>
      </c>
      <c r="X25" s="1553"/>
      <c r="Y25" s="3389"/>
      <c r="Z25" s="1561" t="str">
        <f>Q25</f>
        <v>区域土地利用方向</v>
      </c>
      <c r="AA25" s="1562">
        <f t="shared" si="3"/>
        <v>1</v>
      </c>
      <c r="AB25" s="1562">
        <f t="shared" si="4"/>
        <v>1</v>
      </c>
      <c r="AC25" s="1562">
        <f t="shared" si="5"/>
        <v>1</v>
      </c>
    </row>
    <row r="26" spans="1:29" ht="20.25">
      <c r="A26" s="514"/>
      <c r="B26" s="1006"/>
      <c r="C26" s="553" t="s">
        <v>3009</v>
      </c>
      <c r="D26" s="556"/>
      <c r="E26" s="553" t="s">
        <v>3009</v>
      </c>
      <c r="F26" s="554"/>
      <c r="G26" s="553" t="s">
        <v>3009</v>
      </c>
      <c r="H26" s="554"/>
      <c r="I26" s="553" t="s">
        <v>3009</v>
      </c>
      <c r="J26" s="554"/>
      <c r="K26" s="530"/>
      <c r="L26" s="2126"/>
      <c r="M26" s="2116"/>
      <c r="N26" s="2116"/>
      <c r="O26" s="2125"/>
      <c r="P26" s="3389"/>
      <c r="Q26" s="1558"/>
      <c r="R26" s="1559"/>
      <c r="S26" s="1560"/>
      <c r="T26" s="1559"/>
      <c r="U26" s="1560"/>
      <c r="V26" s="1559"/>
      <c r="W26" s="1560"/>
      <c r="X26" s="1553"/>
      <c r="Y26" s="3389"/>
      <c r="Z26" s="1561"/>
      <c r="AA26" s="1562"/>
      <c r="AB26" s="1562"/>
      <c r="AC26" s="1562"/>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389"/>
      <c r="Q27" s="1558" t="str">
        <f t="shared" si="8"/>
        <v>自然及人文环境状况</v>
      </c>
      <c r="R27" s="1559" t="s">
        <v>8</v>
      </c>
      <c r="S27" s="1560">
        <f>F27</f>
        <v>100</v>
      </c>
      <c r="T27" s="1559" t="s">
        <v>8</v>
      </c>
      <c r="U27" s="1560">
        <f>H27</f>
        <v>100</v>
      </c>
      <c r="V27" s="1559" t="s">
        <v>8</v>
      </c>
      <c r="W27" s="1560">
        <f>J27</f>
        <v>100</v>
      </c>
      <c r="X27" s="1553"/>
      <c r="Y27" s="3389"/>
      <c r="Z27" s="1561" t="str">
        <f>Q27</f>
        <v>自然及人文环境状况</v>
      </c>
      <c r="AA27" s="1562">
        <f t="shared" si="3"/>
        <v>1</v>
      </c>
      <c r="AB27" s="1562">
        <f t="shared" si="4"/>
        <v>1</v>
      </c>
      <c r="AC27" s="1562">
        <f t="shared" si="5"/>
        <v>1</v>
      </c>
    </row>
    <row r="28" spans="1:29" ht="20.25">
      <c r="A28" s="514"/>
      <c r="B28" s="565"/>
      <c r="C28" s="553" t="s">
        <v>3009</v>
      </c>
      <c r="D28" s="556"/>
      <c r="E28" s="553" t="s">
        <v>3009</v>
      </c>
      <c r="F28" s="554"/>
      <c r="G28" s="553" t="s">
        <v>3009</v>
      </c>
      <c r="H28" s="554"/>
      <c r="I28" s="553" t="s">
        <v>3009</v>
      </c>
      <c r="J28" s="554"/>
      <c r="K28" s="530"/>
      <c r="L28" s="2126"/>
      <c r="M28" s="2116"/>
      <c r="N28" s="2116"/>
      <c r="O28" s="2125"/>
      <c r="P28" s="3389"/>
      <c r="Q28" s="1558"/>
      <c r="R28" s="1559"/>
      <c r="S28" s="1560"/>
      <c r="T28" s="1559"/>
      <c r="U28" s="1560"/>
      <c r="V28" s="1559"/>
      <c r="W28" s="1560"/>
      <c r="X28" s="1553"/>
      <c r="Y28" s="3389"/>
      <c r="Z28" s="1561"/>
      <c r="AA28" s="1562">
        <v>1</v>
      </c>
      <c r="AB28" s="1562">
        <v>1</v>
      </c>
      <c r="AC28" s="1562">
        <v>1</v>
      </c>
    </row>
    <row r="29" spans="1:29" s="1215" customFormat="1" ht="20.25">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4">
        <v>1</v>
      </c>
      <c r="L29" s="2119"/>
      <c r="M29" s="2116"/>
      <c r="N29" s="2116"/>
      <c r="O29" s="2121"/>
      <c r="P29" s="3389"/>
      <c r="Q29" s="1146" t="str">
        <f t="shared" si="8"/>
        <v>公共配套设施</v>
      </c>
      <c r="R29" s="1554" t="s">
        <v>8</v>
      </c>
      <c r="S29" s="1555">
        <f>F29</f>
        <v>101</v>
      </c>
      <c r="T29" s="1554" t="s">
        <v>8</v>
      </c>
      <c r="U29" s="1555">
        <f>H29</f>
        <v>101</v>
      </c>
      <c r="V29" s="1554" t="s">
        <v>8</v>
      </c>
      <c r="W29" s="1555">
        <f>J29</f>
        <v>101</v>
      </c>
      <c r="X29" s="1556"/>
      <c r="Y29" s="3389"/>
      <c r="Z29" s="1145" t="str">
        <f>Q29</f>
        <v>公共配套设施</v>
      </c>
      <c r="AA29" s="1562">
        <f>D29/F29</f>
        <v>0.99009900990099009</v>
      </c>
      <c r="AB29" s="1562">
        <f>D29/H29</f>
        <v>0.99009900990099009</v>
      </c>
      <c r="AC29" s="1562">
        <f>D29/J29</f>
        <v>0.99009900990099009</v>
      </c>
    </row>
    <row r="30" spans="1:29" s="1215" customFormat="1" ht="20.25">
      <c r="A30" s="576"/>
      <c r="B30" s="565"/>
      <c r="C30" s="578" t="s">
        <v>3008</v>
      </c>
      <c r="D30" s="556"/>
      <c r="E30" s="575" t="s">
        <v>3009</v>
      </c>
      <c r="F30" s="554"/>
      <c r="G30" s="575" t="s">
        <v>3009</v>
      </c>
      <c r="H30" s="554"/>
      <c r="I30" s="575" t="s">
        <v>3009</v>
      </c>
      <c r="J30" s="554"/>
      <c r="K30" s="530"/>
      <c r="L30" s="2119"/>
      <c r="M30" s="2116"/>
      <c r="N30" s="2116"/>
      <c r="O30" s="2121"/>
      <c r="P30" s="3389"/>
      <c r="Q30" s="1146"/>
      <c r="R30" s="1554"/>
      <c r="S30" s="1555"/>
      <c r="T30" s="1554"/>
      <c r="U30" s="1555"/>
      <c r="V30" s="1554"/>
      <c r="W30" s="1555"/>
      <c r="X30" s="1556"/>
      <c r="Y30" s="3389"/>
      <c r="Z30" s="1145"/>
      <c r="AA30" s="1562">
        <v>1</v>
      </c>
      <c r="AB30" s="1562">
        <v>1</v>
      </c>
      <c r="AC30" s="1562">
        <v>1</v>
      </c>
    </row>
    <row r="31" spans="1:29" s="1215" customFormat="1" ht="20.25">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389"/>
      <c r="Q31" s="2541" t="str">
        <f t="shared" ref="Q31" si="9">B31</f>
        <v>基础设施水平</v>
      </c>
      <c r="R31" s="1554" t="s">
        <v>8</v>
      </c>
      <c r="S31" s="1555">
        <f>F31</f>
        <v>100</v>
      </c>
      <c r="T31" s="1554" t="s">
        <v>8</v>
      </c>
      <c r="U31" s="1555">
        <f>H31</f>
        <v>100</v>
      </c>
      <c r="V31" s="1554" t="s">
        <v>8</v>
      </c>
      <c r="W31" s="1555">
        <f>J31</f>
        <v>100</v>
      </c>
      <c r="X31" s="1556"/>
      <c r="Y31" s="3389"/>
      <c r="Z31" s="2538" t="str">
        <f>Q31</f>
        <v>基础设施水平</v>
      </c>
      <c r="AA31" s="1562">
        <f>D31/F31</f>
        <v>1</v>
      </c>
      <c r="AB31" s="1562">
        <f>D31/H31</f>
        <v>1</v>
      </c>
      <c r="AC31" s="1562">
        <f>D31/J31</f>
        <v>1</v>
      </c>
    </row>
    <row r="32" spans="1:29" s="1215" customFormat="1" ht="20.25">
      <c r="A32" s="576"/>
      <c r="B32" s="565"/>
      <c r="C32" s="578" t="s">
        <v>3010</v>
      </c>
      <c r="D32" s="556"/>
      <c r="E32" s="2555" t="s">
        <v>3010</v>
      </c>
      <c r="F32" s="554"/>
      <c r="G32" s="578" t="s">
        <v>3010</v>
      </c>
      <c r="H32" s="554"/>
      <c r="I32" s="578" t="s">
        <v>3010</v>
      </c>
      <c r="J32" s="554"/>
      <c r="K32" s="530"/>
      <c r="L32" s="2119"/>
      <c r="M32" s="2116"/>
      <c r="N32" s="2116"/>
      <c r="O32" s="2121"/>
      <c r="P32" s="3389"/>
      <c r="Q32" s="2541"/>
      <c r="R32" s="1554"/>
      <c r="S32" s="1555"/>
      <c r="T32" s="1554"/>
      <c r="U32" s="1555"/>
      <c r="V32" s="1554"/>
      <c r="W32" s="1555"/>
      <c r="X32" s="1556"/>
      <c r="Y32" s="3389"/>
      <c r="Z32" s="2538"/>
      <c r="AA32" s="1562">
        <v>1</v>
      </c>
      <c r="AB32" s="1562">
        <v>1</v>
      </c>
      <c r="AC32" s="1562">
        <v>1</v>
      </c>
    </row>
    <row r="33" spans="1:29" ht="21"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8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9"/>
      <c r="Z33" s="1561" t="str">
        <f t="shared" ref="Z33:Z47" si="13">Q33</f>
        <v>临街状况</v>
      </c>
      <c r="AA33" s="1562">
        <f t="shared" si="3"/>
        <v>1</v>
      </c>
      <c r="AB33" s="1562">
        <f t="shared" si="4"/>
        <v>1</v>
      </c>
      <c r="AC33" s="1562">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89"/>
      <c r="Q34" s="1558" t="str">
        <f t="shared" si="8"/>
        <v>毗邻道路的类型与等级</v>
      </c>
      <c r="R34" s="1559" t="s">
        <v>8</v>
      </c>
      <c r="S34" s="1560">
        <f t="shared" si="10"/>
        <v>100</v>
      </c>
      <c r="T34" s="1559" t="s">
        <v>8</v>
      </c>
      <c r="U34" s="1560">
        <f t="shared" si="11"/>
        <v>100</v>
      </c>
      <c r="V34" s="1559" t="s">
        <v>8</v>
      </c>
      <c r="W34" s="1560">
        <f t="shared" si="12"/>
        <v>100</v>
      </c>
      <c r="X34" s="1553"/>
      <c r="Y34" s="3389"/>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6"/>
      <c r="M35" s="2116"/>
      <c r="N35" s="2116"/>
      <c r="O35" s="2125"/>
      <c r="P35" s="3389"/>
      <c r="Q35" s="1558"/>
      <c r="R35" s="1559"/>
      <c r="S35" s="1560"/>
      <c r="T35" s="1559"/>
      <c r="U35" s="1560"/>
      <c r="V35" s="1559"/>
      <c r="W35" s="1560"/>
      <c r="X35" s="1553"/>
      <c r="Y35" s="3389"/>
      <c r="Z35" s="1561"/>
      <c r="AA35" s="1562">
        <v>1</v>
      </c>
      <c r="AB35" s="1562">
        <v>1</v>
      </c>
      <c r="AC35" s="1562">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89"/>
      <c r="Q36" s="1558" t="str">
        <f t="shared" si="8"/>
        <v>土地级别</v>
      </c>
      <c r="R36" s="1559" t="s">
        <v>8</v>
      </c>
      <c r="S36" s="1560">
        <f t="shared" si="10"/>
        <v>100</v>
      </c>
      <c r="T36" s="1559" t="s">
        <v>8</v>
      </c>
      <c r="U36" s="1560">
        <f t="shared" si="11"/>
        <v>100</v>
      </c>
      <c r="V36" s="1559" t="s">
        <v>8</v>
      </c>
      <c r="W36" s="1560">
        <f t="shared" si="12"/>
        <v>100</v>
      </c>
      <c r="X36" s="1553"/>
      <c r="Y36" s="3389"/>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89"/>
      <c r="Q37" s="1558">
        <f t="shared" si="8"/>
        <v>111</v>
      </c>
      <c r="R37" s="1559" t="s">
        <v>8</v>
      </c>
      <c r="S37" s="1560">
        <f t="shared" si="10"/>
        <v>100</v>
      </c>
      <c r="T37" s="1559" t="s">
        <v>8</v>
      </c>
      <c r="U37" s="1560">
        <f t="shared" si="11"/>
        <v>100</v>
      </c>
      <c r="V37" s="1559" t="s">
        <v>8</v>
      </c>
      <c r="W37" s="1560">
        <f t="shared" si="12"/>
        <v>100</v>
      </c>
      <c r="X37" s="1553"/>
      <c r="Y37" s="3389"/>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90" t="s">
        <v>549</v>
      </c>
      <c r="Q38" s="1558">
        <f t="shared" si="8"/>
        <v>111</v>
      </c>
      <c r="R38" s="1559" t="s">
        <v>8</v>
      </c>
      <c r="S38" s="1560">
        <f t="shared" si="10"/>
        <v>100</v>
      </c>
      <c r="T38" s="1559" t="s">
        <v>8</v>
      </c>
      <c r="U38" s="1560">
        <f t="shared" si="11"/>
        <v>100</v>
      </c>
      <c r="V38" s="1559" t="s">
        <v>8</v>
      </c>
      <c r="W38" s="1560">
        <f t="shared" si="12"/>
        <v>100</v>
      </c>
      <c r="X38" s="1553"/>
      <c r="Y38" s="3391" t="s">
        <v>549</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91"/>
      <c r="Q39" s="1558">
        <f t="shared" si="8"/>
        <v>111</v>
      </c>
      <c r="R39" s="1563" t="s">
        <v>8</v>
      </c>
      <c r="S39" s="1564">
        <f t="shared" si="10"/>
        <v>100</v>
      </c>
      <c r="T39" s="1563" t="s">
        <v>8</v>
      </c>
      <c r="U39" s="1564">
        <f t="shared" si="11"/>
        <v>100</v>
      </c>
      <c r="V39" s="1563" t="s">
        <v>8</v>
      </c>
      <c r="W39" s="1564">
        <f t="shared" si="12"/>
        <v>100</v>
      </c>
      <c r="X39" s="1565"/>
      <c r="Y39" s="3391"/>
      <c r="Z39" s="1566">
        <f t="shared" si="13"/>
        <v>111</v>
      </c>
      <c r="AA39" s="1562">
        <f t="shared" si="3"/>
        <v>1</v>
      </c>
      <c r="AB39" s="1562">
        <f t="shared" si="4"/>
        <v>1</v>
      </c>
      <c r="AC39" s="1562">
        <f t="shared" si="5"/>
        <v>1</v>
      </c>
    </row>
    <row r="40" spans="1:29" ht="20.25">
      <c r="A40" s="2861" t="s">
        <v>2748</v>
      </c>
      <c r="B40" s="594" t="s">
        <v>551</v>
      </c>
      <c r="C40" s="595">
        <f>'数据-基础表'!A3</f>
        <v>64529.83</v>
      </c>
      <c r="D40" s="596">
        <v>100</v>
      </c>
      <c r="E40" s="595">
        <f>Sheet1!F1</f>
        <v>37083.589999999997</v>
      </c>
      <c r="F40" s="596">
        <f>LOOKUP(E40,119:119,120:120)-LOOKUP(C40,119:119,120:120)+100</f>
        <v>99.5</v>
      </c>
      <c r="G40" s="595">
        <f>Sheet1!F2</f>
        <v>69759.63</v>
      </c>
      <c r="H40" s="596">
        <f>LOOKUP(G40,119:119,120:120)-LOOKUP(C40,119:119,120:120)+100</f>
        <v>100</v>
      </c>
      <c r="I40" s="597">
        <f>Sheet1!F3</f>
        <v>56887.58</v>
      </c>
      <c r="J40" s="596">
        <f>LOOKUP(I40,119:119,120:120)-LOOKUP(C40,119:119,120:120)+100</f>
        <v>99.5</v>
      </c>
      <c r="K40" s="580"/>
      <c r="L40" s="2126"/>
      <c r="M40" s="2116"/>
      <c r="N40" s="2116"/>
      <c r="O40" s="2125"/>
      <c r="P40" s="3391"/>
      <c r="Q40" s="1558" t="str">
        <f>B40</f>
        <v>宗地面积</v>
      </c>
      <c r="R40" s="1559" t="s">
        <v>8</v>
      </c>
      <c r="S40" s="1560">
        <f t="shared" si="10"/>
        <v>99.5</v>
      </c>
      <c r="T40" s="1559" t="s">
        <v>8</v>
      </c>
      <c r="U40" s="1560">
        <f t="shared" si="11"/>
        <v>100</v>
      </c>
      <c r="V40" s="1559" t="s">
        <v>8</v>
      </c>
      <c r="W40" s="1560">
        <f t="shared" si="12"/>
        <v>99.5</v>
      </c>
      <c r="X40" s="1553"/>
      <c r="Y40" s="3391"/>
      <c r="Z40" s="1561" t="str">
        <f t="shared" si="13"/>
        <v>宗地面积</v>
      </c>
      <c r="AA40" s="1562">
        <f t="shared" si="3"/>
        <v>1.0050251256281406</v>
      </c>
      <c r="AB40" s="1562">
        <f t="shared" si="4"/>
        <v>1</v>
      </c>
      <c r="AC40" s="1562">
        <f t="shared" si="5"/>
        <v>1.0050251256281406</v>
      </c>
    </row>
    <row r="41" spans="1:29" ht="20.25">
      <c r="A41" s="593"/>
      <c r="B41" s="526" t="s">
        <v>552</v>
      </c>
      <c r="C41" s="598" t="s">
        <v>3020</v>
      </c>
      <c r="D41" s="539">
        <v>100</v>
      </c>
      <c r="E41" s="598" t="s">
        <v>3020</v>
      </c>
      <c r="F41" s="539">
        <f>SUMIF(121:121,E41,122:122)-SUMIF(121:121,C41,122:122)+100</f>
        <v>100</v>
      </c>
      <c r="G41" s="598" t="s">
        <v>3020</v>
      </c>
      <c r="H41" s="539">
        <f>SUMIF(121:121,G41,122:122)-SUMIF(121:121,C41,122:122)+100</f>
        <v>100</v>
      </c>
      <c r="I41" s="598" t="s">
        <v>3020</v>
      </c>
      <c r="J41" s="539">
        <f>SUMIF(121:121,I41,122:122)-SUMIF(121:121,C41,122:122)+100</f>
        <v>100</v>
      </c>
      <c r="K41" s="583">
        <v>1</v>
      </c>
      <c r="L41" s="2126"/>
      <c r="M41" s="2116"/>
      <c r="N41" s="2116"/>
      <c r="O41" s="2125"/>
      <c r="P41" s="3391"/>
      <c r="Q41" s="1558" t="str">
        <f t="shared" ref="Q41:Q47" si="14">B41</f>
        <v>宗地形状</v>
      </c>
      <c r="R41" s="1559" t="s">
        <v>8</v>
      </c>
      <c r="S41" s="1560">
        <f t="shared" si="10"/>
        <v>100</v>
      </c>
      <c r="T41" s="1559" t="s">
        <v>8</v>
      </c>
      <c r="U41" s="1560">
        <f t="shared" si="11"/>
        <v>100</v>
      </c>
      <c r="V41" s="1559" t="s">
        <v>8</v>
      </c>
      <c r="W41" s="1560">
        <f t="shared" si="12"/>
        <v>100</v>
      </c>
      <c r="X41" s="1553"/>
      <c r="Y41" s="3391"/>
      <c r="Z41" s="1561" t="str">
        <f t="shared" si="13"/>
        <v>宗地形状</v>
      </c>
      <c r="AA41" s="1562">
        <f t="shared" si="3"/>
        <v>1</v>
      </c>
      <c r="AB41" s="1562">
        <f t="shared" si="4"/>
        <v>1</v>
      </c>
      <c r="AC41" s="1562">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91"/>
      <c r="Q42" s="1558" t="str">
        <f t="shared" si="14"/>
        <v>临街宽度及深度</v>
      </c>
      <c r="R42" s="1559" t="s">
        <v>8</v>
      </c>
      <c r="S42" s="1560">
        <f t="shared" si="10"/>
        <v>100</v>
      </c>
      <c r="T42" s="1559" t="s">
        <v>8</v>
      </c>
      <c r="U42" s="1560">
        <f t="shared" si="11"/>
        <v>100</v>
      </c>
      <c r="V42" s="1559" t="s">
        <v>8</v>
      </c>
      <c r="W42" s="1560">
        <f t="shared" si="12"/>
        <v>100</v>
      </c>
      <c r="X42" s="1553"/>
      <c r="Y42" s="3391"/>
      <c r="Z42" s="1561" t="str">
        <f t="shared" si="13"/>
        <v>临街宽度及深度</v>
      </c>
      <c r="AA42" s="1562">
        <f t="shared" si="3"/>
        <v>1</v>
      </c>
      <c r="AB42" s="1562">
        <f t="shared" si="4"/>
        <v>1</v>
      </c>
      <c r="AC42" s="1562">
        <f t="shared" si="5"/>
        <v>1</v>
      </c>
    </row>
    <row r="43" spans="1:29" s="1215" customFormat="1" ht="20.25">
      <c r="A43" s="599"/>
      <c r="B43" s="1879" t="s">
        <v>2418</v>
      </c>
      <c r="C43" s="600" t="s">
        <v>3158</v>
      </c>
      <c r="D43" s="254">
        <v>100</v>
      </c>
      <c r="E43" s="600" t="s">
        <v>3158</v>
      </c>
      <c r="F43" s="539">
        <f>SUMIF(125:125,E43,126:126)-SUMIF(125:125,C43,126:126)+100</f>
        <v>100</v>
      </c>
      <c r="G43" s="600" t="s">
        <v>3158</v>
      </c>
      <c r="H43" s="539">
        <f>SUMIF(125:125,G43,126:126)-SUMIF(125:125,C43,126:126)+100</f>
        <v>100</v>
      </c>
      <c r="I43" s="600" t="s">
        <v>3158</v>
      </c>
      <c r="J43" s="539">
        <f>SUMIF(125:125,I43,126:126)-SUMIF(125:125,C43,126:126)+100</f>
        <v>100</v>
      </c>
      <c r="K43" s="583">
        <v>1</v>
      </c>
      <c r="L43" s="2119"/>
      <c r="M43" s="2116"/>
      <c r="N43" s="2116"/>
      <c r="O43" s="2121"/>
      <c r="P43" s="3391"/>
      <c r="Q43" s="1558" t="str">
        <f t="shared" si="14"/>
        <v>宗地开发程度</v>
      </c>
      <c r="R43" s="1554" t="s">
        <v>8</v>
      </c>
      <c r="S43" s="1555">
        <f t="shared" si="10"/>
        <v>100</v>
      </c>
      <c r="T43" s="1554" t="s">
        <v>8</v>
      </c>
      <c r="U43" s="1555">
        <f t="shared" si="11"/>
        <v>100</v>
      </c>
      <c r="V43" s="1554" t="s">
        <v>8</v>
      </c>
      <c r="W43" s="1555">
        <f t="shared" si="12"/>
        <v>100</v>
      </c>
      <c r="X43" s="1556"/>
      <c r="Y43" s="3391"/>
      <c r="Z43" s="1145" t="str">
        <f t="shared" si="13"/>
        <v>宗地开发程度</v>
      </c>
      <c r="AA43" s="1557">
        <f t="shared" si="3"/>
        <v>1</v>
      </c>
      <c r="AB43" s="1557">
        <f t="shared" si="4"/>
        <v>1</v>
      </c>
      <c r="AC43" s="1557">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91" t="s">
        <v>549</v>
      </c>
      <c r="Q44" s="1558" t="str">
        <f t="shared" si="14"/>
        <v>工程地质条件</v>
      </c>
      <c r="R44" s="1559" t="s">
        <v>8</v>
      </c>
      <c r="S44" s="1560">
        <f t="shared" si="10"/>
        <v>100</v>
      </c>
      <c r="T44" s="1559" t="s">
        <v>8</v>
      </c>
      <c r="U44" s="1560">
        <f t="shared" si="11"/>
        <v>100</v>
      </c>
      <c r="V44" s="1559" t="s">
        <v>8</v>
      </c>
      <c r="W44" s="1560">
        <f t="shared" si="12"/>
        <v>100</v>
      </c>
      <c r="X44" s="1553"/>
      <c r="Y44" s="3391" t="s">
        <v>549</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91"/>
      <c r="Q45" s="1558">
        <f t="shared" si="14"/>
        <v>111</v>
      </c>
      <c r="R45" s="1559" t="s">
        <v>8</v>
      </c>
      <c r="S45" s="1560">
        <f t="shared" si="10"/>
        <v>100</v>
      </c>
      <c r="T45" s="1559" t="s">
        <v>8</v>
      </c>
      <c r="U45" s="1560">
        <f t="shared" si="11"/>
        <v>100</v>
      </c>
      <c r="V45" s="1559" t="s">
        <v>8</v>
      </c>
      <c r="W45" s="1560">
        <f t="shared" si="12"/>
        <v>100</v>
      </c>
      <c r="X45" s="1553"/>
      <c r="Y45" s="3391"/>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91"/>
      <c r="Q46" s="1558">
        <f t="shared" si="14"/>
        <v>111</v>
      </c>
      <c r="R46" s="1559" t="s">
        <v>8</v>
      </c>
      <c r="S46" s="1560">
        <f t="shared" si="10"/>
        <v>100</v>
      </c>
      <c r="T46" s="1559" t="s">
        <v>8</v>
      </c>
      <c r="U46" s="1560">
        <f t="shared" si="11"/>
        <v>100</v>
      </c>
      <c r="V46" s="1559" t="s">
        <v>8</v>
      </c>
      <c r="W46" s="1560">
        <f t="shared" si="12"/>
        <v>100</v>
      </c>
      <c r="X46" s="1553"/>
      <c r="Y46" s="3391"/>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91"/>
      <c r="Q47" s="1558">
        <f t="shared" si="14"/>
        <v>111</v>
      </c>
      <c r="R47" s="1563" t="s">
        <v>8</v>
      </c>
      <c r="S47" s="1564">
        <f t="shared" si="10"/>
        <v>100</v>
      </c>
      <c r="T47" s="1563" t="s">
        <v>8</v>
      </c>
      <c r="U47" s="1564">
        <f t="shared" si="11"/>
        <v>100</v>
      </c>
      <c r="V47" s="1563" t="s">
        <v>8</v>
      </c>
      <c r="W47" s="1564">
        <f t="shared" si="12"/>
        <v>100</v>
      </c>
      <c r="X47" s="1565"/>
      <c r="Y47" s="3391"/>
      <c r="Z47" s="1566">
        <f t="shared" si="13"/>
        <v>111</v>
      </c>
      <c r="AA47" s="1562">
        <f t="shared" si="3"/>
        <v>1</v>
      </c>
      <c r="AB47" s="1562">
        <f t="shared" si="4"/>
        <v>1</v>
      </c>
      <c r="AC47" s="1562">
        <f t="shared" si="5"/>
        <v>1</v>
      </c>
    </row>
    <row r="48" spans="1:29" ht="20.25">
      <c r="A48" s="606" t="s">
        <v>555</v>
      </c>
      <c r="B48" s="607" t="s">
        <v>3022</v>
      </c>
      <c r="C48" s="608" t="s">
        <v>1</v>
      </c>
      <c r="D48" s="609"/>
      <c r="E48" s="610">
        <f>Sheet1!N1</f>
        <v>2050</v>
      </c>
      <c r="F48" s="611"/>
      <c r="G48" s="612">
        <f>Sheet1!N2</f>
        <v>2200</v>
      </c>
      <c r="H48" s="613"/>
      <c r="I48" s="610">
        <f>ROUND(Sheet1!N3,0)</f>
        <v>2662</v>
      </c>
      <c r="J48" s="613"/>
      <c r="K48" s="1335"/>
      <c r="L48" s="2128"/>
      <c r="M48" s="2116"/>
      <c r="N48" s="2116"/>
      <c r="O48" s="2129"/>
      <c r="P48" s="3386" t="str">
        <f>A48</f>
        <v>成交单价</v>
      </c>
      <c r="Q48" s="3386"/>
      <c r="R48" s="3400">
        <f>E48</f>
        <v>2050</v>
      </c>
      <c r="S48" s="3400"/>
      <c r="T48" s="3400">
        <f>G48</f>
        <v>2200</v>
      </c>
      <c r="U48" s="3400"/>
      <c r="V48" s="3400">
        <f>I48</f>
        <v>2662</v>
      </c>
      <c r="W48" s="3400"/>
      <c r="X48" s="1545"/>
      <c r="Y48" s="1567"/>
      <c r="Z48" s="1545"/>
      <c r="AA48" s="1545"/>
      <c r="AB48" s="1545"/>
      <c r="AC48" s="1545"/>
    </row>
    <row r="49" spans="1:29" ht="21" thickBot="1">
      <c r="A49" s="614" t="s">
        <v>2686</v>
      </c>
      <c r="B49" s="615"/>
      <c r="C49" s="616">
        <f>R50</f>
        <v>2146</v>
      </c>
      <c r="D49" s="617"/>
      <c r="E49" s="616">
        <f>R49</f>
        <v>1906</v>
      </c>
      <c r="F49" s="618"/>
      <c r="G49" s="619">
        <f>T49</f>
        <v>2045</v>
      </c>
      <c r="H49" s="617"/>
      <c r="I49" s="616">
        <f>V49</f>
        <v>2488</v>
      </c>
      <c r="J49" s="617"/>
      <c r="K49" s="1336"/>
      <c r="L49" s="2128"/>
      <c r="M49" s="2116"/>
      <c r="N49" s="2116"/>
      <c r="O49" s="2129"/>
      <c r="P49" s="3386" t="str">
        <f>A49</f>
        <v>比较价格（元/平方米）</v>
      </c>
      <c r="Q49" s="3386"/>
      <c r="R49" s="3410">
        <f>ROUND(PRODUCT(R48,AA9:AA47),0)</f>
        <v>1906</v>
      </c>
      <c r="S49" s="3410"/>
      <c r="T49" s="3410">
        <f>ROUND(PRODUCT(T48,AB9:AB47),0)</f>
        <v>2045</v>
      </c>
      <c r="U49" s="3410"/>
      <c r="V49" s="3410">
        <f>ROUND(PRODUCT(V48,AC9:AC47),0)</f>
        <v>2488</v>
      </c>
      <c r="W49" s="3410"/>
      <c r="X49" s="1545"/>
      <c r="Y49" s="1545"/>
      <c r="Z49" s="1545"/>
      <c r="AA49" s="1545"/>
      <c r="AB49" s="1545"/>
      <c r="AC49" s="1545"/>
    </row>
    <row r="50" spans="1:29" ht="21" thickBot="1">
      <c r="A50" s="3198" t="s">
        <v>3166</v>
      </c>
      <c r="B50" s="621"/>
      <c r="C50" s="622">
        <f>R50</f>
        <v>2146</v>
      </c>
      <c r="D50" s="622"/>
      <c r="E50" s="622"/>
      <c r="F50" s="622"/>
      <c r="G50" s="622"/>
      <c r="H50" s="622"/>
      <c r="I50" s="622"/>
      <c r="J50" s="622"/>
      <c r="K50" s="1337"/>
      <c r="L50" s="2128"/>
      <c r="M50" s="2116"/>
      <c r="N50" s="2116"/>
      <c r="O50" s="2129"/>
      <c r="P50" s="3407" t="str">
        <f>A50</f>
        <v>估价对象1比较价格（楼面单价，元/平方米）</v>
      </c>
      <c r="Q50" s="3408"/>
      <c r="R50" s="3409">
        <f>ROUND(AVERAGE(R49:V49),0)</f>
        <v>2146</v>
      </c>
      <c r="S50" s="3409"/>
      <c r="T50" s="3409"/>
      <c r="U50" s="3409"/>
      <c r="V50" s="3409"/>
      <c r="W50" s="3409"/>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7.5550891920251884E-2</v>
      </c>
      <c r="F53" s="626" t="str">
        <f>IF(OR(E53&gt;=0.3,E53&lt;=-0.3),"超过30%","")</f>
        <v/>
      </c>
      <c r="G53" s="625">
        <f>IF(G48&lt;G49,G49/G48-1,G48/G49-1)</f>
        <v>7.5794621026894937E-2</v>
      </c>
      <c r="H53" s="626" t="str">
        <f>IF(OR(G53&gt;=0.3,G53&lt;=-0.3),"超过30%","")</f>
        <v/>
      </c>
      <c r="I53" s="625">
        <f>IF(I48&lt;I49,I49/I48-1,I48/I49-1)</f>
        <v>6.9935691318327997E-2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7.2927597061909655E-2</v>
      </c>
      <c r="F54" s="626" t="str">
        <f>IF(OR(E54&gt;=0.2,E54&lt;=-0.2),"超过20%","")</f>
        <v/>
      </c>
      <c r="G54" s="625">
        <f>IF(G49&lt;I49,I49/G49-1,G49/I49-1)</f>
        <v>0.21662591687041566</v>
      </c>
      <c r="H54" s="626" t="str">
        <f>IF(OR(G54&gt;=0.2,G54&lt;=-0.2),"超过20%","")</f>
        <v>超过20%</v>
      </c>
      <c r="I54" s="625">
        <f>IF(I49&lt;E49,E49/I49-1,I49/E49-1)</f>
        <v>0.30535152151101785</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0.20999999999999996</v>
      </c>
      <c r="H55" s="626" t="str">
        <f>IF(OR(G55&gt;=0.3,G55&lt;=-0.3),"超过30%","")</f>
        <v/>
      </c>
      <c r="I55" s="625">
        <f>IF(I48&lt;E48,E48/I48-1,I48/E48-1)</f>
        <v>0.2985365853658537</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70" t="s">
        <v>2275</v>
      </c>
      <c r="H57" s="3371"/>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563</v>
      </c>
      <c r="B58" s="633">
        <f>C50</f>
        <v>2146</v>
      </c>
      <c r="C58" s="634">
        <v>1</v>
      </c>
      <c r="D58" s="2212">
        <v>1</v>
      </c>
      <c r="E58" s="634">
        <f>'数据-汇总表'!E8+'数据-汇总表'!E9</f>
        <v>161324.57999999999</v>
      </c>
      <c r="F58" s="635">
        <f t="shared" ref="F58:F67" si="15">ROUND(B58*E58/10000,0)</f>
        <v>34620</v>
      </c>
      <c r="G58" s="3372"/>
      <c r="H58" s="3373"/>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564</v>
      </c>
      <c r="B59" s="637">
        <f>ROUND($C$50*C59*D59,0)</f>
        <v>0</v>
      </c>
      <c r="C59" s="377">
        <f t="shared" ref="C59:C67" si="16">IF($C$57="北京市系数",I59,J59)</f>
        <v>0</v>
      </c>
      <c r="D59" s="2213">
        <v>0.25</v>
      </c>
      <c r="E59" s="638">
        <v>0</v>
      </c>
      <c r="F59" s="635">
        <f t="shared" si="15"/>
        <v>0</v>
      </c>
      <c r="G59" s="3374"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565</v>
      </c>
      <c r="B60" s="637">
        <f t="shared" ref="B60:B67" si="17">ROUND($C$50*C60*D60,0)</f>
        <v>0</v>
      </c>
      <c r="C60" s="377">
        <f t="shared" si="16"/>
        <v>0</v>
      </c>
      <c r="D60" s="2213">
        <v>0.25</v>
      </c>
      <c r="E60" s="638">
        <v>0</v>
      </c>
      <c r="F60" s="635">
        <f t="shared" si="15"/>
        <v>0</v>
      </c>
      <c r="G60" s="3374"/>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566</v>
      </c>
      <c r="B61" s="637">
        <f t="shared" si="17"/>
        <v>0</v>
      </c>
      <c r="C61" s="377">
        <f t="shared" si="16"/>
        <v>0</v>
      </c>
      <c r="D61" s="2213">
        <v>0.25</v>
      </c>
      <c r="E61" s="638">
        <v>0</v>
      </c>
      <c r="F61" s="635">
        <f t="shared" si="15"/>
        <v>0</v>
      </c>
      <c r="G61" s="3374"/>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567</v>
      </c>
      <c r="B62" s="637">
        <f t="shared" si="17"/>
        <v>0</v>
      </c>
      <c r="C62" s="377">
        <f t="shared" si="16"/>
        <v>0</v>
      </c>
      <c r="D62" s="2213">
        <v>0.25</v>
      </c>
      <c r="E62" s="638">
        <v>0</v>
      </c>
      <c r="F62" s="635">
        <f t="shared" si="15"/>
        <v>0</v>
      </c>
      <c r="G62" s="3374"/>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572</v>
      </c>
      <c r="B68" s="642" t="s">
        <v>17</v>
      </c>
      <c r="C68" s="642" t="s">
        <v>18</v>
      </c>
      <c r="D68" s="642" t="s">
        <v>2288</v>
      </c>
      <c r="E68" s="642">
        <f>IF(B48="楼面地价",SUM(E58:E67),'数据-汇总表'!D3)</f>
        <v>161324.57999999999</v>
      </c>
      <c r="F68" s="643">
        <f>IF(B48="楼面地价",SUM(F58:F67),ROUND(C50*E68/10000,0))</f>
        <v>34620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5">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197">
        <f>C73-0.5</f>
        <v>99.5</v>
      </c>
      <c r="E73" s="3197">
        <f t="shared" ref="E73:N73" si="20">D73-0.5</f>
        <v>99</v>
      </c>
      <c r="F73" s="3197">
        <f t="shared" si="20"/>
        <v>98.5</v>
      </c>
      <c r="G73" s="3197">
        <f t="shared" si="20"/>
        <v>98</v>
      </c>
      <c r="H73" s="3197">
        <f t="shared" si="20"/>
        <v>97.5</v>
      </c>
      <c r="I73" s="3197">
        <f t="shared" si="20"/>
        <v>97</v>
      </c>
      <c r="J73" s="3197">
        <f t="shared" si="20"/>
        <v>96.5</v>
      </c>
      <c r="K73" s="3197">
        <f t="shared" si="20"/>
        <v>96</v>
      </c>
      <c r="L73" s="3197">
        <f t="shared" si="20"/>
        <v>95.5</v>
      </c>
      <c r="M73" s="3197">
        <f t="shared" si="20"/>
        <v>95</v>
      </c>
      <c r="N73" s="3197">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3011</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547</v>
      </c>
      <c r="C108" s="3184" t="s">
        <v>3012</v>
      </c>
      <c r="D108" s="3184" t="s">
        <v>3013</v>
      </c>
      <c r="E108" s="3184" t="s">
        <v>3014</v>
      </c>
      <c r="F108" s="3184" t="s">
        <v>3015</v>
      </c>
      <c r="G108" s="3184" t="s">
        <v>3016</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C120+0.5</f>
        <v>100.5</v>
      </c>
      <c r="E120" s="725">
        <f t="shared" ref="E120:F120" si="27">D120+0.5</f>
        <v>101</v>
      </c>
      <c r="F120" s="725">
        <f t="shared" si="27"/>
        <v>101.5</v>
      </c>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3017</v>
      </c>
      <c r="D121" s="3185" t="s">
        <v>3021</v>
      </c>
      <c r="E121" s="3185" t="s">
        <v>3018</v>
      </c>
      <c r="F121" s="3185" t="s">
        <v>3019</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3155</v>
      </c>
      <c r="D125" s="1371" t="s">
        <v>3010</v>
      </c>
      <c r="E125" s="1371" t="s">
        <v>3156</v>
      </c>
      <c r="F125" s="1371" t="s">
        <v>3157</v>
      </c>
      <c r="G125" s="1371" t="s">
        <v>3158</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C13" sqref="C13"/>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32849</v>
      </c>
      <c r="C2" s="2088"/>
      <c r="D2" s="2088"/>
      <c r="E2" s="2088"/>
      <c r="F2" s="2088"/>
      <c r="G2" s="2088"/>
      <c r="H2" s="2088"/>
      <c r="I2" s="2088"/>
      <c r="J2" s="2088"/>
      <c r="K2" s="2088"/>
    </row>
    <row r="3" spans="1:31" s="2025" customFormat="1" ht="18" customHeight="1">
      <c r="A3" s="2090" t="s">
        <v>1682</v>
      </c>
      <c r="B3" s="2091">
        <f ca="1">ROUND(B2*10000/IF(B1="",'数据-汇总表'!E3,INDIRECT("'数据-取费表'!K"&amp;$K$1)),0)</f>
        <v>2036</v>
      </c>
      <c r="C3" s="2088"/>
      <c r="D3" s="2088"/>
      <c r="E3" s="2088"/>
      <c r="F3" s="2088"/>
      <c r="G3" s="2088"/>
      <c r="H3" s="2088"/>
      <c r="I3" s="2088"/>
      <c r="J3" s="2088"/>
      <c r="K3" s="2088"/>
    </row>
    <row r="4" spans="1:31" s="2025" customFormat="1" ht="18" customHeight="1">
      <c r="A4" s="425" t="s">
        <v>467</v>
      </c>
      <c r="B4" s="426">
        <f ca="1">ROUND(B2*10000/IF(B1="",'数据-汇总表'!D3,INDIRECT("'数据-取费表'!R"&amp;$K$1)),0)</f>
        <v>5091</v>
      </c>
      <c r="C4" s="427"/>
      <c r="D4" s="421"/>
      <c r="E4" s="421"/>
      <c r="F4" s="421"/>
      <c r="G4" s="421"/>
      <c r="H4" s="421"/>
      <c r="I4" s="421"/>
      <c r="J4" s="421"/>
      <c r="K4" s="421"/>
    </row>
    <row r="5" spans="1:31" s="2025" customFormat="1" ht="18" customHeight="1" thickBot="1">
      <c r="A5" s="428"/>
      <c r="B5" s="429">
        <f ca="1">ROUND(B2/(IF(B1="",'数据-汇总表'!D3,INDIRECT("'数据-取费表'!R"&amp;$K$1))/666.67),0)</f>
        <v>339</v>
      </c>
      <c r="C5" s="430" t="s">
        <v>468</v>
      </c>
      <c r="D5" s="421"/>
      <c r="E5" s="421"/>
      <c r="F5" s="421"/>
      <c r="G5" s="421"/>
      <c r="H5" s="421"/>
      <c r="I5" s="421"/>
      <c r="J5" s="421"/>
      <c r="K5" s="421"/>
    </row>
    <row r="6" spans="1:31" s="2095" customFormat="1" ht="16.5" customHeight="1">
      <c r="A6" s="2782" t="s">
        <v>1840</v>
      </c>
      <c r="B6" s="2783"/>
      <c r="C6" s="2784">
        <f ca="1">SUM(C10:K10)</f>
        <v>100317</v>
      </c>
      <c r="D6" s="2783"/>
      <c r="E6" s="2783"/>
      <c r="F6" s="2783"/>
      <c r="G6" s="2783"/>
      <c r="H6" s="2783"/>
      <c r="I6" s="2783"/>
      <c r="J6" s="2783"/>
      <c r="K6" s="2785"/>
    </row>
    <row r="7" spans="1:31" s="2097" customFormat="1" ht="15">
      <c r="A7" s="2786" t="s">
        <v>469</v>
      </c>
      <c r="B7" s="2787" t="s">
        <v>470</v>
      </c>
      <c r="C7" s="435" t="s">
        <v>2991</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6218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100317</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2420</v>
      </c>
      <c r="D16" s="2798">
        <f ca="1">IF(B1="",'数据-汇总表'!E3,INDIRECT("'数据-取费表'!K"&amp;$K$1)+INDIRECT("'数据-取费表'!S"&amp;$K$1))</f>
        <v>161324.57999999999</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36137</v>
      </c>
      <c r="D18" s="2807"/>
      <c r="E18" s="467"/>
      <c r="F18" s="467"/>
      <c r="G18" s="2770" t="s">
        <v>2424</v>
      </c>
      <c r="H18" s="2771"/>
      <c r="I18" s="2771"/>
      <c r="J18" s="2771"/>
      <c r="K18" s="2772"/>
    </row>
    <row r="19" spans="1:14" s="2100" customFormat="1" ht="13.5" customHeight="1">
      <c r="A19" s="2804" t="s">
        <v>1852</v>
      </c>
      <c r="B19" s="2805" t="s">
        <v>487</v>
      </c>
      <c r="C19" s="2762">
        <f ca="1">ROUND(D19*E19/10000,0)</f>
        <v>1129</v>
      </c>
      <c r="D19" s="2808">
        <f ca="1">D16</f>
        <v>161324.57999999999</v>
      </c>
      <c r="E19" s="2762">
        <f>'数据-取费表'!B32</f>
        <v>70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3006</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457</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1003</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2240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2240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5350</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54753</v>
      </c>
      <c r="D30" s="476">
        <f ca="1">C32</f>
        <v>0.1396</v>
      </c>
      <c r="E30" s="468" t="s">
        <v>494</v>
      </c>
      <c r="F30" s="470"/>
      <c r="G30" s="2774" t="s">
        <v>2961</v>
      </c>
      <c r="H30" s="2767"/>
      <c r="I30" s="2767"/>
      <c r="J30" s="2767"/>
      <c r="K30" s="2768"/>
    </row>
    <row r="31" spans="1:14" s="2104" customFormat="1" ht="13.5" customHeight="1">
      <c r="A31" s="802" t="s">
        <v>1854</v>
      </c>
      <c r="B31" s="2812"/>
      <c r="C31" s="449">
        <f ca="1">C18+C19+C20+C23+C24+C26+C29</f>
        <v>54753</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4716</v>
      </c>
      <c r="D33" s="466">
        <f ca="1">C34</f>
        <v>0.10390000000000001</v>
      </c>
      <c r="E33" s="468" t="s">
        <v>494</v>
      </c>
      <c r="F33" s="478">
        <f ca="1">IF(B1="",'数据-取费表'!Q16,INDIRECT("'数据-取费表'!q"&amp;$K$1))</f>
        <v>0.1</v>
      </c>
      <c r="G33" s="2770"/>
      <c r="H33" s="2771"/>
      <c r="I33" s="2771"/>
      <c r="J33" s="2771"/>
      <c r="K33" s="2772"/>
    </row>
    <row r="34" spans="1:11" s="2107" customFormat="1" ht="13.5" customHeight="1">
      <c r="A34" s="374" t="s">
        <v>1854</v>
      </c>
      <c r="B34" s="2817" t="s">
        <v>500</v>
      </c>
      <c r="C34" s="471">
        <f ca="1">ROUND((1+C25)*F33,4)</f>
        <v>0.10390000000000001</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4716</v>
      </c>
      <c r="D35" s="1614"/>
      <c r="E35" s="2818"/>
      <c r="F35" s="1615"/>
      <c r="G35" s="2776"/>
      <c r="H35" s="2777"/>
      <c r="I35" s="2777"/>
      <c r="J35" s="2777"/>
      <c r="K35" s="2778"/>
    </row>
    <row r="36" spans="1:11" s="2069" customFormat="1" ht="13.5" customHeight="1" thickBot="1">
      <c r="A36" s="283" t="s">
        <v>1842</v>
      </c>
      <c r="B36" s="2780"/>
      <c r="C36" s="2819">
        <f ca="1">ROUND((C6-C30-C33)/(1+D30+D33),0)</f>
        <v>32849</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99" t="str">
        <f>项目基本情况!B1</f>
        <v>湖南省株洲市醴陵市出让国有建设用地使用权抵押价格预评估</v>
      </c>
      <c r="C37" s="3199"/>
      <c r="D37" s="3199"/>
      <c r="E37" s="3199"/>
      <c r="F37" s="3199"/>
      <c r="G37" s="3199"/>
      <c r="H37" s="3199"/>
      <c r="I37" s="3199"/>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ht="12.75">
      <c r="B46" s="1639" t="str">
        <f>项目基本情况!K4</f>
        <v>崔锴、赵雯</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89" sqref="C89:G96"/>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5">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2420</v>
      </c>
      <c r="D16" s="450">
        <f ca="1">IF(B1="",'数据-汇总表'!E3,INDIRECT("'数据-取费表'!K"&amp;$K$1)+INDIRECT("'数据-取费表'!S"&amp;$K$1))</f>
        <v>161324.57999999999</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36137</v>
      </c>
      <c r="D18" s="460"/>
      <c r="E18" s="461"/>
      <c r="F18" s="461"/>
      <c r="G18" s="1322" t="s">
        <v>2426</v>
      </c>
      <c r="H18" s="446"/>
      <c r="I18" s="446"/>
      <c r="J18" s="446"/>
      <c r="K18" s="447"/>
    </row>
    <row r="19" spans="1:14" s="2103" customFormat="1" ht="13.5" customHeight="1">
      <c r="A19" s="1619" t="s">
        <v>1852</v>
      </c>
      <c r="B19" s="458" t="s">
        <v>492</v>
      </c>
      <c r="C19" s="459">
        <f ca="1">ROUND(C18*F19,0)</f>
        <v>361</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1734</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1734</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3650</v>
      </c>
      <c r="D24" s="488">
        <f ca="1">C26</f>
        <v>1E-3</v>
      </c>
      <c r="E24" s="468" t="s">
        <v>506</v>
      </c>
      <c r="F24" s="478">
        <f ca="1">IF(B1="",'数据-取费表'!Q16,INDIRECT("'数据-取费表'!q"&amp;$K$1))</f>
        <v>0.1</v>
      </c>
      <c r="G24" s="443"/>
      <c r="H24" s="446"/>
      <c r="I24" s="446"/>
      <c r="J24" s="446"/>
      <c r="K24" s="447"/>
    </row>
    <row r="25" spans="1:14" s="2104" customFormat="1" ht="13.5" customHeight="1">
      <c r="A25" s="1618" t="s">
        <v>1846</v>
      </c>
      <c r="B25" s="1323" t="s">
        <v>2430</v>
      </c>
      <c r="C25" s="489">
        <f ca="1">ROUND((C18+C19)*F24,0)</f>
        <v>3650</v>
      </c>
      <c r="D25" s="471"/>
      <c r="E25" s="472"/>
      <c r="F25" s="479"/>
      <c r="G25" s="1321" t="s">
        <v>2427</v>
      </c>
      <c r="H25" s="456"/>
      <c r="I25" s="456"/>
      <c r="J25" s="456"/>
      <c r="K25" s="457"/>
    </row>
    <row r="26" spans="1:14" s="2104" customFormat="1" ht="13.5" customHeight="1">
      <c r="A26" s="1618" t="s">
        <v>1847</v>
      </c>
      <c r="B26" s="1323" t="s">
        <v>508</v>
      </c>
      <c r="C26" s="490">
        <f ca="1">ROUND(F20*F24,4)</f>
        <v>1E-3</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44784</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I33" sqref="I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7"/>
      <c r="C1" s="772" t="s">
        <v>2991</v>
      </c>
      <c r="D1" s="3075" t="s">
        <v>3168</v>
      </c>
      <c r="E1" s="2350" t="s">
        <v>2368</v>
      </c>
      <c r="F1" s="2351">
        <f ca="1">J53</f>
        <v>31.729999999999997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100317</v>
      </c>
      <c r="C2" s="2041"/>
      <c r="D2" s="2039"/>
      <c r="E2" s="2040"/>
      <c r="F2" s="2040"/>
      <c r="G2" s="1576"/>
      <c r="H2" s="2041"/>
      <c r="I2" s="2041"/>
      <c r="J2" s="2041"/>
      <c r="K2" s="2042"/>
      <c r="L2" s="2041"/>
      <c r="M2" s="2041"/>
    </row>
    <row r="3" spans="1:33" ht="18" customHeight="1" thickBot="1">
      <c r="A3" s="832" t="s">
        <v>1725</v>
      </c>
      <c r="B3" s="833">
        <f ca="1">IF(ISERROR(B2*10000/F43),0,ROUND(B2*10000/F43,0))</f>
        <v>6218</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6" t="s">
        <v>2457</v>
      </c>
      <c r="C6" s="782">
        <f ca="1">ROUND(F6*F8*F7*(1-F9)/10000,0)</f>
        <v>6889</v>
      </c>
      <c r="D6" s="2460" t="s">
        <v>2456</v>
      </c>
      <c r="E6" s="783" t="s">
        <v>1736</v>
      </c>
      <c r="F6" s="784">
        <f ca="1">INDIRECT("'数据-取费表'!u"&amp;$G$1)</f>
        <v>1.3</v>
      </c>
      <c r="G6" s="1578"/>
      <c r="H6" s="2467" t="s">
        <v>2462</v>
      </c>
      <c r="I6" s="3366" t="s">
        <v>2457</v>
      </c>
      <c r="J6" s="782">
        <f ca="1">ROUND(M6*M8*M7*(1-M9)/10000,0)</f>
        <v>0</v>
      </c>
      <c r="K6" s="340" t="s">
        <v>1735</v>
      </c>
      <c r="L6" s="783" t="s">
        <v>1736</v>
      </c>
      <c r="M6" s="784">
        <f ca="1">INDIRECT("'数据-取费表'!z"&amp;$G$1)</f>
        <v>0</v>
      </c>
    </row>
    <row r="7" spans="1:33" ht="18" customHeight="1">
      <c r="A7" s="2463"/>
      <c r="B7" s="3367"/>
      <c r="C7" s="787"/>
      <c r="D7" s="788"/>
      <c r="E7" s="783" t="s">
        <v>1737</v>
      </c>
      <c r="F7" s="784">
        <f ca="1">IF(INDIRECT("'数据-取费表'!ah"&amp;$G$1)="",INDIRECT("'数据-取费表'!k"&amp;$G$1),INDIRECT("'数据-取费表'!ah"&amp;$G$1))</f>
        <v>161324.57999999999</v>
      </c>
      <c r="G7" s="1578"/>
      <c r="H7" s="2452"/>
      <c r="I7" s="3367"/>
      <c r="J7" s="787"/>
      <c r="K7" s="788"/>
      <c r="L7" s="783" t="s">
        <v>1737</v>
      </c>
      <c r="M7" s="784">
        <f ca="1">F7</f>
        <v>161324.57999999999</v>
      </c>
    </row>
    <row r="8" spans="1:33" ht="18" customHeight="1">
      <c r="A8" s="2456"/>
      <c r="B8" s="3368"/>
      <c r="C8" s="787"/>
      <c r="D8" s="788"/>
      <c r="E8" s="783" t="s">
        <v>1738</v>
      </c>
      <c r="F8" s="784">
        <f ca="1">INDIRECT("'数据-取费表'!ai"&amp;$G$1)</f>
        <v>365</v>
      </c>
      <c r="G8" s="1578"/>
      <c r="H8" s="2452"/>
      <c r="I8" s="3368"/>
      <c r="J8" s="787"/>
      <c r="K8" s="788"/>
      <c r="L8" s="783" t="s">
        <v>1738</v>
      </c>
      <c r="M8" s="784">
        <f ca="1">INDIRECT("'数据-取费表'!ai"&amp;$G$1)</f>
        <v>365</v>
      </c>
    </row>
    <row r="9" spans="1:33" ht="18" customHeight="1">
      <c r="A9" s="785"/>
      <c r="B9" s="3369"/>
      <c r="C9" s="787"/>
      <c r="D9" s="788"/>
      <c r="E9" s="783" t="s">
        <v>1739</v>
      </c>
      <c r="F9" s="793">
        <f ca="1">INDIRECT("'数据-取费表'!w"&amp;$G$1)</f>
        <v>0.1</v>
      </c>
      <c r="G9" s="1578"/>
      <c r="H9" s="2468"/>
      <c r="I9" s="3368"/>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2963</v>
      </c>
      <c r="E10" s="2461" t="s">
        <v>2458</v>
      </c>
      <c r="F10" s="2584" t="s">
        <v>3001</v>
      </c>
      <c r="G10" s="1578"/>
      <c r="H10" s="2524" t="s">
        <v>2463</v>
      </c>
      <c r="I10" s="2529" t="s">
        <v>2453</v>
      </c>
      <c r="J10" s="782">
        <f ca="1">ROUND(IF(M10="押一",J6/12*M11,IF(M10="押二",J6/12*2*M11,IF(M10="押三",J6/12*3*M11,J11*M11))),0)</f>
        <v>0</v>
      </c>
      <c r="K10" s="2464" t="s">
        <v>2963</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44784</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44784</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4338</v>
      </c>
      <c r="K16" s="1805" t="s">
        <v>1748</v>
      </c>
      <c r="L16" s="2449"/>
      <c r="M16" s="2454"/>
    </row>
    <row r="17" spans="1:33" s="2048" customFormat="1" ht="18" customHeight="1">
      <c r="A17" s="1633" t="s">
        <v>1885</v>
      </c>
      <c r="B17" s="783" t="s">
        <v>652</v>
      </c>
      <c r="C17" s="53">
        <f ca="1">ROUND(F17*(F43+INDIRECT("'数据-取费表'!S"&amp;$G$1))/10000,0)</f>
        <v>2420</v>
      </c>
      <c r="D17" s="783" t="s">
        <v>1749</v>
      </c>
      <c r="E17" s="783" t="s">
        <v>1750</v>
      </c>
      <c r="F17" s="56">
        <f>'数据-取费表'!B35</f>
        <v>150</v>
      </c>
      <c r="G17" s="1579"/>
      <c r="H17" s="1634" t="s">
        <v>1828</v>
      </c>
      <c r="I17" s="783" t="s">
        <v>655</v>
      </c>
      <c r="J17" s="53">
        <f ca="1">ROUND(IF(项目基本情况!B11="自然人",J6*M17/(1+'数据-取费表'!C42),J18+J19+J20),0)</f>
        <v>3801</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36137</v>
      </c>
      <c r="D19" s="260" t="s">
        <v>1755</v>
      </c>
      <c r="E19" s="1966"/>
      <c r="F19" s="56"/>
      <c r="G19" s="1578"/>
      <c r="H19" s="1633" t="s">
        <v>1883</v>
      </c>
      <c r="I19" s="783" t="s">
        <v>1756</v>
      </c>
      <c r="J19" s="53">
        <f ca="1">IF(K19="按租金收入计税",ROUND(J6*M19/(1+'数据-取费表'!C42),1),ROUND(C29*F33*0.7,1))</f>
        <v>3761.9</v>
      </c>
      <c r="K19" s="810" t="s">
        <v>664</v>
      </c>
      <c r="L19" s="783" t="s">
        <v>1745</v>
      </c>
      <c r="M19" s="808">
        <f>IF(K19="按租金收入计税",'数据-取费表'!B51,'数据-取费表'!B50)</f>
        <v>1.2E-2</v>
      </c>
    </row>
    <row r="20" spans="1:33" s="2048" customFormat="1" ht="18" customHeight="1">
      <c r="A20" s="1634" t="s">
        <v>1887</v>
      </c>
      <c r="B20" s="783" t="s">
        <v>665</v>
      </c>
      <c r="C20" s="53">
        <f ca="1">ROUND(C19*F20,0)</f>
        <v>361</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537</v>
      </c>
      <c r="K22" s="2447" t="s">
        <v>1767</v>
      </c>
      <c r="L22" s="783" t="s">
        <v>1745</v>
      </c>
      <c r="M22" s="816">
        <f ca="1">INDIRECT("'数据-取费表'!Ak"&amp;$G$1)</f>
        <v>1.2E-2</v>
      </c>
    </row>
    <row r="23" spans="1:33" s="2048" customFormat="1" ht="18" customHeight="1">
      <c r="A23" s="1633" t="s">
        <v>1829</v>
      </c>
      <c r="B23" s="783" t="s">
        <v>2529</v>
      </c>
      <c r="C23" s="53">
        <f ca="1">ROUND(IF('数据-取费表'!B22&lt;=1,(C19+C20)*F24*F23/2,(C19+C20)*(POWER((1+F24),F23/2)-1)),0)</f>
        <v>1734</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1.4E-2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-4338</v>
      </c>
      <c r="K25" s="2511" t="s">
        <v>1775</v>
      </c>
      <c r="L25" s="2512"/>
      <c r="M25" s="2513"/>
    </row>
    <row r="26" spans="1:33" ht="18" customHeight="1">
      <c r="A26" s="1633" t="s">
        <v>1829</v>
      </c>
      <c r="B26" s="783" t="s">
        <v>2432</v>
      </c>
      <c r="C26" s="53">
        <f ca="1">ROUND((C19+C20)*F26,0)</f>
        <v>3650</v>
      </c>
      <c r="D26" s="811" t="s">
        <v>1776</v>
      </c>
      <c r="E26" s="794" t="s">
        <v>1777</v>
      </c>
      <c r="F26" s="793">
        <f ca="1">INDIRECT("'数据-取费表'!q"&amp;$G$1)</f>
        <v>0.1</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1E-3</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44784</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1879</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3002</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3807</v>
      </c>
      <c r="K35" s="2062"/>
      <c r="L35" s="2061"/>
      <c r="M35" s="2061"/>
    </row>
    <row r="36" spans="1:18" ht="18" customHeight="1">
      <c r="A36" s="1634" t="s">
        <v>1887</v>
      </c>
      <c r="B36" s="783" t="s">
        <v>1800</v>
      </c>
      <c r="C36" s="53">
        <f ca="1">ROUND(C29*F36,1)</f>
        <v>537.4</v>
      </c>
      <c r="D36" s="1961" t="s">
        <v>1801</v>
      </c>
      <c r="E36" s="783" t="s">
        <v>1794</v>
      </c>
      <c r="F36" s="816">
        <f ca="1">INDIRECT("'数据-取费表'!Ak"&amp;$G$1)</f>
        <v>1.2E-2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51.5</v>
      </c>
      <c r="D37" s="1961" t="s">
        <v>1802</v>
      </c>
      <c r="E37" s="783" t="s">
        <v>1794</v>
      </c>
      <c r="F37" s="817">
        <f ca="1">INDIRECT("'数据-取费表'!Al"&amp;$G$1)</f>
        <v>1.15E-3</v>
      </c>
      <c r="G37" s="2046"/>
      <c r="H37" s="2061"/>
      <c r="I37" s="840" t="s">
        <v>1814</v>
      </c>
      <c r="J37" s="841"/>
      <c r="K37" s="2066"/>
      <c r="L37" s="2061"/>
      <c r="M37" s="2061"/>
    </row>
    <row r="38" spans="1:18" ht="18" customHeight="1" thickBot="1">
      <c r="A38" s="2514" t="s">
        <v>1889</v>
      </c>
      <c r="B38" s="2509" t="s">
        <v>665</v>
      </c>
      <c r="C38" s="2507">
        <f ca="1">ROUND(C5*F38,1)</f>
        <v>96.6</v>
      </c>
      <c r="D38" s="2508" t="s">
        <v>1803</v>
      </c>
      <c r="E38" s="2509" t="s">
        <v>1794</v>
      </c>
      <c r="F38" s="2505">
        <f ca="1">INDIRECT("'数据-取费表'!Am"&amp;$G$1)</f>
        <v>1.4E-2</v>
      </c>
      <c r="G38" s="2046"/>
      <c r="H38" s="2061"/>
      <c r="I38" s="842" t="s">
        <v>1815</v>
      </c>
      <c r="J38" s="843"/>
      <c r="K38" s="2067"/>
      <c r="L38" s="2061"/>
      <c r="M38" s="2061"/>
    </row>
    <row r="39" spans="1:18" ht="24.6" customHeight="1" thickTop="1">
      <c r="A39" s="1813" t="s">
        <v>1892</v>
      </c>
      <c r="B39" s="2961" t="s">
        <v>2815</v>
      </c>
      <c r="C39" s="791">
        <f ca="1">C5-C30</f>
        <v>5019</v>
      </c>
      <c r="D39" s="2511" t="s">
        <v>1804</v>
      </c>
      <c r="E39" s="2512"/>
      <c r="F39" s="2513"/>
      <c r="G39" s="2046"/>
      <c r="H39" s="2061"/>
      <c r="I39" s="836" t="s">
        <v>1816</v>
      </c>
      <c r="J39" s="844">
        <f ca="1">ROUND(J35/C39,3)</f>
        <v>0.75900000000000001</v>
      </c>
      <c r="K39" s="2067"/>
      <c r="L39" s="2061"/>
      <c r="M39" s="2061"/>
    </row>
    <row r="40" spans="1:18" ht="18" customHeight="1">
      <c r="A40" s="780" t="s">
        <v>1893</v>
      </c>
      <c r="B40" s="2216" t="s">
        <v>2295</v>
      </c>
      <c r="C40" s="782">
        <f ca="1">ROUND(C39*(1-((1+F42)/(1+F40))^F41)/(F40-F42),0)</f>
        <v>100317</v>
      </c>
      <c r="D40" s="813" t="s">
        <v>1805</v>
      </c>
      <c r="E40" s="783" t="s">
        <v>2413</v>
      </c>
      <c r="F40" s="793">
        <f ca="1">INDIRECT("'数据-取费表'!I"&amp;$G$1)</f>
        <v>5.5E-2</v>
      </c>
      <c r="G40" s="2046"/>
      <c r="H40" s="2046"/>
      <c r="I40" s="836" t="s">
        <v>1817</v>
      </c>
      <c r="J40" s="844">
        <f ca="1">1-J39</f>
        <v>0.24099999999999999</v>
      </c>
      <c r="K40" s="2067"/>
      <c r="L40" s="2046"/>
      <c r="M40" s="2046"/>
    </row>
    <row r="41" spans="1:18" ht="18" customHeight="1">
      <c r="A41" s="785"/>
      <c r="B41" s="786"/>
      <c r="C41" s="787"/>
      <c r="D41" s="820" t="s">
        <v>1806</v>
      </c>
      <c r="E41" s="783" t="s">
        <v>2953</v>
      </c>
      <c r="F41" s="821">
        <f ca="1">IF(INDIRECT("'数据-取费表'!af"&amp;$G$1)=0,INDIRECT("'数据-取费表'!ae"&amp;$G$1),INDIRECT("'数据-取费表'!af"&amp;$G$1))</f>
        <v>31.729999999999997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0.44600000000000001</v>
      </c>
      <c r="K42" s="2066"/>
      <c r="L42" s="1972"/>
      <c r="M42" s="1972"/>
    </row>
    <row r="43" spans="1:18" ht="18" customHeight="1" thickBot="1">
      <c r="A43" s="822" t="s">
        <v>1785</v>
      </c>
      <c r="B43" s="823" t="s">
        <v>1808</v>
      </c>
      <c r="C43" s="824">
        <f ca="1">ROUND(C40*10000/F43,0)</f>
        <v>6218</v>
      </c>
      <c r="D43" s="825" t="s">
        <v>1809</v>
      </c>
      <c r="E43" s="826" t="s">
        <v>1810</v>
      </c>
      <c r="F43" s="827">
        <f ca="1">INDIRECT("'数据-取费表'!k"&amp;$G$1)</f>
        <v>161324.57999999999</v>
      </c>
      <c r="G43" s="2046"/>
      <c r="H43" s="1972"/>
      <c r="I43" s="846" t="s">
        <v>1820</v>
      </c>
      <c r="J43" s="847">
        <f ca="1">1-J42</f>
        <v>0.55400000000000005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-109647</v>
      </c>
      <c r="D46" s="2069"/>
      <c r="E46" s="2069"/>
      <c r="F46" s="2069"/>
      <c r="I46" s="2341" t="s">
        <v>2337</v>
      </c>
      <c r="J46" s="2342"/>
      <c r="K46" s="2343"/>
      <c r="L46" s="3106">
        <f>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3003</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100317</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44784</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19570</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2964</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2967</v>
      </c>
      <c r="J53" s="3179">
        <f ca="1">IF(M47="住宅",IF(D1="——",MAX(J51,L48),MAX(J51,L48-'数据-取费表'!B20)),IF(D1="——",MIN(J51,L48),MIN(J51,L48-'数据-取费表'!B20)))</f>
        <v>31.729999999999997</v>
      </c>
      <c r="K53" s="3364" t="s">
        <v>2955</v>
      </c>
      <c r="L53" s="3365"/>
      <c r="O53" s="2364" t="s">
        <v>2382</v>
      </c>
      <c r="P53" s="2362" t="s">
        <v>2383</v>
      </c>
      <c r="Q53" s="2363">
        <f ca="1">J53</f>
        <v>31.729999999999997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100317</v>
      </c>
      <c r="R54" s="2366" t="s">
        <v>2386</v>
      </c>
    </row>
    <row r="55" spans="1:18" s="2043" customFormat="1" ht="18" customHeight="1" thickTop="1" thickBot="1">
      <c r="A55" s="796">
        <v>2</v>
      </c>
      <c r="B55" s="797" t="s">
        <v>643</v>
      </c>
      <c r="C55" s="798">
        <f ca="1">C13</f>
        <v>44784</v>
      </c>
      <c r="D55" s="794"/>
      <c r="E55" s="794"/>
      <c r="F55" s="799"/>
      <c r="I55" s="3111" t="s">
        <v>2349</v>
      </c>
      <c r="J55" s="3051" t="e">
        <f ca="1">ROUND(IF(J47="钢混",J57/J50,1-(1-2%)*(J50-J57)/J50),3)</f>
        <v>#VALUE!</v>
      </c>
      <c r="K55" s="3112" t="s">
        <v>2350</v>
      </c>
      <c r="L55" s="3182" t="s">
        <v>3005</v>
      </c>
      <c r="O55" s="2367" t="s">
        <v>2405</v>
      </c>
      <c r="P55" s="1578"/>
      <c r="Q55" s="1589"/>
      <c r="R55" s="1578"/>
    </row>
    <row r="56" spans="1:18" s="2043" customFormat="1" ht="42.75" customHeight="1" thickBot="1">
      <c r="A56" s="1635"/>
      <c r="B56" s="2215" t="s">
        <v>2296</v>
      </c>
      <c r="C56" s="53">
        <f ca="1">C29</f>
        <v>44784</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628</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100317</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5.75" thickBot="1">
      <c r="A62" s="814"/>
      <c r="B62" s="792"/>
      <c r="C62" s="69"/>
      <c r="D62" s="815"/>
      <c r="E62" s="783" t="s">
        <v>673</v>
      </c>
      <c r="F62" s="784">
        <f t="shared" ca="1" si="0"/>
        <v>64529.83</v>
      </c>
      <c r="I62" s="3119" t="s">
        <v>2361</v>
      </c>
      <c r="J62" s="3120" t="s">
        <v>2362</v>
      </c>
      <c r="K62" s="3120" t="s">
        <v>2363</v>
      </c>
      <c r="L62" s="3120" t="s">
        <v>2344</v>
      </c>
      <c r="M62" s="3121" t="s">
        <v>2932</v>
      </c>
      <c r="O62" s="2364" t="s">
        <v>2382</v>
      </c>
      <c r="P62" s="2362" t="str">
        <f>K59</f>
        <v>建设期及建筑物耐用年限下的土地年期修正系数Kn</v>
      </c>
      <c r="Q62" s="2363" t="e">
        <f ca="1">L59</f>
        <v>#DIV/0!</v>
      </c>
      <c r="R62" s="2366" t="s">
        <v>2391</v>
      </c>
    </row>
    <row r="63" spans="1:18" s="2043" customFormat="1" ht="15.75" thickBot="1">
      <c r="A63" s="1634" t="s">
        <v>1887</v>
      </c>
      <c r="B63" s="783" t="s">
        <v>675</v>
      </c>
      <c r="C63" s="53">
        <f ca="1">ROUND(C56*F63,1)</f>
        <v>537.4</v>
      </c>
      <c r="D63" s="2602" t="s">
        <v>1801</v>
      </c>
      <c r="E63" s="783" t="s">
        <v>1745</v>
      </c>
      <c r="F63" s="816">
        <f t="shared" ca="1" si="0"/>
        <v>1.2E-2</v>
      </c>
      <c r="I63" s="3119" t="s">
        <v>2364</v>
      </c>
      <c r="J63" s="3120">
        <v>70</v>
      </c>
      <c r="K63" s="3120">
        <v>50</v>
      </c>
      <c r="L63" s="3120">
        <v>80</v>
      </c>
      <c r="M63" s="3122">
        <v>0.02</v>
      </c>
      <c r="O63" s="2361" t="s">
        <v>2385</v>
      </c>
      <c r="P63" s="2362" t="s">
        <v>2402</v>
      </c>
      <c r="Q63" s="2363">
        <f ca="1">Q57+Q58</f>
        <v>100317</v>
      </c>
      <c r="R63" s="2366" t="s">
        <v>2386</v>
      </c>
    </row>
    <row r="64" spans="1:18" s="2043" customFormat="1" ht="16.5" thickBot="1">
      <c r="A64" s="1634" t="s">
        <v>1888</v>
      </c>
      <c r="B64" s="783" t="s">
        <v>678</v>
      </c>
      <c r="C64" s="53">
        <f ca="1">ROUND(C55*F64,1)</f>
        <v>51.5</v>
      </c>
      <c r="D64" s="2602" t="s">
        <v>679</v>
      </c>
      <c r="E64" s="783" t="s">
        <v>1745</v>
      </c>
      <c r="F64" s="817">
        <f t="shared" ca="1" si="0"/>
        <v>1.15E-3</v>
      </c>
      <c r="I64" s="3119" t="s">
        <v>2365</v>
      </c>
      <c r="J64" s="3120">
        <v>50</v>
      </c>
      <c r="K64" s="3120">
        <v>35</v>
      </c>
      <c r="L64" s="3120">
        <v>60</v>
      </c>
      <c r="M64" s="845">
        <v>0</v>
      </c>
      <c r="O64" s="2367" t="s">
        <v>2409</v>
      </c>
      <c r="P64" s="1578"/>
      <c r="Q64" s="1589"/>
      <c r="R64" s="1578"/>
    </row>
    <row r="65" spans="1:18" s="2043" customFormat="1" ht="15.75" thickBot="1">
      <c r="A65" s="1634" t="s">
        <v>1889</v>
      </c>
      <c r="B65" s="783" t="s">
        <v>665</v>
      </c>
      <c r="C65" s="53">
        <f ca="1">ROUND(C47*F65,1)</f>
        <v>0</v>
      </c>
      <c r="D65" s="2602" t="s">
        <v>682</v>
      </c>
      <c r="E65" s="783" t="s">
        <v>1745</v>
      </c>
      <c r="F65" s="793">
        <f t="shared" ca="1" si="0"/>
        <v>1.4E-2</v>
      </c>
      <c r="I65" s="3119" t="s">
        <v>2366</v>
      </c>
      <c r="J65" s="3120">
        <v>40</v>
      </c>
      <c r="K65" s="3120">
        <v>30</v>
      </c>
      <c r="L65" s="3120">
        <v>50</v>
      </c>
      <c r="M65" s="3122">
        <v>0.02</v>
      </c>
      <c r="O65" s="2358" t="s">
        <v>2369</v>
      </c>
      <c r="P65" s="2359" t="s">
        <v>2370</v>
      </c>
      <c r="Q65" s="2360" t="s">
        <v>2371</v>
      </c>
      <c r="R65" s="2359" t="s">
        <v>2372</v>
      </c>
    </row>
    <row r="66" spans="1:18" s="2043" customFormat="1" ht="24.75" thickBot="1">
      <c r="A66" s="796" t="s">
        <v>1774</v>
      </c>
      <c r="B66" s="2962" t="s">
        <v>2815</v>
      </c>
      <c r="C66" s="798">
        <f ca="1">C47-C57</f>
        <v>-628</v>
      </c>
      <c r="D66" s="2601" t="s">
        <v>699</v>
      </c>
      <c r="E66" s="2600"/>
      <c r="F66" s="819"/>
      <c r="K66" s="2070"/>
      <c r="O66" s="2361" t="s">
        <v>2373</v>
      </c>
      <c r="P66" s="2362" t="s">
        <v>2403</v>
      </c>
      <c r="Q66" s="2363">
        <f ca="1">C40+J29</f>
        <v>100317</v>
      </c>
      <c r="R66" s="2362" t="s">
        <v>2374</v>
      </c>
    </row>
    <row r="67" spans="1:18" s="2043" customFormat="1" ht="20.25" thickBot="1">
      <c r="A67" s="780" t="s">
        <v>1778</v>
      </c>
      <c r="B67" s="2216" t="s">
        <v>2295</v>
      </c>
      <c r="C67" s="782">
        <f ca="1">ROUND(C66*(1-((1+F69)/(1+F67))^F68)/(F67-F69),0)</f>
        <v>-9330</v>
      </c>
      <c r="D67" s="813" t="s">
        <v>703</v>
      </c>
      <c r="E67" s="783" t="s">
        <v>704</v>
      </c>
      <c r="F67" s="793">
        <f ca="1">F40</f>
        <v>5.5E-2</v>
      </c>
      <c r="K67" s="2070"/>
      <c r="O67" s="2361" t="s">
        <v>2375</v>
      </c>
      <c r="P67" s="2362" t="s">
        <v>2406</v>
      </c>
      <c r="Q67" s="2363">
        <f ca="1">L60</f>
        <v>0</v>
      </c>
      <c r="R67" s="2366" t="s">
        <v>2408</v>
      </c>
    </row>
    <row r="68" spans="1:18" ht="21.75" thickBot="1">
      <c r="A68" s="785"/>
      <c r="B68" s="786"/>
      <c r="C68" s="787"/>
      <c r="D68" s="820" t="s">
        <v>1806</v>
      </c>
      <c r="E68" s="783" t="s">
        <v>1782</v>
      </c>
      <c r="F68" s="821">
        <f ca="1">F41</f>
        <v>31.729999999999997</v>
      </c>
      <c r="O68" s="2364" t="s">
        <v>2377</v>
      </c>
      <c r="P68" s="2362" t="s">
        <v>2407</v>
      </c>
      <c r="Q68" s="2368">
        <f ca="1">L51</f>
        <v>19570</v>
      </c>
      <c r="R68" s="2369" t="s">
        <v>2410</v>
      </c>
    </row>
    <row r="69" spans="1:18" ht="20.25" thickBot="1">
      <c r="A69" s="789"/>
      <c r="B69" s="790"/>
      <c r="C69" s="791"/>
      <c r="D69" s="815"/>
      <c r="E69" s="783" t="s">
        <v>709</v>
      </c>
      <c r="F69" s="2334"/>
      <c r="O69" s="2364" t="s">
        <v>2378</v>
      </c>
      <c r="P69" s="2370" t="s">
        <v>2392</v>
      </c>
      <c r="Q69" s="2363">
        <f ca="1">ROUND(Q70-Q71*Q72,0)</f>
        <v>1212</v>
      </c>
      <c r="R69" s="2366"/>
    </row>
    <row r="70" spans="1:18" ht="15.75" thickBot="1">
      <c r="A70" s="822" t="s">
        <v>1785</v>
      </c>
      <c r="B70" s="823" t="s">
        <v>1808</v>
      </c>
      <c r="C70" s="824">
        <f ca="1">ROUND(C67*10000/F70,0)</f>
        <v>-578</v>
      </c>
      <c r="D70" s="825" t="s">
        <v>1809</v>
      </c>
      <c r="E70" s="826" t="s">
        <v>1810</v>
      </c>
      <c r="F70" s="827">
        <f ca="1">F43</f>
        <v>161324.57999999999</v>
      </c>
      <c r="O70" s="2364" t="s">
        <v>2393</v>
      </c>
      <c r="P70" s="2370" t="s">
        <v>2394</v>
      </c>
      <c r="Q70" s="2363">
        <f ca="1">C39</f>
        <v>5019</v>
      </c>
      <c r="R70" s="2362" t="s">
        <v>2374</v>
      </c>
    </row>
    <row r="71" spans="1:18" ht="15.75" thickBot="1">
      <c r="O71" s="2364" t="s">
        <v>2395</v>
      </c>
      <c r="P71" s="2370" t="s">
        <v>2396</v>
      </c>
      <c r="Q71" s="2363">
        <f ca="1">C13</f>
        <v>44784</v>
      </c>
      <c r="R71" s="2362" t="s">
        <v>2374</v>
      </c>
    </row>
    <row r="72" spans="1:18" ht="15.75" thickBot="1">
      <c r="O72" s="2364" t="s">
        <v>2397</v>
      </c>
      <c r="P72" s="2370" t="s">
        <v>2398</v>
      </c>
      <c r="Q72" s="2365">
        <f ca="1">J36</f>
        <v>8.5000000000000006E-2</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建设期及建筑物耐用年限下的土地年期修正系数Kn</v>
      </c>
      <c r="Q75" s="2363" t="e">
        <f ca="1">L59</f>
        <v>#DIV/0!</v>
      </c>
      <c r="R75" s="2366" t="s">
        <v>2391</v>
      </c>
    </row>
    <row r="76" spans="1:18" ht="15.75" thickBot="1">
      <c r="O76" s="2361" t="s">
        <v>2385</v>
      </c>
      <c r="P76" s="2362" t="s">
        <v>2402</v>
      </c>
      <c r="Q76" s="2363">
        <f ca="1">Q66+Q67</f>
        <v>100317</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Q54"/>
  <sheetViews>
    <sheetView workbookViewId="0">
      <selection activeCell="A23" sqref="A23:XFD23"/>
    </sheetView>
  </sheetViews>
  <sheetFormatPr defaultRowHeight="13.5"/>
  <cols>
    <col min="1" max="1" width="39.25" style="2893" customWidth="1"/>
    <col min="2" max="2" width="7.125" style="2893" hidden="1" customWidth="1"/>
    <col min="3" max="3" width="13.375" style="2893" customWidth="1"/>
    <col min="4" max="4" width="39.25" style="2893" hidden="1" customWidth="1"/>
    <col min="5" max="5" width="9" style="2893" hidden="1" customWidth="1"/>
    <col min="6" max="7" width="15.875" style="2893" customWidth="1"/>
    <col min="8" max="8" width="21.875" style="2893" customWidth="1"/>
    <col min="9" max="9" width="9" style="2893" hidden="1" customWidth="1"/>
    <col min="10" max="10" width="10.25" style="2893" customWidth="1"/>
    <col min="11" max="11" width="41.125" style="2893" customWidth="1"/>
    <col min="12" max="13" width="12.125" style="2893" customWidth="1"/>
    <col min="14" max="14" width="16.375" style="2893" customWidth="1"/>
    <col min="15" max="15" width="7.125" style="2893" customWidth="1"/>
    <col min="16" max="17" width="9" style="2893" customWidth="1"/>
    <col min="18" max="256" width="8.875" style="2893"/>
    <col min="257" max="257" width="39.25" style="2893" customWidth="1"/>
    <col min="258" max="258" width="7.125" style="2893" customWidth="1"/>
    <col min="259" max="259" width="13.375" style="2893" customWidth="1"/>
    <col min="260" max="260" width="39.25" style="2893" customWidth="1"/>
    <col min="261" max="261" width="9" style="2893" customWidth="1"/>
    <col min="262" max="263" width="15.875" style="2893" customWidth="1"/>
    <col min="264" max="264" width="21.875" style="2893" customWidth="1"/>
    <col min="265" max="265" width="9" style="2893" customWidth="1"/>
    <col min="266" max="266" width="10.25" style="2893" customWidth="1"/>
    <col min="267" max="267" width="41.125" style="2893" customWidth="1"/>
    <col min="268" max="269" width="12.125" style="2893" customWidth="1"/>
    <col min="270" max="270" width="16.375" style="2893" customWidth="1"/>
    <col min="271" max="271" width="7.125" style="2893" customWidth="1"/>
    <col min="272" max="273" width="9" style="2893" customWidth="1"/>
    <col min="274" max="512" width="8.875" style="2893"/>
    <col min="513" max="513" width="39.25" style="2893" customWidth="1"/>
    <col min="514" max="514" width="7.125" style="2893" customWidth="1"/>
    <col min="515" max="515" width="13.375" style="2893" customWidth="1"/>
    <col min="516" max="516" width="39.25" style="2893" customWidth="1"/>
    <col min="517" max="517" width="9" style="2893" customWidth="1"/>
    <col min="518" max="519" width="15.875" style="2893" customWidth="1"/>
    <col min="520" max="520" width="21.875" style="2893" customWidth="1"/>
    <col min="521" max="521" width="9" style="2893" customWidth="1"/>
    <col min="522" max="522" width="10.25" style="2893" customWidth="1"/>
    <col min="523" max="523" width="41.125" style="2893" customWidth="1"/>
    <col min="524" max="525" width="12.125" style="2893" customWidth="1"/>
    <col min="526" max="526" width="16.375" style="2893" customWidth="1"/>
    <col min="527" max="527" width="7.125" style="2893" customWidth="1"/>
    <col min="528" max="529" width="9" style="2893" customWidth="1"/>
    <col min="530" max="768" width="8.875" style="2893"/>
    <col min="769" max="769" width="39.25" style="2893" customWidth="1"/>
    <col min="770" max="770" width="7.125" style="2893" customWidth="1"/>
    <col min="771" max="771" width="13.375" style="2893" customWidth="1"/>
    <col min="772" max="772" width="39.25" style="2893" customWidth="1"/>
    <col min="773" max="773" width="9" style="2893" customWidth="1"/>
    <col min="774" max="775" width="15.875" style="2893" customWidth="1"/>
    <col min="776" max="776" width="21.875" style="2893" customWidth="1"/>
    <col min="777" max="777" width="9" style="2893" customWidth="1"/>
    <col min="778" max="778" width="10.25" style="2893" customWidth="1"/>
    <col min="779" max="779" width="41.125" style="2893" customWidth="1"/>
    <col min="780" max="781" width="12.125" style="2893" customWidth="1"/>
    <col min="782" max="782" width="16.375" style="2893" customWidth="1"/>
    <col min="783" max="783" width="7.125" style="2893" customWidth="1"/>
    <col min="784" max="785" width="9" style="2893" customWidth="1"/>
    <col min="786" max="1024" width="8.875" style="2893"/>
    <col min="1025" max="1025" width="39.25" style="2893" customWidth="1"/>
    <col min="1026" max="1026" width="7.125" style="2893" customWidth="1"/>
    <col min="1027" max="1027" width="13.375" style="2893" customWidth="1"/>
    <col min="1028" max="1028" width="39.25" style="2893" customWidth="1"/>
    <col min="1029" max="1029" width="9" style="2893" customWidth="1"/>
    <col min="1030" max="1031" width="15.875" style="2893" customWidth="1"/>
    <col min="1032" max="1032" width="21.875" style="2893" customWidth="1"/>
    <col min="1033" max="1033" width="9" style="2893" customWidth="1"/>
    <col min="1034" max="1034" width="10.25" style="2893" customWidth="1"/>
    <col min="1035" max="1035" width="41.125" style="2893" customWidth="1"/>
    <col min="1036" max="1037" width="12.125" style="2893" customWidth="1"/>
    <col min="1038" max="1038" width="16.375" style="2893" customWidth="1"/>
    <col min="1039" max="1039" width="7.125" style="2893" customWidth="1"/>
    <col min="1040" max="1041" width="9" style="2893" customWidth="1"/>
    <col min="1042" max="1280" width="8.875" style="2893"/>
    <col min="1281" max="1281" width="39.25" style="2893" customWidth="1"/>
    <col min="1282" max="1282" width="7.125" style="2893" customWidth="1"/>
    <col min="1283" max="1283" width="13.375" style="2893" customWidth="1"/>
    <col min="1284" max="1284" width="39.25" style="2893" customWidth="1"/>
    <col min="1285" max="1285" width="9" style="2893" customWidth="1"/>
    <col min="1286" max="1287" width="15.875" style="2893" customWidth="1"/>
    <col min="1288" max="1288" width="21.875" style="2893" customWidth="1"/>
    <col min="1289" max="1289" width="9" style="2893" customWidth="1"/>
    <col min="1290" max="1290" width="10.25" style="2893" customWidth="1"/>
    <col min="1291" max="1291" width="41.125" style="2893" customWidth="1"/>
    <col min="1292" max="1293" width="12.125" style="2893" customWidth="1"/>
    <col min="1294" max="1294" width="16.375" style="2893" customWidth="1"/>
    <col min="1295" max="1295" width="7.125" style="2893" customWidth="1"/>
    <col min="1296" max="1297" width="9" style="2893" customWidth="1"/>
    <col min="1298" max="1536" width="8.875" style="2893"/>
    <col min="1537" max="1537" width="39.25" style="2893" customWidth="1"/>
    <col min="1538" max="1538" width="7.125" style="2893" customWidth="1"/>
    <col min="1539" max="1539" width="13.375" style="2893" customWidth="1"/>
    <col min="1540" max="1540" width="39.25" style="2893" customWidth="1"/>
    <col min="1541" max="1541" width="9" style="2893" customWidth="1"/>
    <col min="1542" max="1543" width="15.875" style="2893" customWidth="1"/>
    <col min="1544" max="1544" width="21.875" style="2893" customWidth="1"/>
    <col min="1545" max="1545" width="9" style="2893" customWidth="1"/>
    <col min="1546" max="1546" width="10.25" style="2893" customWidth="1"/>
    <col min="1547" max="1547" width="41.125" style="2893" customWidth="1"/>
    <col min="1548" max="1549" width="12.125" style="2893" customWidth="1"/>
    <col min="1550" max="1550" width="16.375" style="2893" customWidth="1"/>
    <col min="1551" max="1551" width="7.125" style="2893" customWidth="1"/>
    <col min="1552" max="1553" width="9" style="2893" customWidth="1"/>
    <col min="1554" max="1792" width="8.875" style="2893"/>
    <col min="1793" max="1793" width="39.25" style="2893" customWidth="1"/>
    <col min="1794" max="1794" width="7.125" style="2893" customWidth="1"/>
    <col min="1795" max="1795" width="13.375" style="2893" customWidth="1"/>
    <col min="1796" max="1796" width="39.25" style="2893" customWidth="1"/>
    <col min="1797" max="1797" width="9" style="2893" customWidth="1"/>
    <col min="1798" max="1799" width="15.875" style="2893" customWidth="1"/>
    <col min="1800" max="1800" width="21.875" style="2893" customWidth="1"/>
    <col min="1801" max="1801" width="9" style="2893" customWidth="1"/>
    <col min="1802" max="1802" width="10.25" style="2893" customWidth="1"/>
    <col min="1803" max="1803" width="41.125" style="2893" customWidth="1"/>
    <col min="1804" max="1805" width="12.125" style="2893" customWidth="1"/>
    <col min="1806" max="1806" width="16.375" style="2893" customWidth="1"/>
    <col min="1807" max="1807" width="7.125" style="2893" customWidth="1"/>
    <col min="1808" max="1809" width="9" style="2893" customWidth="1"/>
    <col min="1810" max="2048" width="8.875" style="2893"/>
    <col min="2049" max="2049" width="39.25" style="2893" customWidth="1"/>
    <col min="2050" max="2050" width="7.125" style="2893" customWidth="1"/>
    <col min="2051" max="2051" width="13.375" style="2893" customWidth="1"/>
    <col min="2052" max="2052" width="39.25" style="2893" customWidth="1"/>
    <col min="2053" max="2053" width="9" style="2893" customWidth="1"/>
    <col min="2054" max="2055" width="15.875" style="2893" customWidth="1"/>
    <col min="2056" max="2056" width="21.875" style="2893" customWidth="1"/>
    <col min="2057" max="2057" width="9" style="2893" customWidth="1"/>
    <col min="2058" max="2058" width="10.25" style="2893" customWidth="1"/>
    <col min="2059" max="2059" width="41.125" style="2893" customWidth="1"/>
    <col min="2060" max="2061" width="12.125" style="2893" customWidth="1"/>
    <col min="2062" max="2062" width="16.375" style="2893" customWidth="1"/>
    <col min="2063" max="2063" width="7.125" style="2893" customWidth="1"/>
    <col min="2064" max="2065" width="9" style="2893" customWidth="1"/>
    <col min="2066" max="2304" width="8.875" style="2893"/>
    <col min="2305" max="2305" width="39.25" style="2893" customWidth="1"/>
    <col min="2306" max="2306" width="7.125" style="2893" customWidth="1"/>
    <col min="2307" max="2307" width="13.375" style="2893" customWidth="1"/>
    <col min="2308" max="2308" width="39.25" style="2893" customWidth="1"/>
    <col min="2309" max="2309" width="9" style="2893" customWidth="1"/>
    <col min="2310" max="2311" width="15.875" style="2893" customWidth="1"/>
    <col min="2312" max="2312" width="21.875" style="2893" customWidth="1"/>
    <col min="2313" max="2313" width="9" style="2893" customWidth="1"/>
    <col min="2314" max="2314" width="10.25" style="2893" customWidth="1"/>
    <col min="2315" max="2315" width="41.125" style="2893" customWidth="1"/>
    <col min="2316" max="2317" width="12.125" style="2893" customWidth="1"/>
    <col min="2318" max="2318" width="16.375" style="2893" customWidth="1"/>
    <col min="2319" max="2319" width="7.125" style="2893" customWidth="1"/>
    <col min="2320" max="2321" width="9" style="2893" customWidth="1"/>
    <col min="2322" max="2560" width="8.875" style="2893"/>
    <col min="2561" max="2561" width="39.25" style="2893" customWidth="1"/>
    <col min="2562" max="2562" width="7.125" style="2893" customWidth="1"/>
    <col min="2563" max="2563" width="13.375" style="2893" customWidth="1"/>
    <col min="2564" max="2564" width="39.25" style="2893" customWidth="1"/>
    <col min="2565" max="2565" width="9" style="2893" customWidth="1"/>
    <col min="2566" max="2567" width="15.875" style="2893" customWidth="1"/>
    <col min="2568" max="2568" width="21.875" style="2893" customWidth="1"/>
    <col min="2569" max="2569" width="9" style="2893" customWidth="1"/>
    <col min="2570" max="2570" width="10.25" style="2893" customWidth="1"/>
    <col min="2571" max="2571" width="41.125" style="2893" customWidth="1"/>
    <col min="2572" max="2573" width="12.125" style="2893" customWidth="1"/>
    <col min="2574" max="2574" width="16.375" style="2893" customWidth="1"/>
    <col min="2575" max="2575" width="7.125" style="2893" customWidth="1"/>
    <col min="2576" max="2577" width="9" style="2893" customWidth="1"/>
    <col min="2578" max="2816" width="8.875" style="2893"/>
    <col min="2817" max="2817" width="39.25" style="2893" customWidth="1"/>
    <col min="2818" max="2818" width="7.125" style="2893" customWidth="1"/>
    <col min="2819" max="2819" width="13.375" style="2893" customWidth="1"/>
    <col min="2820" max="2820" width="39.25" style="2893" customWidth="1"/>
    <col min="2821" max="2821" width="9" style="2893" customWidth="1"/>
    <col min="2822" max="2823" width="15.875" style="2893" customWidth="1"/>
    <col min="2824" max="2824" width="21.875" style="2893" customWidth="1"/>
    <col min="2825" max="2825" width="9" style="2893" customWidth="1"/>
    <col min="2826" max="2826" width="10.25" style="2893" customWidth="1"/>
    <col min="2827" max="2827" width="41.125" style="2893" customWidth="1"/>
    <col min="2828" max="2829" width="12.125" style="2893" customWidth="1"/>
    <col min="2830" max="2830" width="16.375" style="2893" customWidth="1"/>
    <col min="2831" max="2831" width="7.125" style="2893" customWidth="1"/>
    <col min="2832" max="2833" width="9" style="2893" customWidth="1"/>
    <col min="2834" max="3072" width="8.875" style="2893"/>
    <col min="3073" max="3073" width="39.25" style="2893" customWidth="1"/>
    <col min="3074" max="3074" width="7.125" style="2893" customWidth="1"/>
    <col min="3075" max="3075" width="13.375" style="2893" customWidth="1"/>
    <col min="3076" max="3076" width="39.25" style="2893" customWidth="1"/>
    <col min="3077" max="3077" width="9" style="2893" customWidth="1"/>
    <col min="3078" max="3079" width="15.875" style="2893" customWidth="1"/>
    <col min="3080" max="3080" width="21.875" style="2893" customWidth="1"/>
    <col min="3081" max="3081" width="9" style="2893" customWidth="1"/>
    <col min="3082" max="3082" width="10.25" style="2893" customWidth="1"/>
    <col min="3083" max="3083" width="41.125" style="2893" customWidth="1"/>
    <col min="3084" max="3085" width="12.125" style="2893" customWidth="1"/>
    <col min="3086" max="3086" width="16.375" style="2893" customWidth="1"/>
    <col min="3087" max="3087" width="7.125" style="2893" customWidth="1"/>
    <col min="3088" max="3089" width="9" style="2893" customWidth="1"/>
    <col min="3090" max="3328" width="8.875" style="2893"/>
    <col min="3329" max="3329" width="39.25" style="2893" customWidth="1"/>
    <col min="3330" max="3330" width="7.125" style="2893" customWidth="1"/>
    <col min="3331" max="3331" width="13.375" style="2893" customWidth="1"/>
    <col min="3332" max="3332" width="39.25" style="2893" customWidth="1"/>
    <col min="3333" max="3333" width="9" style="2893" customWidth="1"/>
    <col min="3334" max="3335" width="15.875" style="2893" customWidth="1"/>
    <col min="3336" max="3336" width="21.875" style="2893" customWidth="1"/>
    <col min="3337" max="3337" width="9" style="2893" customWidth="1"/>
    <col min="3338" max="3338" width="10.25" style="2893" customWidth="1"/>
    <col min="3339" max="3339" width="41.125" style="2893" customWidth="1"/>
    <col min="3340" max="3341" width="12.125" style="2893" customWidth="1"/>
    <col min="3342" max="3342" width="16.375" style="2893" customWidth="1"/>
    <col min="3343" max="3343" width="7.125" style="2893" customWidth="1"/>
    <col min="3344" max="3345" width="9" style="2893" customWidth="1"/>
    <col min="3346" max="3584" width="8.875" style="2893"/>
    <col min="3585" max="3585" width="39.25" style="2893" customWidth="1"/>
    <col min="3586" max="3586" width="7.125" style="2893" customWidth="1"/>
    <col min="3587" max="3587" width="13.375" style="2893" customWidth="1"/>
    <col min="3588" max="3588" width="39.25" style="2893" customWidth="1"/>
    <col min="3589" max="3589" width="9" style="2893" customWidth="1"/>
    <col min="3590" max="3591" width="15.875" style="2893" customWidth="1"/>
    <col min="3592" max="3592" width="21.875" style="2893" customWidth="1"/>
    <col min="3593" max="3593" width="9" style="2893" customWidth="1"/>
    <col min="3594" max="3594" width="10.25" style="2893" customWidth="1"/>
    <col min="3595" max="3595" width="41.125" style="2893" customWidth="1"/>
    <col min="3596" max="3597" width="12.125" style="2893" customWidth="1"/>
    <col min="3598" max="3598" width="16.375" style="2893" customWidth="1"/>
    <col min="3599" max="3599" width="7.125" style="2893" customWidth="1"/>
    <col min="3600" max="3601" width="9" style="2893" customWidth="1"/>
    <col min="3602" max="3840" width="8.875" style="2893"/>
    <col min="3841" max="3841" width="39.25" style="2893" customWidth="1"/>
    <col min="3842" max="3842" width="7.125" style="2893" customWidth="1"/>
    <col min="3843" max="3843" width="13.375" style="2893" customWidth="1"/>
    <col min="3844" max="3844" width="39.25" style="2893" customWidth="1"/>
    <col min="3845" max="3845" width="9" style="2893" customWidth="1"/>
    <col min="3846" max="3847" width="15.875" style="2893" customWidth="1"/>
    <col min="3848" max="3848" width="21.875" style="2893" customWidth="1"/>
    <col min="3849" max="3849" width="9" style="2893" customWidth="1"/>
    <col min="3850" max="3850" width="10.25" style="2893" customWidth="1"/>
    <col min="3851" max="3851" width="41.125" style="2893" customWidth="1"/>
    <col min="3852" max="3853" width="12.125" style="2893" customWidth="1"/>
    <col min="3854" max="3854" width="16.375" style="2893" customWidth="1"/>
    <col min="3855" max="3855" width="7.125" style="2893" customWidth="1"/>
    <col min="3856" max="3857" width="9" style="2893" customWidth="1"/>
    <col min="3858" max="4096" width="8.875" style="2893"/>
    <col min="4097" max="4097" width="39.25" style="2893" customWidth="1"/>
    <col min="4098" max="4098" width="7.125" style="2893" customWidth="1"/>
    <col min="4099" max="4099" width="13.375" style="2893" customWidth="1"/>
    <col min="4100" max="4100" width="39.25" style="2893" customWidth="1"/>
    <col min="4101" max="4101" width="9" style="2893" customWidth="1"/>
    <col min="4102" max="4103" width="15.875" style="2893" customWidth="1"/>
    <col min="4104" max="4104" width="21.875" style="2893" customWidth="1"/>
    <col min="4105" max="4105" width="9" style="2893" customWidth="1"/>
    <col min="4106" max="4106" width="10.25" style="2893" customWidth="1"/>
    <col min="4107" max="4107" width="41.125" style="2893" customWidth="1"/>
    <col min="4108" max="4109" width="12.125" style="2893" customWidth="1"/>
    <col min="4110" max="4110" width="16.375" style="2893" customWidth="1"/>
    <col min="4111" max="4111" width="7.125" style="2893" customWidth="1"/>
    <col min="4112" max="4113" width="9" style="2893" customWidth="1"/>
    <col min="4114" max="4352" width="8.875" style="2893"/>
    <col min="4353" max="4353" width="39.25" style="2893" customWidth="1"/>
    <col min="4354" max="4354" width="7.125" style="2893" customWidth="1"/>
    <col min="4355" max="4355" width="13.375" style="2893" customWidth="1"/>
    <col min="4356" max="4356" width="39.25" style="2893" customWidth="1"/>
    <col min="4357" max="4357" width="9" style="2893" customWidth="1"/>
    <col min="4358" max="4359" width="15.875" style="2893" customWidth="1"/>
    <col min="4360" max="4360" width="21.875" style="2893" customWidth="1"/>
    <col min="4361" max="4361" width="9" style="2893" customWidth="1"/>
    <col min="4362" max="4362" width="10.25" style="2893" customWidth="1"/>
    <col min="4363" max="4363" width="41.125" style="2893" customWidth="1"/>
    <col min="4364" max="4365" width="12.125" style="2893" customWidth="1"/>
    <col min="4366" max="4366" width="16.375" style="2893" customWidth="1"/>
    <col min="4367" max="4367" width="7.125" style="2893" customWidth="1"/>
    <col min="4368" max="4369" width="9" style="2893" customWidth="1"/>
    <col min="4370" max="4608" width="8.875" style="2893"/>
    <col min="4609" max="4609" width="39.25" style="2893" customWidth="1"/>
    <col min="4610" max="4610" width="7.125" style="2893" customWidth="1"/>
    <col min="4611" max="4611" width="13.375" style="2893" customWidth="1"/>
    <col min="4612" max="4612" width="39.25" style="2893" customWidth="1"/>
    <col min="4613" max="4613" width="9" style="2893" customWidth="1"/>
    <col min="4614" max="4615" width="15.875" style="2893" customWidth="1"/>
    <col min="4616" max="4616" width="21.875" style="2893" customWidth="1"/>
    <col min="4617" max="4617" width="9" style="2893" customWidth="1"/>
    <col min="4618" max="4618" width="10.25" style="2893" customWidth="1"/>
    <col min="4619" max="4619" width="41.125" style="2893" customWidth="1"/>
    <col min="4620" max="4621" width="12.125" style="2893" customWidth="1"/>
    <col min="4622" max="4622" width="16.375" style="2893" customWidth="1"/>
    <col min="4623" max="4623" width="7.125" style="2893" customWidth="1"/>
    <col min="4624" max="4625" width="9" style="2893" customWidth="1"/>
    <col min="4626" max="4864" width="8.875" style="2893"/>
    <col min="4865" max="4865" width="39.25" style="2893" customWidth="1"/>
    <col min="4866" max="4866" width="7.125" style="2893" customWidth="1"/>
    <col min="4867" max="4867" width="13.375" style="2893" customWidth="1"/>
    <col min="4868" max="4868" width="39.25" style="2893" customWidth="1"/>
    <col min="4869" max="4869" width="9" style="2893" customWidth="1"/>
    <col min="4870" max="4871" width="15.875" style="2893" customWidth="1"/>
    <col min="4872" max="4872" width="21.875" style="2893" customWidth="1"/>
    <col min="4873" max="4873" width="9" style="2893" customWidth="1"/>
    <col min="4874" max="4874" width="10.25" style="2893" customWidth="1"/>
    <col min="4875" max="4875" width="41.125" style="2893" customWidth="1"/>
    <col min="4876" max="4877" width="12.125" style="2893" customWidth="1"/>
    <col min="4878" max="4878" width="16.375" style="2893" customWidth="1"/>
    <col min="4879" max="4879" width="7.125" style="2893" customWidth="1"/>
    <col min="4880" max="4881" width="9" style="2893" customWidth="1"/>
    <col min="4882" max="5120" width="8.875" style="2893"/>
    <col min="5121" max="5121" width="39.25" style="2893" customWidth="1"/>
    <col min="5122" max="5122" width="7.125" style="2893" customWidth="1"/>
    <col min="5123" max="5123" width="13.375" style="2893" customWidth="1"/>
    <col min="5124" max="5124" width="39.25" style="2893" customWidth="1"/>
    <col min="5125" max="5125" width="9" style="2893" customWidth="1"/>
    <col min="5126" max="5127" width="15.875" style="2893" customWidth="1"/>
    <col min="5128" max="5128" width="21.875" style="2893" customWidth="1"/>
    <col min="5129" max="5129" width="9" style="2893" customWidth="1"/>
    <col min="5130" max="5130" width="10.25" style="2893" customWidth="1"/>
    <col min="5131" max="5131" width="41.125" style="2893" customWidth="1"/>
    <col min="5132" max="5133" width="12.125" style="2893" customWidth="1"/>
    <col min="5134" max="5134" width="16.375" style="2893" customWidth="1"/>
    <col min="5135" max="5135" width="7.125" style="2893" customWidth="1"/>
    <col min="5136" max="5137" width="9" style="2893" customWidth="1"/>
    <col min="5138" max="5376" width="8.875" style="2893"/>
    <col min="5377" max="5377" width="39.25" style="2893" customWidth="1"/>
    <col min="5378" max="5378" width="7.125" style="2893" customWidth="1"/>
    <col min="5379" max="5379" width="13.375" style="2893" customWidth="1"/>
    <col min="5380" max="5380" width="39.25" style="2893" customWidth="1"/>
    <col min="5381" max="5381" width="9" style="2893" customWidth="1"/>
    <col min="5382" max="5383" width="15.875" style="2893" customWidth="1"/>
    <col min="5384" max="5384" width="21.875" style="2893" customWidth="1"/>
    <col min="5385" max="5385" width="9" style="2893" customWidth="1"/>
    <col min="5386" max="5386" width="10.25" style="2893" customWidth="1"/>
    <col min="5387" max="5387" width="41.125" style="2893" customWidth="1"/>
    <col min="5388" max="5389" width="12.125" style="2893" customWidth="1"/>
    <col min="5390" max="5390" width="16.375" style="2893" customWidth="1"/>
    <col min="5391" max="5391" width="7.125" style="2893" customWidth="1"/>
    <col min="5392" max="5393" width="9" style="2893" customWidth="1"/>
    <col min="5394" max="5632" width="8.875" style="2893"/>
    <col min="5633" max="5633" width="39.25" style="2893" customWidth="1"/>
    <col min="5634" max="5634" width="7.125" style="2893" customWidth="1"/>
    <col min="5635" max="5635" width="13.375" style="2893" customWidth="1"/>
    <col min="5636" max="5636" width="39.25" style="2893" customWidth="1"/>
    <col min="5637" max="5637" width="9" style="2893" customWidth="1"/>
    <col min="5638" max="5639" width="15.875" style="2893" customWidth="1"/>
    <col min="5640" max="5640" width="21.875" style="2893" customWidth="1"/>
    <col min="5641" max="5641" width="9" style="2893" customWidth="1"/>
    <col min="5642" max="5642" width="10.25" style="2893" customWidth="1"/>
    <col min="5643" max="5643" width="41.125" style="2893" customWidth="1"/>
    <col min="5644" max="5645" width="12.125" style="2893" customWidth="1"/>
    <col min="5646" max="5646" width="16.375" style="2893" customWidth="1"/>
    <col min="5647" max="5647" width="7.125" style="2893" customWidth="1"/>
    <col min="5648" max="5649" width="9" style="2893" customWidth="1"/>
    <col min="5650" max="5888" width="8.875" style="2893"/>
    <col min="5889" max="5889" width="39.25" style="2893" customWidth="1"/>
    <col min="5890" max="5890" width="7.125" style="2893" customWidth="1"/>
    <col min="5891" max="5891" width="13.375" style="2893" customWidth="1"/>
    <col min="5892" max="5892" width="39.25" style="2893" customWidth="1"/>
    <col min="5893" max="5893" width="9" style="2893" customWidth="1"/>
    <col min="5894" max="5895" width="15.875" style="2893" customWidth="1"/>
    <col min="5896" max="5896" width="21.875" style="2893" customWidth="1"/>
    <col min="5897" max="5897" width="9" style="2893" customWidth="1"/>
    <col min="5898" max="5898" width="10.25" style="2893" customWidth="1"/>
    <col min="5899" max="5899" width="41.125" style="2893" customWidth="1"/>
    <col min="5900" max="5901" width="12.125" style="2893" customWidth="1"/>
    <col min="5902" max="5902" width="16.375" style="2893" customWidth="1"/>
    <col min="5903" max="5903" width="7.125" style="2893" customWidth="1"/>
    <col min="5904" max="5905" width="9" style="2893" customWidth="1"/>
    <col min="5906" max="6144" width="8.875" style="2893"/>
    <col min="6145" max="6145" width="39.25" style="2893" customWidth="1"/>
    <col min="6146" max="6146" width="7.125" style="2893" customWidth="1"/>
    <col min="6147" max="6147" width="13.375" style="2893" customWidth="1"/>
    <col min="6148" max="6148" width="39.25" style="2893" customWidth="1"/>
    <col min="6149" max="6149" width="9" style="2893" customWidth="1"/>
    <col min="6150" max="6151" width="15.875" style="2893" customWidth="1"/>
    <col min="6152" max="6152" width="21.875" style="2893" customWidth="1"/>
    <col min="6153" max="6153" width="9" style="2893" customWidth="1"/>
    <col min="6154" max="6154" width="10.25" style="2893" customWidth="1"/>
    <col min="6155" max="6155" width="41.125" style="2893" customWidth="1"/>
    <col min="6156" max="6157" width="12.125" style="2893" customWidth="1"/>
    <col min="6158" max="6158" width="16.375" style="2893" customWidth="1"/>
    <col min="6159" max="6159" width="7.125" style="2893" customWidth="1"/>
    <col min="6160" max="6161" width="9" style="2893" customWidth="1"/>
    <col min="6162" max="6400" width="8.875" style="2893"/>
    <col min="6401" max="6401" width="39.25" style="2893" customWidth="1"/>
    <col min="6402" max="6402" width="7.125" style="2893" customWidth="1"/>
    <col min="6403" max="6403" width="13.375" style="2893" customWidth="1"/>
    <col min="6404" max="6404" width="39.25" style="2893" customWidth="1"/>
    <col min="6405" max="6405" width="9" style="2893" customWidth="1"/>
    <col min="6406" max="6407" width="15.875" style="2893" customWidth="1"/>
    <col min="6408" max="6408" width="21.875" style="2893" customWidth="1"/>
    <col min="6409" max="6409" width="9" style="2893" customWidth="1"/>
    <col min="6410" max="6410" width="10.25" style="2893" customWidth="1"/>
    <col min="6411" max="6411" width="41.125" style="2893" customWidth="1"/>
    <col min="6412" max="6413" width="12.125" style="2893" customWidth="1"/>
    <col min="6414" max="6414" width="16.375" style="2893" customWidth="1"/>
    <col min="6415" max="6415" width="7.125" style="2893" customWidth="1"/>
    <col min="6416" max="6417" width="9" style="2893" customWidth="1"/>
    <col min="6418" max="6656" width="8.875" style="2893"/>
    <col min="6657" max="6657" width="39.25" style="2893" customWidth="1"/>
    <col min="6658" max="6658" width="7.125" style="2893" customWidth="1"/>
    <col min="6659" max="6659" width="13.375" style="2893" customWidth="1"/>
    <col min="6660" max="6660" width="39.25" style="2893" customWidth="1"/>
    <col min="6661" max="6661" width="9" style="2893" customWidth="1"/>
    <col min="6662" max="6663" width="15.875" style="2893" customWidth="1"/>
    <col min="6664" max="6664" width="21.875" style="2893" customWidth="1"/>
    <col min="6665" max="6665" width="9" style="2893" customWidth="1"/>
    <col min="6666" max="6666" width="10.25" style="2893" customWidth="1"/>
    <col min="6667" max="6667" width="41.125" style="2893" customWidth="1"/>
    <col min="6668" max="6669" width="12.125" style="2893" customWidth="1"/>
    <col min="6670" max="6670" width="16.375" style="2893" customWidth="1"/>
    <col min="6671" max="6671" width="7.125" style="2893" customWidth="1"/>
    <col min="6672" max="6673" width="9" style="2893" customWidth="1"/>
    <col min="6674" max="6912" width="8.875" style="2893"/>
    <col min="6913" max="6913" width="39.25" style="2893" customWidth="1"/>
    <col min="6914" max="6914" width="7.125" style="2893" customWidth="1"/>
    <col min="6915" max="6915" width="13.375" style="2893" customWidth="1"/>
    <col min="6916" max="6916" width="39.25" style="2893" customWidth="1"/>
    <col min="6917" max="6917" width="9" style="2893" customWidth="1"/>
    <col min="6918" max="6919" width="15.875" style="2893" customWidth="1"/>
    <col min="6920" max="6920" width="21.875" style="2893" customWidth="1"/>
    <col min="6921" max="6921" width="9" style="2893" customWidth="1"/>
    <col min="6922" max="6922" width="10.25" style="2893" customWidth="1"/>
    <col min="6923" max="6923" width="41.125" style="2893" customWidth="1"/>
    <col min="6924" max="6925" width="12.125" style="2893" customWidth="1"/>
    <col min="6926" max="6926" width="16.375" style="2893" customWidth="1"/>
    <col min="6927" max="6927" width="7.125" style="2893" customWidth="1"/>
    <col min="6928" max="6929" width="9" style="2893" customWidth="1"/>
    <col min="6930" max="7168" width="8.875" style="2893"/>
    <col min="7169" max="7169" width="39.25" style="2893" customWidth="1"/>
    <col min="7170" max="7170" width="7.125" style="2893" customWidth="1"/>
    <col min="7171" max="7171" width="13.375" style="2893" customWidth="1"/>
    <col min="7172" max="7172" width="39.25" style="2893" customWidth="1"/>
    <col min="7173" max="7173" width="9" style="2893" customWidth="1"/>
    <col min="7174" max="7175" width="15.875" style="2893" customWidth="1"/>
    <col min="7176" max="7176" width="21.875" style="2893" customWidth="1"/>
    <col min="7177" max="7177" width="9" style="2893" customWidth="1"/>
    <col min="7178" max="7178" width="10.25" style="2893" customWidth="1"/>
    <col min="7179" max="7179" width="41.125" style="2893" customWidth="1"/>
    <col min="7180" max="7181" width="12.125" style="2893" customWidth="1"/>
    <col min="7182" max="7182" width="16.375" style="2893" customWidth="1"/>
    <col min="7183" max="7183" width="7.125" style="2893" customWidth="1"/>
    <col min="7184" max="7185" width="9" style="2893" customWidth="1"/>
    <col min="7186" max="7424" width="8.875" style="2893"/>
    <col min="7425" max="7425" width="39.25" style="2893" customWidth="1"/>
    <col min="7426" max="7426" width="7.125" style="2893" customWidth="1"/>
    <col min="7427" max="7427" width="13.375" style="2893" customWidth="1"/>
    <col min="7428" max="7428" width="39.25" style="2893" customWidth="1"/>
    <col min="7429" max="7429" width="9" style="2893" customWidth="1"/>
    <col min="7430" max="7431" width="15.875" style="2893" customWidth="1"/>
    <col min="7432" max="7432" width="21.875" style="2893" customWidth="1"/>
    <col min="7433" max="7433" width="9" style="2893" customWidth="1"/>
    <col min="7434" max="7434" width="10.25" style="2893" customWidth="1"/>
    <col min="7435" max="7435" width="41.125" style="2893" customWidth="1"/>
    <col min="7436" max="7437" width="12.125" style="2893" customWidth="1"/>
    <col min="7438" max="7438" width="16.375" style="2893" customWidth="1"/>
    <col min="7439" max="7439" width="7.125" style="2893" customWidth="1"/>
    <col min="7440" max="7441" width="9" style="2893" customWidth="1"/>
    <col min="7442" max="7680" width="8.875" style="2893"/>
    <col min="7681" max="7681" width="39.25" style="2893" customWidth="1"/>
    <col min="7682" max="7682" width="7.125" style="2893" customWidth="1"/>
    <col min="7683" max="7683" width="13.375" style="2893" customWidth="1"/>
    <col min="7684" max="7684" width="39.25" style="2893" customWidth="1"/>
    <col min="7685" max="7685" width="9" style="2893" customWidth="1"/>
    <col min="7686" max="7687" width="15.875" style="2893" customWidth="1"/>
    <col min="7688" max="7688" width="21.875" style="2893" customWidth="1"/>
    <col min="7689" max="7689" width="9" style="2893" customWidth="1"/>
    <col min="7690" max="7690" width="10.25" style="2893" customWidth="1"/>
    <col min="7691" max="7691" width="41.125" style="2893" customWidth="1"/>
    <col min="7692" max="7693" width="12.125" style="2893" customWidth="1"/>
    <col min="7694" max="7694" width="16.375" style="2893" customWidth="1"/>
    <col min="7695" max="7695" width="7.125" style="2893" customWidth="1"/>
    <col min="7696" max="7697" width="9" style="2893" customWidth="1"/>
    <col min="7698" max="7936" width="8.875" style="2893"/>
    <col min="7937" max="7937" width="39.25" style="2893" customWidth="1"/>
    <col min="7938" max="7938" width="7.125" style="2893" customWidth="1"/>
    <col min="7939" max="7939" width="13.375" style="2893" customWidth="1"/>
    <col min="7940" max="7940" width="39.25" style="2893" customWidth="1"/>
    <col min="7941" max="7941" width="9" style="2893" customWidth="1"/>
    <col min="7942" max="7943" width="15.875" style="2893" customWidth="1"/>
    <col min="7944" max="7944" width="21.875" style="2893" customWidth="1"/>
    <col min="7945" max="7945" width="9" style="2893" customWidth="1"/>
    <col min="7946" max="7946" width="10.25" style="2893" customWidth="1"/>
    <col min="7947" max="7947" width="41.125" style="2893" customWidth="1"/>
    <col min="7948" max="7949" width="12.125" style="2893" customWidth="1"/>
    <col min="7950" max="7950" width="16.375" style="2893" customWidth="1"/>
    <col min="7951" max="7951" width="7.125" style="2893" customWidth="1"/>
    <col min="7952" max="7953" width="9" style="2893" customWidth="1"/>
    <col min="7954" max="8192" width="8.875" style="2893"/>
    <col min="8193" max="8193" width="39.25" style="2893" customWidth="1"/>
    <col min="8194" max="8194" width="7.125" style="2893" customWidth="1"/>
    <col min="8195" max="8195" width="13.375" style="2893" customWidth="1"/>
    <col min="8196" max="8196" width="39.25" style="2893" customWidth="1"/>
    <col min="8197" max="8197" width="9" style="2893" customWidth="1"/>
    <col min="8198" max="8199" width="15.875" style="2893" customWidth="1"/>
    <col min="8200" max="8200" width="21.875" style="2893" customWidth="1"/>
    <col min="8201" max="8201" width="9" style="2893" customWidth="1"/>
    <col min="8202" max="8202" width="10.25" style="2893" customWidth="1"/>
    <col min="8203" max="8203" width="41.125" style="2893" customWidth="1"/>
    <col min="8204" max="8205" width="12.125" style="2893" customWidth="1"/>
    <col min="8206" max="8206" width="16.375" style="2893" customWidth="1"/>
    <col min="8207" max="8207" width="7.125" style="2893" customWidth="1"/>
    <col min="8208" max="8209" width="9" style="2893" customWidth="1"/>
    <col min="8210" max="8448" width="8.875" style="2893"/>
    <col min="8449" max="8449" width="39.25" style="2893" customWidth="1"/>
    <col min="8450" max="8450" width="7.125" style="2893" customWidth="1"/>
    <col min="8451" max="8451" width="13.375" style="2893" customWidth="1"/>
    <col min="8452" max="8452" width="39.25" style="2893" customWidth="1"/>
    <col min="8453" max="8453" width="9" style="2893" customWidth="1"/>
    <col min="8454" max="8455" width="15.875" style="2893" customWidth="1"/>
    <col min="8456" max="8456" width="21.875" style="2893" customWidth="1"/>
    <col min="8457" max="8457" width="9" style="2893" customWidth="1"/>
    <col min="8458" max="8458" width="10.25" style="2893" customWidth="1"/>
    <col min="8459" max="8459" width="41.125" style="2893" customWidth="1"/>
    <col min="8460" max="8461" width="12.125" style="2893" customWidth="1"/>
    <col min="8462" max="8462" width="16.375" style="2893" customWidth="1"/>
    <col min="8463" max="8463" width="7.125" style="2893" customWidth="1"/>
    <col min="8464" max="8465" width="9" style="2893" customWidth="1"/>
    <col min="8466" max="8704" width="8.875" style="2893"/>
    <col min="8705" max="8705" width="39.25" style="2893" customWidth="1"/>
    <col min="8706" max="8706" width="7.125" style="2893" customWidth="1"/>
    <col min="8707" max="8707" width="13.375" style="2893" customWidth="1"/>
    <col min="8708" max="8708" width="39.25" style="2893" customWidth="1"/>
    <col min="8709" max="8709" width="9" style="2893" customWidth="1"/>
    <col min="8710" max="8711" width="15.875" style="2893" customWidth="1"/>
    <col min="8712" max="8712" width="21.875" style="2893" customWidth="1"/>
    <col min="8713" max="8713" width="9" style="2893" customWidth="1"/>
    <col min="8714" max="8714" width="10.25" style="2893" customWidth="1"/>
    <col min="8715" max="8715" width="41.125" style="2893" customWidth="1"/>
    <col min="8716" max="8717" width="12.125" style="2893" customWidth="1"/>
    <col min="8718" max="8718" width="16.375" style="2893" customWidth="1"/>
    <col min="8719" max="8719" width="7.125" style="2893" customWidth="1"/>
    <col min="8720" max="8721" width="9" style="2893" customWidth="1"/>
    <col min="8722" max="8960" width="8.875" style="2893"/>
    <col min="8961" max="8961" width="39.25" style="2893" customWidth="1"/>
    <col min="8962" max="8962" width="7.125" style="2893" customWidth="1"/>
    <col min="8963" max="8963" width="13.375" style="2893" customWidth="1"/>
    <col min="8964" max="8964" width="39.25" style="2893" customWidth="1"/>
    <col min="8965" max="8965" width="9" style="2893" customWidth="1"/>
    <col min="8966" max="8967" width="15.875" style="2893" customWidth="1"/>
    <col min="8968" max="8968" width="21.875" style="2893" customWidth="1"/>
    <col min="8969" max="8969" width="9" style="2893" customWidth="1"/>
    <col min="8970" max="8970" width="10.25" style="2893" customWidth="1"/>
    <col min="8971" max="8971" width="41.125" style="2893" customWidth="1"/>
    <col min="8972" max="8973" width="12.125" style="2893" customWidth="1"/>
    <col min="8974" max="8974" width="16.375" style="2893" customWidth="1"/>
    <col min="8975" max="8975" width="7.125" style="2893" customWidth="1"/>
    <col min="8976" max="8977" width="9" style="2893" customWidth="1"/>
    <col min="8978" max="9216" width="8.875" style="2893"/>
    <col min="9217" max="9217" width="39.25" style="2893" customWidth="1"/>
    <col min="9218" max="9218" width="7.125" style="2893" customWidth="1"/>
    <col min="9219" max="9219" width="13.375" style="2893" customWidth="1"/>
    <col min="9220" max="9220" width="39.25" style="2893" customWidth="1"/>
    <col min="9221" max="9221" width="9" style="2893" customWidth="1"/>
    <col min="9222" max="9223" width="15.875" style="2893" customWidth="1"/>
    <col min="9224" max="9224" width="21.875" style="2893" customWidth="1"/>
    <col min="9225" max="9225" width="9" style="2893" customWidth="1"/>
    <col min="9226" max="9226" width="10.25" style="2893" customWidth="1"/>
    <col min="9227" max="9227" width="41.125" style="2893" customWidth="1"/>
    <col min="9228" max="9229" width="12.125" style="2893" customWidth="1"/>
    <col min="9230" max="9230" width="16.375" style="2893" customWidth="1"/>
    <col min="9231" max="9231" width="7.125" style="2893" customWidth="1"/>
    <col min="9232" max="9233" width="9" style="2893" customWidth="1"/>
    <col min="9234" max="9472" width="8.875" style="2893"/>
    <col min="9473" max="9473" width="39.25" style="2893" customWidth="1"/>
    <col min="9474" max="9474" width="7.125" style="2893" customWidth="1"/>
    <col min="9475" max="9475" width="13.375" style="2893" customWidth="1"/>
    <col min="9476" max="9476" width="39.25" style="2893" customWidth="1"/>
    <col min="9477" max="9477" width="9" style="2893" customWidth="1"/>
    <col min="9478" max="9479" width="15.875" style="2893" customWidth="1"/>
    <col min="9480" max="9480" width="21.875" style="2893" customWidth="1"/>
    <col min="9481" max="9481" width="9" style="2893" customWidth="1"/>
    <col min="9482" max="9482" width="10.25" style="2893" customWidth="1"/>
    <col min="9483" max="9483" width="41.125" style="2893" customWidth="1"/>
    <col min="9484" max="9485" width="12.125" style="2893" customWidth="1"/>
    <col min="9486" max="9486" width="16.375" style="2893" customWidth="1"/>
    <col min="9487" max="9487" width="7.125" style="2893" customWidth="1"/>
    <col min="9488" max="9489" width="9" style="2893" customWidth="1"/>
    <col min="9490" max="9728" width="8.875" style="2893"/>
    <col min="9729" max="9729" width="39.25" style="2893" customWidth="1"/>
    <col min="9730" max="9730" width="7.125" style="2893" customWidth="1"/>
    <col min="9731" max="9731" width="13.375" style="2893" customWidth="1"/>
    <col min="9732" max="9732" width="39.25" style="2893" customWidth="1"/>
    <col min="9733" max="9733" width="9" style="2893" customWidth="1"/>
    <col min="9734" max="9735" width="15.875" style="2893" customWidth="1"/>
    <col min="9736" max="9736" width="21.875" style="2893" customWidth="1"/>
    <col min="9737" max="9737" width="9" style="2893" customWidth="1"/>
    <col min="9738" max="9738" width="10.25" style="2893" customWidth="1"/>
    <col min="9739" max="9739" width="41.125" style="2893" customWidth="1"/>
    <col min="9740" max="9741" width="12.125" style="2893" customWidth="1"/>
    <col min="9742" max="9742" width="16.375" style="2893" customWidth="1"/>
    <col min="9743" max="9743" width="7.125" style="2893" customWidth="1"/>
    <col min="9744" max="9745" width="9" style="2893" customWidth="1"/>
    <col min="9746" max="9984" width="8.875" style="2893"/>
    <col min="9985" max="9985" width="39.25" style="2893" customWidth="1"/>
    <col min="9986" max="9986" width="7.125" style="2893" customWidth="1"/>
    <col min="9987" max="9987" width="13.375" style="2893" customWidth="1"/>
    <col min="9988" max="9988" width="39.25" style="2893" customWidth="1"/>
    <col min="9989" max="9989" width="9" style="2893" customWidth="1"/>
    <col min="9990" max="9991" width="15.875" style="2893" customWidth="1"/>
    <col min="9992" max="9992" width="21.875" style="2893" customWidth="1"/>
    <col min="9993" max="9993" width="9" style="2893" customWidth="1"/>
    <col min="9994" max="9994" width="10.25" style="2893" customWidth="1"/>
    <col min="9995" max="9995" width="41.125" style="2893" customWidth="1"/>
    <col min="9996" max="9997" width="12.125" style="2893" customWidth="1"/>
    <col min="9998" max="9998" width="16.375" style="2893" customWidth="1"/>
    <col min="9999" max="9999" width="7.125" style="2893" customWidth="1"/>
    <col min="10000" max="10001" width="9" style="2893" customWidth="1"/>
    <col min="10002" max="10240" width="8.875" style="2893"/>
    <col min="10241" max="10241" width="39.25" style="2893" customWidth="1"/>
    <col min="10242" max="10242" width="7.125" style="2893" customWidth="1"/>
    <col min="10243" max="10243" width="13.375" style="2893" customWidth="1"/>
    <col min="10244" max="10244" width="39.25" style="2893" customWidth="1"/>
    <col min="10245" max="10245" width="9" style="2893" customWidth="1"/>
    <col min="10246" max="10247" width="15.875" style="2893" customWidth="1"/>
    <col min="10248" max="10248" width="21.875" style="2893" customWidth="1"/>
    <col min="10249" max="10249" width="9" style="2893" customWidth="1"/>
    <col min="10250" max="10250" width="10.25" style="2893" customWidth="1"/>
    <col min="10251" max="10251" width="41.125" style="2893" customWidth="1"/>
    <col min="10252" max="10253" width="12.125" style="2893" customWidth="1"/>
    <col min="10254" max="10254" width="16.375" style="2893" customWidth="1"/>
    <col min="10255" max="10255" width="7.125" style="2893" customWidth="1"/>
    <col min="10256" max="10257" width="9" style="2893" customWidth="1"/>
    <col min="10258" max="10496" width="8.875" style="2893"/>
    <col min="10497" max="10497" width="39.25" style="2893" customWidth="1"/>
    <col min="10498" max="10498" width="7.125" style="2893" customWidth="1"/>
    <col min="10499" max="10499" width="13.375" style="2893" customWidth="1"/>
    <col min="10500" max="10500" width="39.25" style="2893" customWidth="1"/>
    <col min="10501" max="10501" width="9" style="2893" customWidth="1"/>
    <col min="10502" max="10503" width="15.875" style="2893" customWidth="1"/>
    <col min="10504" max="10504" width="21.875" style="2893" customWidth="1"/>
    <col min="10505" max="10505" width="9" style="2893" customWidth="1"/>
    <col min="10506" max="10506" width="10.25" style="2893" customWidth="1"/>
    <col min="10507" max="10507" width="41.125" style="2893" customWidth="1"/>
    <col min="10508" max="10509" width="12.125" style="2893" customWidth="1"/>
    <col min="10510" max="10510" width="16.375" style="2893" customWidth="1"/>
    <col min="10511" max="10511" width="7.125" style="2893" customWidth="1"/>
    <col min="10512" max="10513" width="9" style="2893" customWidth="1"/>
    <col min="10514" max="10752" width="8.875" style="2893"/>
    <col min="10753" max="10753" width="39.25" style="2893" customWidth="1"/>
    <col min="10754" max="10754" width="7.125" style="2893" customWidth="1"/>
    <col min="10755" max="10755" width="13.375" style="2893" customWidth="1"/>
    <col min="10756" max="10756" width="39.25" style="2893" customWidth="1"/>
    <col min="10757" max="10757" width="9" style="2893" customWidth="1"/>
    <col min="10758" max="10759" width="15.875" style="2893" customWidth="1"/>
    <col min="10760" max="10760" width="21.875" style="2893" customWidth="1"/>
    <col min="10761" max="10761" width="9" style="2893" customWidth="1"/>
    <col min="10762" max="10762" width="10.25" style="2893" customWidth="1"/>
    <col min="10763" max="10763" width="41.125" style="2893" customWidth="1"/>
    <col min="10764" max="10765" width="12.125" style="2893" customWidth="1"/>
    <col min="10766" max="10766" width="16.375" style="2893" customWidth="1"/>
    <col min="10767" max="10767" width="7.125" style="2893" customWidth="1"/>
    <col min="10768" max="10769" width="9" style="2893" customWidth="1"/>
    <col min="10770" max="11008" width="8.875" style="2893"/>
    <col min="11009" max="11009" width="39.25" style="2893" customWidth="1"/>
    <col min="11010" max="11010" width="7.125" style="2893" customWidth="1"/>
    <col min="11011" max="11011" width="13.375" style="2893" customWidth="1"/>
    <col min="11012" max="11012" width="39.25" style="2893" customWidth="1"/>
    <col min="11013" max="11013" width="9" style="2893" customWidth="1"/>
    <col min="11014" max="11015" width="15.875" style="2893" customWidth="1"/>
    <col min="11016" max="11016" width="21.875" style="2893" customWidth="1"/>
    <col min="11017" max="11017" width="9" style="2893" customWidth="1"/>
    <col min="11018" max="11018" width="10.25" style="2893" customWidth="1"/>
    <col min="11019" max="11019" width="41.125" style="2893" customWidth="1"/>
    <col min="11020" max="11021" width="12.125" style="2893" customWidth="1"/>
    <col min="11022" max="11022" width="16.375" style="2893" customWidth="1"/>
    <col min="11023" max="11023" width="7.125" style="2893" customWidth="1"/>
    <col min="11024" max="11025" width="9" style="2893" customWidth="1"/>
    <col min="11026" max="11264" width="8.875" style="2893"/>
    <col min="11265" max="11265" width="39.25" style="2893" customWidth="1"/>
    <col min="11266" max="11266" width="7.125" style="2893" customWidth="1"/>
    <col min="11267" max="11267" width="13.375" style="2893" customWidth="1"/>
    <col min="11268" max="11268" width="39.25" style="2893" customWidth="1"/>
    <col min="11269" max="11269" width="9" style="2893" customWidth="1"/>
    <col min="11270" max="11271" width="15.875" style="2893" customWidth="1"/>
    <col min="11272" max="11272" width="21.875" style="2893" customWidth="1"/>
    <col min="11273" max="11273" width="9" style="2893" customWidth="1"/>
    <col min="11274" max="11274" width="10.25" style="2893" customWidth="1"/>
    <col min="11275" max="11275" width="41.125" style="2893" customWidth="1"/>
    <col min="11276" max="11277" width="12.125" style="2893" customWidth="1"/>
    <col min="11278" max="11278" width="16.375" style="2893" customWidth="1"/>
    <col min="11279" max="11279" width="7.125" style="2893" customWidth="1"/>
    <col min="11280" max="11281" width="9" style="2893" customWidth="1"/>
    <col min="11282" max="11520" width="8.875" style="2893"/>
    <col min="11521" max="11521" width="39.25" style="2893" customWidth="1"/>
    <col min="11522" max="11522" width="7.125" style="2893" customWidth="1"/>
    <col min="11523" max="11523" width="13.375" style="2893" customWidth="1"/>
    <col min="11524" max="11524" width="39.25" style="2893" customWidth="1"/>
    <col min="11525" max="11525" width="9" style="2893" customWidth="1"/>
    <col min="11526" max="11527" width="15.875" style="2893" customWidth="1"/>
    <col min="11528" max="11528" width="21.875" style="2893" customWidth="1"/>
    <col min="11529" max="11529" width="9" style="2893" customWidth="1"/>
    <col min="11530" max="11530" width="10.25" style="2893" customWidth="1"/>
    <col min="11531" max="11531" width="41.125" style="2893" customWidth="1"/>
    <col min="11532" max="11533" width="12.125" style="2893" customWidth="1"/>
    <col min="11534" max="11534" width="16.375" style="2893" customWidth="1"/>
    <col min="11535" max="11535" width="7.125" style="2893" customWidth="1"/>
    <col min="11536" max="11537" width="9" style="2893" customWidth="1"/>
    <col min="11538" max="11776" width="8.875" style="2893"/>
    <col min="11777" max="11777" width="39.25" style="2893" customWidth="1"/>
    <col min="11778" max="11778" width="7.125" style="2893" customWidth="1"/>
    <col min="11779" max="11779" width="13.375" style="2893" customWidth="1"/>
    <col min="11780" max="11780" width="39.25" style="2893" customWidth="1"/>
    <col min="11781" max="11781" width="9" style="2893" customWidth="1"/>
    <col min="11782" max="11783" width="15.875" style="2893" customWidth="1"/>
    <col min="11784" max="11784" width="21.875" style="2893" customWidth="1"/>
    <col min="11785" max="11785" width="9" style="2893" customWidth="1"/>
    <col min="11786" max="11786" width="10.25" style="2893" customWidth="1"/>
    <col min="11787" max="11787" width="41.125" style="2893" customWidth="1"/>
    <col min="11788" max="11789" width="12.125" style="2893" customWidth="1"/>
    <col min="11790" max="11790" width="16.375" style="2893" customWidth="1"/>
    <col min="11791" max="11791" width="7.125" style="2893" customWidth="1"/>
    <col min="11792" max="11793" width="9" style="2893" customWidth="1"/>
    <col min="11794" max="12032" width="8.875" style="2893"/>
    <col min="12033" max="12033" width="39.25" style="2893" customWidth="1"/>
    <col min="12034" max="12034" width="7.125" style="2893" customWidth="1"/>
    <col min="12035" max="12035" width="13.375" style="2893" customWidth="1"/>
    <col min="12036" max="12036" width="39.25" style="2893" customWidth="1"/>
    <col min="12037" max="12037" width="9" style="2893" customWidth="1"/>
    <col min="12038" max="12039" width="15.875" style="2893" customWidth="1"/>
    <col min="12040" max="12040" width="21.875" style="2893" customWidth="1"/>
    <col min="12041" max="12041" width="9" style="2893" customWidth="1"/>
    <col min="12042" max="12042" width="10.25" style="2893" customWidth="1"/>
    <col min="12043" max="12043" width="41.125" style="2893" customWidth="1"/>
    <col min="12044" max="12045" width="12.125" style="2893" customWidth="1"/>
    <col min="12046" max="12046" width="16.375" style="2893" customWidth="1"/>
    <col min="12047" max="12047" width="7.125" style="2893" customWidth="1"/>
    <col min="12048" max="12049" width="9" style="2893" customWidth="1"/>
    <col min="12050" max="12288" width="8.875" style="2893"/>
    <col min="12289" max="12289" width="39.25" style="2893" customWidth="1"/>
    <col min="12290" max="12290" width="7.125" style="2893" customWidth="1"/>
    <col min="12291" max="12291" width="13.375" style="2893" customWidth="1"/>
    <col min="12292" max="12292" width="39.25" style="2893" customWidth="1"/>
    <col min="12293" max="12293" width="9" style="2893" customWidth="1"/>
    <col min="12294" max="12295" width="15.875" style="2893" customWidth="1"/>
    <col min="12296" max="12296" width="21.875" style="2893" customWidth="1"/>
    <col min="12297" max="12297" width="9" style="2893" customWidth="1"/>
    <col min="12298" max="12298" width="10.25" style="2893" customWidth="1"/>
    <col min="12299" max="12299" width="41.125" style="2893" customWidth="1"/>
    <col min="12300" max="12301" width="12.125" style="2893" customWidth="1"/>
    <col min="12302" max="12302" width="16.375" style="2893" customWidth="1"/>
    <col min="12303" max="12303" width="7.125" style="2893" customWidth="1"/>
    <col min="12304" max="12305" width="9" style="2893" customWidth="1"/>
    <col min="12306" max="12544" width="8.875" style="2893"/>
    <col min="12545" max="12545" width="39.25" style="2893" customWidth="1"/>
    <col min="12546" max="12546" width="7.125" style="2893" customWidth="1"/>
    <col min="12547" max="12547" width="13.375" style="2893" customWidth="1"/>
    <col min="12548" max="12548" width="39.25" style="2893" customWidth="1"/>
    <col min="12549" max="12549" width="9" style="2893" customWidth="1"/>
    <col min="12550" max="12551" width="15.875" style="2893" customWidth="1"/>
    <col min="12552" max="12552" width="21.875" style="2893" customWidth="1"/>
    <col min="12553" max="12553" width="9" style="2893" customWidth="1"/>
    <col min="12554" max="12554" width="10.25" style="2893" customWidth="1"/>
    <col min="12555" max="12555" width="41.125" style="2893" customWidth="1"/>
    <col min="12556" max="12557" width="12.125" style="2893" customWidth="1"/>
    <col min="12558" max="12558" width="16.375" style="2893" customWidth="1"/>
    <col min="12559" max="12559" width="7.125" style="2893" customWidth="1"/>
    <col min="12560" max="12561" width="9" style="2893" customWidth="1"/>
    <col min="12562" max="12800" width="8.875" style="2893"/>
    <col min="12801" max="12801" width="39.25" style="2893" customWidth="1"/>
    <col min="12802" max="12802" width="7.125" style="2893" customWidth="1"/>
    <col min="12803" max="12803" width="13.375" style="2893" customWidth="1"/>
    <col min="12804" max="12804" width="39.25" style="2893" customWidth="1"/>
    <col min="12805" max="12805" width="9" style="2893" customWidth="1"/>
    <col min="12806" max="12807" width="15.875" style="2893" customWidth="1"/>
    <col min="12808" max="12808" width="21.875" style="2893" customWidth="1"/>
    <col min="12809" max="12809" width="9" style="2893" customWidth="1"/>
    <col min="12810" max="12810" width="10.25" style="2893" customWidth="1"/>
    <col min="12811" max="12811" width="41.125" style="2893" customWidth="1"/>
    <col min="12812" max="12813" width="12.125" style="2893" customWidth="1"/>
    <col min="12814" max="12814" width="16.375" style="2893" customWidth="1"/>
    <col min="12815" max="12815" width="7.125" style="2893" customWidth="1"/>
    <col min="12816" max="12817" width="9" style="2893" customWidth="1"/>
    <col min="12818" max="13056" width="8.875" style="2893"/>
    <col min="13057" max="13057" width="39.25" style="2893" customWidth="1"/>
    <col min="13058" max="13058" width="7.125" style="2893" customWidth="1"/>
    <col min="13059" max="13059" width="13.375" style="2893" customWidth="1"/>
    <col min="13060" max="13060" width="39.25" style="2893" customWidth="1"/>
    <col min="13061" max="13061" width="9" style="2893" customWidth="1"/>
    <col min="13062" max="13063" width="15.875" style="2893" customWidth="1"/>
    <col min="13064" max="13064" width="21.875" style="2893" customWidth="1"/>
    <col min="13065" max="13065" width="9" style="2893" customWidth="1"/>
    <col min="13066" max="13066" width="10.25" style="2893" customWidth="1"/>
    <col min="13067" max="13067" width="41.125" style="2893" customWidth="1"/>
    <col min="13068" max="13069" width="12.125" style="2893" customWidth="1"/>
    <col min="13070" max="13070" width="16.375" style="2893" customWidth="1"/>
    <col min="13071" max="13071" width="7.125" style="2893" customWidth="1"/>
    <col min="13072" max="13073" width="9" style="2893" customWidth="1"/>
    <col min="13074" max="13312" width="8.875" style="2893"/>
    <col min="13313" max="13313" width="39.25" style="2893" customWidth="1"/>
    <col min="13314" max="13314" width="7.125" style="2893" customWidth="1"/>
    <col min="13315" max="13315" width="13.375" style="2893" customWidth="1"/>
    <col min="13316" max="13316" width="39.25" style="2893" customWidth="1"/>
    <col min="13317" max="13317" width="9" style="2893" customWidth="1"/>
    <col min="13318" max="13319" width="15.875" style="2893" customWidth="1"/>
    <col min="13320" max="13320" width="21.875" style="2893" customWidth="1"/>
    <col min="13321" max="13321" width="9" style="2893" customWidth="1"/>
    <col min="13322" max="13322" width="10.25" style="2893" customWidth="1"/>
    <col min="13323" max="13323" width="41.125" style="2893" customWidth="1"/>
    <col min="13324" max="13325" width="12.125" style="2893" customWidth="1"/>
    <col min="13326" max="13326" width="16.375" style="2893" customWidth="1"/>
    <col min="13327" max="13327" width="7.125" style="2893" customWidth="1"/>
    <col min="13328" max="13329" width="9" style="2893" customWidth="1"/>
    <col min="13330" max="13568" width="8.875" style="2893"/>
    <col min="13569" max="13569" width="39.25" style="2893" customWidth="1"/>
    <col min="13570" max="13570" width="7.125" style="2893" customWidth="1"/>
    <col min="13571" max="13571" width="13.375" style="2893" customWidth="1"/>
    <col min="13572" max="13572" width="39.25" style="2893" customWidth="1"/>
    <col min="13573" max="13573" width="9" style="2893" customWidth="1"/>
    <col min="13574" max="13575" width="15.875" style="2893" customWidth="1"/>
    <col min="13576" max="13576" width="21.875" style="2893" customWidth="1"/>
    <col min="13577" max="13577" width="9" style="2893" customWidth="1"/>
    <col min="13578" max="13578" width="10.25" style="2893" customWidth="1"/>
    <col min="13579" max="13579" width="41.125" style="2893" customWidth="1"/>
    <col min="13580" max="13581" width="12.125" style="2893" customWidth="1"/>
    <col min="13582" max="13582" width="16.375" style="2893" customWidth="1"/>
    <col min="13583" max="13583" width="7.125" style="2893" customWidth="1"/>
    <col min="13584" max="13585" width="9" style="2893" customWidth="1"/>
    <col min="13586" max="13824" width="8.875" style="2893"/>
    <col min="13825" max="13825" width="39.25" style="2893" customWidth="1"/>
    <col min="13826" max="13826" width="7.125" style="2893" customWidth="1"/>
    <col min="13827" max="13827" width="13.375" style="2893" customWidth="1"/>
    <col min="13828" max="13828" width="39.25" style="2893" customWidth="1"/>
    <col min="13829" max="13829" width="9" style="2893" customWidth="1"/>
    <col min="13830" max="13831" width="15.875" style="2893" customWidth="1"/>
    <col min="13832" max="13832" width="21.875" style="2893" customWidth="1"/>
    <col min="13833" max="13833" width="9" style="2893" customWidth="1"/>
    <col min="13834" max="13834" width="10.25" style="2893" customWidth="1"/>
    <col min="13835" max="13835" width="41.125" style="2893" customWidth="1"/>
    <col min="13836" max="13837" width="12.125" style="2893" customWidth="1"/>
    <col min="13838" max="13838" width="16.375" style="2893" customWidth="1"/>
    <col min="13839" max="13839" width="7.125" style="2893" customWidth="1"/>
    <col min="13840" max="13841" width="9" style="2893" customWidth="1"/>
    <col min="13842" max="14080" width="8.875" style="2893"/>
    <col min="14081" max="14081" width="39.25" style="2893" customWidth="1"/>
    <col min="14082" max="14082" width="7.125" style="2893" customWidth="1"/>
    <col min="14083" max="14083" width="13.375" style="2893" customWidth="1"/>
    <col min="14084" max="14084" width="39.25" style="2893" customWidth="1"/>
    <col min="14085" max="14085" width="9" style="2893" customWidth="1"/>
    <col min="14086" max="14087" width="15.875" style="2893" customWidth="1"/>
    <col min="14088" max="14088" width="21.875" style="2893" customWidth="1"/>
    <col min="14089" max="14089" width="9" style="2893" customWidth="1"/>
    <col min="14090" max="14090" width="10.25" style="2893" customWidth="1"/>
    <col min="14091" max="14091" width="41.125" style="2893" customWidth="1"/>
    <col min="14092" max="14093" width="12.125" style="2893" customWidth="1"/>
    <col min="14094" max="14094" width="16.375" style="2893" customWidth="1"/>
    <col min="14095" max="14095" width="7.125" style="2893" customWidth="1"/>
    <col min="14096" max="14097" width="9" style="2893" customWidth="1"/>
    <col min="14098" max="14336" width="8.875" style="2893"/>
    <col min="14337" max="14337" width="39.25" style="2893" customWidth="1"/>
    <col min="14338" max="14338" width="7.125" style="2893" customWidth="1"/>
    <col min="14339" max="14339" width="13.375" style="2893" customWidth="1"/>
    <col min="14340" max="14340" width="39.25" style="2893" customWidth="1"/>
    <col min="14341" max="14341" width="9" style="2893" customWidth="1"/>
    <col min="14342" max="14343" width="15.875" style="2893" customWidth="1"/>
    <col min="14344" max="14344" width="21.875" style="2893" customWidth="1"/>
    <col min="14345" max="14345" width="9" style="2893" customWidth="1"/>
    <col min="14346" max="14346" width="10.25" style="2893" customWidth="1"/>
    <col min="14347" max="14347" width="41.125" style="2893" customWidth="1"/>
    <col min="14348" max="14349" width="12.125" style="2893" customWidth="1"/>
    <col min="14350" max="14350" width="16.375" style="2893" customWidth="1"/>
    <col min="14351" max="14351" width="7.125" style="2893" customWidth="1"/>
    <col min="14352" max="14353" width="9" style="2893" customWidth="1"/>
    <col min="14354" max="14592" width="8.875" style="2893"/>
    <col min="14593" max="14593" width="39.25" style="2893" customWidth="1"/>
    <col min="14594" max="14594" width="7.125" style="2893" customWidth="1"/>
    <col min="14595" max="14595" width="13.375" style="2893" customWidth="1"/>
    <col min="14596" max="14596" width="39.25" style="2893" customWidth="1"/>
    <col min="14597" max="14597" width="9" style="2893" customWidth="1"/>
    <col min="14598" max="14599" width="15.875" style="2893" customWidth="1"/>
    <col min="14600" max="14600" width="21.875" style="2893" customWidth="1"/>
    <col min="14601" max="14601" width="9" style="2893" customWidth="1"/>
    <col min="14602" max="14602" width="10.25" style="2893" customWidth="1"/>
    <col min="14603" max="14603" width="41.125" style="2893" customWidth="1"/>
    <col min="14604" max="14605" width="12.125" style="2893" customWidth="1"/>
    <col min="14606" max="14606" width="16.375" style="2893" customWidth="1"/>
    <col min="14607" max="14607" width="7.125" style="2893" customWidth="1"/>
    <col min="14608" max="14609" width="9" style="2893" customWidth="1"/>
    <col min="14610" max="14848" width="8.875" style="2893"/>
    <col min="14849" max="14849" width="39.25" style="2893" customWidth="1"/>
    <col min="14850" max="14850" width="7.125" style="2893" customWidth="1"/>
    <col min="14851" max="14851" width="13.375" style="2893" customWidth="1"/>
    <col min="14852" max="14852" width="39.25" style="2893" customWidth="1"/>
    <col min="14853" max="14853" width="9" style="2893" customWidth="1"/>
    <col min="14854" max="14855" width="15.875" style="2893" customWidth="1"/>
    <col min="14856" max="14856" width="21.875" style="2893" customWidth="1"/>
    <col min="14857" max="14857" width="9" style="2893" customWidth="1"/>
    <col min="14858" max="14858" width="10.25" style="2893" customWidth="1"/>
    <col min="14859" max="14859" width="41.125" style="2893" customWidth="1"/>
    <col min="14860" max="14861" width="12.125" style="2893" customWidth="1"/>
    <col min="14862" max="14862" width="16.375" style="2893" customWidth="1"/>
    <col min="14863" max="14863" width="7.125" style="2893" customWidth="1"/>
    <col min="14864" max="14865" width="9" style="2893" customWidth="1"/>
    <col min="14866" max="15104" width="8.875" style="2893"/>
    <col min="15105" max="15105" width="39.25" style="2893" customWidth="1"/>
    <col min="15106" max="15106" width="7.125" style="2893" customWidth="1"/>
    <col min="15107" max="15107" width="13.375" style="2893" customWidth="1"/>
    <col min="15108" max="15108" width="39.25" style="2893" customWidth="1"/>
    <col min="15109" max="15109" width="9" style="2893" customWidth="1"/>
    <col min="15110" max="15111" width="15.875" style="2893" customWidth="1"/>
    <col min="15112" max="15112" width="21.875" style="2893" customWidth="1"/>
    <col min="15113" max="15113" width="9" style="2893" customWidth="1"/>
    <col min="15114" max="15114" width="10.25" style="2893" customWidth="1"/>
    <col min="15115" max="15115" width="41.125" style="2893" customWidth="1"/>
    <col min="15116" max="15117" width="12.125" style="2893" customWidth="1"/>
    <col min="15118" max="15118" width="16.375" style="2893" customWidth="1"/>
    <col min="15119" max="15119" width="7.125" style="2893" customWidth="1"/>
    <col min="15120" max="15121" width="9" style="2893" customWidth="1"/>
    <col min="15122" max="15360" width="8.875" style="2893"/>
    <col min="15361" max="15361" width="39.25" style="2893" customWidth="1"/>
    <col min="15362" max="15362" width="7.125" style="2893" customWidth="1"/>
    <col min="15363" max="15363" width="13.375" style="2893" customWidth="1"/>
    <col min="15364" max="15364" width="39.25" style="2893" customWidth="1"/>
    <col min="15365" max="15365" width="9" style="2893" customWidth="1"/>
    <col min="15366" max="15367" width="15.875" style="2893" customWidth="1"/>
    <col min="15368" max="15368" width="21.875" style="2893" customWidth="1"/>
    <col min="15369" max="15369" width="9" style="2893" customWidth="1"/>
    <col min="15370" max="15370" width="10.25" style="2893" customWidth="1"/>
    <col min="15371" max="15371" width="41.125" style="2893" customWidth="1"/>
    <col min="15372" max="15373" width="12.125" style="2893" customWidth="1"/>
    <col min="15374" max="15374" width="16.375" style="2893" customWidth="1"/>
    <col min="15375" max="15375" width="7.125" style="2893" customWidth="1"/>
    <col min="15376" max="15377" width="9" style="2893" customWidth="1"/>
    <col min="15378" max="15616" width="8.875" style="2893"/>
    <col min="15617" max="15617" width="39.25" style="2893" customWidth="1"/>
    <col min="15618" max="15618" width="7.125" style="2893" customWidth="1"/>
    <col min="15619" max="15619" width="13.375" style="2893" customWidth="1"/>
    <col min="15620" max="15620" width="39.25" style="2893" customWidth="1"/>
    <col min="15621" max="15621" width="9" style="2893" customWidth="1"/>
    <col min="15622" max="15623" width="15.875" style="2893" customWidth="1"/>
    <col min="15624" max="15624" width="21.875" style="2893" customWidth="1"/>
    <col min="15625" max="15625" width="9" style="2893" customWidth="1"/>
    <col min="15626" max="15626" width="10.25" style="2893" customWidth="1"/>
    <col min="15627" max="15627" width="41.125" style="2893" customWidth="1"/>
    <col min="15628" max="15629" width="12.125" style="2893" customWidth="1"/>
    <col min="15630" max="15630" width="16.375" style="2893" customWidth="1"/>
    <col min="15631" max="15631" width="7.125" style="2893" customWidth="1"/>
    <col min="15632" max="15633" width="9" style="2893" customWidth="1"/>
    <col min="15634" max="15872" width="8.875" style="2893"/>
    <col min="15873" max="15873" width="39.25" style="2893" customWidth="1"/>
    <col min="15874" max="15874" width="7.125" style="2893" customWidth="1"/>
    <col min="15875" max="15875" width="13.375" style="2893" customWidth="1"/>
    <col min="15876" max="15876" width="39.25" style="2893" customWidth="1"/>
    <col min="15877" max="15877" width="9" style="2893" customWidth="1"/>
    <col min="15878" max="15879" width="15.875" style="2893" customWidth="1"/>
    <col min="15880" max="15880" width="21.875" style="2893" customWidth="1"/>
    <col min="15881" max="15881" width="9" style="2893" customWidth="1"/>
    <col min="15882" max="15882" width="10.25" style="2893" customWidth="1"/>
    <col min="15883" max="15883" width="41.125" style="2893" customWidth="1"/>
    <col min="15884" max="15885" width="12.125" style="2893" customWidth="1"/>
    <col min="15886" max="15886" width="16.375" style="2893" customWidth="1"/>
    <col min="15887" max="15887" width="7.125" style="2893" customWidth="1"/>
    <col min="15888" max="15889" width="9" style="2893" customWidth="1"/>
    <col min="15890" max="16128" width="8.875" style="2893"/>
    <col min="16129" max="16129" width="39.25" style="2893" customWidth="1"/>
    <col min="16130" max="16130" width="7.125" style="2893" customWidth="1"/>
    <col min="16131" max="16131" width="13.375" style="2893" customWidth="1"/>
    <col min="16132" max="16132" width="39.25" style="2893" customWidth="1"/>
    <col min="16133" max="16133" width="9" style="2893" customWidth="1"/>
    <col min="16134" max="16135" width="15.875" style="2893" customWidth="1"/>
    <col min="16136" max="16136" width="21.875" style="2893" customWidth="1"/>
    <col min="16137" max="16137" width="9" style="2893" customWidth="1"/>
    <col min="16138" max="16138" width="10.25" style="2893" customWidth="1"/>
    <col min="16139" max="16139" width="41.125" style="2893" customWidth="1"/>
    <col min="16140" max="16141" width="12.125" style="2893" customWidth="1"/>
    <col min="16142" max="16142" width="16.375" style="2893" customWidth="1"/>
    <col min="16143" max="16143" width="7.125" style="2893" customWidth="1"/>
    <col min="16144" max="16145" width="9" style="2893" customWidth="1"/>
    <col min="16146" max="16384" width="8.875" style="2893"/>
  </cols>
  <sheetData>
    <row r="1" spans="1:17" s="3186" customFormat="1">
      <c r="A1" s="3186" t="s">
        <v>3048</v>
      </c>
      <c r="B1" s="3186" t="s">
        <v>3040</v>
      </c>
      <c r="C1" s="3186" t="s">
        <v>3041</v>
      </c>
      <c r="D1" s="3186" t="s">
        <v>3048</v>
      </c>
      <c r="E1" s="3186" t="s">
        <v>3042</v>
      </c>
      <c r="F1" s="3186">
        <v>37083.589999999997</v>
      </c>
      <c r="G1" s="3186">
        <v>44500.31</v>
      </c>
      <c r="H1" s="3186" t="s">
        <v>3049</v>
      </c>
      <c r="I1" s="3186" t="s">
        <v>2811</v>
      </c>
      <c r="J1" s="3186" t="s">
        <v>3044</v>
      </c>
      <c r="K1" s="3186" t="s">
        <v>3050</v>
      </c>
      <c r="L1" s="3186">
        <v>9122.5499999999993</v>
      </c>
      <c r="M1" s="3186">
        <v>9122.5499999999993</v>
      </c>
      <c r="N1" s="3186">
        <v>2050</v>
      </c>
      <c r="O1" s="3186">
        <v>0</v>
      </c>
      <c r="P1" s="3186" t="s">
        <v>3046</v>
      </c>
      <c r="Q1" s="3186" t="s">
        <v>3047</v>
      </c>
    </row>
    <row r="2" spans="1:17" s="3186" customFormat="1">
      <c r="A2" s="3186" t="s">
        <v>3066</v>
      </c>
      <c r="B2" s="3186" t="s">
        <v>3040</v>
      </c>
      <c r="C2" s="3186" t="s">
        <v>3041</v>
      </c>
      <c r="D2" s="3186" t="s">
        <v>3066</v>
      </c>
      <c r="E2" s="3186" t="s">
        <v>3042</v>
      </c>
      <c r="F2" s="3186">
        <v>69759.63</v>
      </c>
      <c r="G2" s="3186">
        <v>104639.45</v>
      </c>
      <c r="H2" s="3186" t="s">
        <v>3067</v>
      </c>
      <c r="I2" s="3186" t="s">
        <v>2811</v>
      </c>
      <c r="J2" s="3186" t="s">
        <v>3068</v>
      </c>
      <c r="K2" s="3186" t="s">
        <v>3054</v>
      </c>
      <c r="L2" s="3186">
        <v>23020.68</v>
      </c>
      <c r="M2" s="3186">
        <v>23020.68</v>
      </c>
      <c r="N2" s="3186">
        <v>2200</v>
      </c>
      <c r="O2" s="3186">
        <v>0</v>
      </c>
      <c r="P2" s="3186" t="s">
        <v>3046</v>
      </c>
      <c r="Q2" s="3186" t="s">
        <v>3047</v>
      </c>
    </row>
    <row r="3" spans="1:17" s="3186" customFormat="1">
      <c r="A3" s="3186" t="s">
        <v>3092</v>
      </c>
      <c r="B3" s="3186" t="s">
        <v>3040</v>
      </c>
      <c r="C3" s="3186" t="s">
        <v>3041</v>
      </c>
      <c r="D3" s="3186" t="s">
        <v>3092</v>
      </c>
      <c r="E3" s="3186" t="s">
        <v>3042</v>
      </c>
      <c r="F3" s="3186">
        <v>56887.58</v>
      </c>
      <c r="G3" s="3186">
        <v>68265.100000000006</v>
      </c>
      <c r="H3" s="3186" t="s">
        <v>3094</v>
      </c>
      <c r="I3" s="3186" t="s">
        <v>2811</v>
      </c>
      <c r="J3" s="3186" t="s">
        <v>3095</v>
      </c>
      <c r="K3" s="3186" t="s">
        <v>3045</v>
      </c>
      <c r="L3" s="3186">
        <v>18175.29</v>
      </c>
      <c r="M3" s="3186">
        <v>18175.29</v>
      </c>
      <c r="N3" s="3186">
        <v>2662.46</v>
      </c>
      <c r="O3" s="3186">
        <v>0</v>
      </c>
      <c r="P3" s="3186" t="s">
        <v>3046</v>
      </c>
      <c r="Q3" s="3186" t="s">
        <v>3047</v>
      </c>
    </row>
    <row r="4" spans="1:17">
      <c r="A4" s="2893" t="s">
        <v>3023</v>
      </c>
      <c r="B4" s="2893" t="s">
        <v>3024</v>
      </c>
      <c r="C4" s="2893" t="s">
        <v>3025</v>
      </c>
      <c r="D4" s="2893" t="s">
        <v>3026</v>
      </c>
      <c r="E4" s="2893" t="s">
        <v>3027</v>
      </c>
      <c r="F4" s="2893" t="s">
        <v>3028</v>
      </c>
      <c r="G4" s="2893" t="s">
        <v>3029</v>
      </c>
      <c r="H4" s="2893" t="s">
        <v>2026</v>
      </c>
      <c r="I4" s="2893" t="s">
        <v>3030</v>
      </c>
      <c r="J4" s="2893" t="s">
        <v>3031</v>
      </c>
      <c r="K4" s="2893" t="s">
        <v>3032</v>
      </c>
      <c r="L4" s="2893" t="s">
        <v>3033</v>
      </c>
      <c r="M4" s="2893" t="s">
        <v>3034</v>
      </c>
      <c r="N4" s="2893" t="s">
        <v>3035</v>
      </c>
      <c r="O4" s="2893" t="s">
        <v>3036</v>
      </c>
      <c r="P4" s="2893" t="s">
        <v>3037</v>
      </c>
      <c r="Q4" s="2893" t="s">
        <v>3038</v>
      </c>
    </row>
    <row r="5" spans="1:17">
      <c r="A5" s="2893" t="s">
        <v>3039</v>
      </c>
      <c r="B5" s="2893" t="s">
        <v>3040</v>
      </c>
      <c r="C5" s="2893" t="s">
        <v>3041</v>
      </c>
      <c r="D5" s="2893" t="s">
        <v>3039</v>
      </c>
      <c r="E5" s="2893" t="s">
        <v>3042</v>
      </c>
      <c r="F5" s="2893">
        <v>7488.89</v>
      </c>
      <c r="G5" s="2893">
        <v>7488.89</v>
      </c>
      <c r="H5" s="2893" t="s">
        <v>3043</v>
      </c>
      <c r="I5" s="2893" t="s">
        <v>2811</v>
      </c>
      <c r="J5" s="2893" t="s">
        <v>3044</v>
      </c>
      <c r="K5" s="2893" t="s">
        <v>3045</v>
      </c>
      <c r="L5" s="2893">
        <v>3465.86</v>
      </c>
      <c r="M5" s="2893">
        <v>3465.86</v>
      </c>
      <c r="N5" s="2893">
        <v>4628</v>
      </c>
      <c r="O5" s="2893">
        <v>0</v>
      </c>
      <c r="P5" s="2893" t="s">
        <v>3046</v>
      </c>
      <c r="Q5" s="2893" t="s">
        <v>3047</v>
      </c>
    </row>
    <row r="6" spans="1:17" s="3186" customFormat="1">
      <c r="A6" s="3186" t="s">
        <v>3048</v>
      </c>
      <c r="B6" s="3186" t="s">
        <v>3040</v>
      </c>
      <c r="C6" s="3186" t="s">
        <v>3041</v>
      </c>
      <c r="D6" s="3186" t="s">
        <v>3048</v>
      </c>
      <c r="E6" s="3186" t="s">
        <v>3042</v>
      </c>
      <c r="F6" s="3186">
        <v>37083.589999999997</v>
      </c>
      <c r="G6" s="3186">
        <v>44500.31</v>
      </c>
      <c r="H6" s="3186" t="s">
        <v>3049</v>
      </c>
      <c r="I6" s="3186" t="s">
        <v>2811</v>
      </c>
      <c r="J6" s="3186" t="s">
        <v>3044</v>
      </c>
      <c r="K6" s="3186" t="s">
        <v>3050</v>
      </c>
      <c r="L6" s="3186">
        <v>9122.5499999999993</v>
      </c>
      <c r="M6" s="3186">
        <v>9122.5499999999993</v>
      </c>
      <c r="N6" s="3186">
        <v>2050</v>
      </c>
      <c r="O6" s="3186">
        <v>0</v>
      </c>
      <c r="P6" s="3186" t="s">
        <v>3046</v>
      </c>
      <c r="Q6" s="3186" t="s">
        <v>3047</v>
      </c>
    </row>
    <row r="7" spans="1:17">
      <c r="A7" s="2893" t="s">
        <v>3051</v>
      </c>
      <c r="B7" s="2893" t="s">
        <v>3040</v>
      </c>
      <c r="C7" s="2893" t="s">
        <v>3041</v>
      </c>
      <c r="D7" s="2893" t="s">
        <v>3051</v>
      </c>
      <c r="E7" s="2893" t="s">
        <v>3042</v>
      </c>
      <c r="F7" s="2893">
        <v>132.83000000000001</v>
      </c>
      <c r="G7" s="2893">
        <v>199.25</v>
      </c>
      <c r="H7" s="2893" t="s">
        <v>3052</v>
      </c>
      <c r="I7" s="2893" t="s">
        <v>2811</v>
      </c>
      <c r="J7" s="2893" t="s">
        <v>3053</v>
      </c>
      <c r="K7" s="2893" t="s">
        <v>3054</v>
      </c>
      <c r="L7" s="2893">
        <v>50.42</v>
      </c>
      <c r="M7" s="2893">
        <v>50.42</v>
      </c>
      <c r="N7" s="2893">
        <v>2530.48</v>
      </c>
      <c r="O7" s="2893">
        <v>0</v>
      </c>
      <c r="P7" s="2893" t="s">
        <v>3046</v>
      </c>
      <c r="Q7" s="2893" t="s">
        <v>3055</v>
      </c>
    </row>
    <row r="8" spans="1:17">
      <c r="A8" s="2893" t="s">
        <v>3056</v>
      </c>
      <c r="B8" s="2893" t="s">
        <v>3040</v>
      </c>
      <c r="C8" s="2893" t="s">
        <v>3041</v>
      </c>
      <c r="D8" s="2893" t="s">
        <v>3056</v>
      </c>
      <c r="E8" s="2893" t="s">
        <v>3042</v>
      </c>
      <c r="F8" s="2893">
        <v>49.38</v>
      </c>
      <c r="G8" s="2893">
        <v>49.38</v>
      </c>
      <c r="H8" s="2893" t="s">
        <v>3043</v>
      </c>
      <c r="I8" s="2893" t="s">
        <v>2811</v>
      </c>
      <c r="J8" s="2893" t="s">
        <v>3053</v>
      </c>
      <c r="K8" s="2893" t="s">
        <v>3054</v>
      </c>
      <c r="L8" s="2893">
        <v>17.03</v>
      </c>
      <c r="M8" s="2893">
        <v>17.03</v>
      </c>
      <c r="N8" s="2893">
        <v>3450.78</v>
      </c>
      <c r="O8" s="2893">
        <v>0</v>
      </c>
      <c r="P8" s="2893" t="s">
        <v>3046</v>
      </c>
      <c r="Q8" s="2893" t="s">
        <v>3055</v>
      </c>
    </row>
    <row r="9" spans="1:17">
      <c r="A9" s="2893" t="s">
        <v>3057</v>
      </c>
      <c r="B9" s="2893" t="s">
        <v>3040</v>
      </c>
      <c r="C9" s="2893" t="s">
        <v>3041</v>
      </c>
      <c r="D9" s="2893" t="s">
        <v>3057</v>
      </c>
      <c r="E9" s="2893" t="s">
        <v>3042</v>
      </c>
      <c r="F9" s="2893">
        <v>27.61</v>
      </c>
      <c r="G9" s="2893">
        <v>55.22</v>
      </c>
      <c r="H9" s="2893" t="s">
        <v>3058</v>
      </c>
      <c r="I9" s="2893" t="s">
        <v>2811</v>
      </c>
      <c r="J9" s="2893" t="s">
        <v>3053</v>
      </c>
      <c r="K9" s="2893" t="s">
        <v>3054</v>
      </c>
      <c r="L9" s="2893">
        <v>11.42</v>
      </c>
      <c r="M9" s="2893">
        <v>11.42</v>
      </c>
      <c r="N9" s="2893">
        <v>2069.9</v>
      </c>
      <c r="O9" s="2893">
        <v>0</v>
      </c>
      <c r="P9" s="2893" t="s">
        <v>3046</v>
      </c>
      <c r="Q9" s="2893" t="s">
        <v>3055</v>
      </c>
    </row>
    <row r="10" spans="1:17">
      <c r="A10" s="2893" t="s">
        <v>3059</v>
      </c>
      <c r="B10" s="2893" t="s">
        <v>3040</v>
      </c>
      <c r="C10" s="2893" t="s">
        <v>3041</v>
      </c>
      <c r="D10" s="2893" t="s">
        <v>3059</v>
      </c>
      <c r="E10" s="2893" t="s">
        <v>3042</v>
      </c>
      <c r="F10" s="2893">
        <v>49.8</v>
      </c>
      <c r="G10" s="2893">
        <v>99.6</v>
      </c>
      <c r="H10" s="2893" t="s">
        <v>3058</v>
      </c>
      <c r="I10" s="2893" t="s">
        <v>2811</v>
      </c>
      <c r="J10" s="2893" t="s">
        <v>3053</v>
      </c>
      <c r="K10" s="2893" t="s">
        <v>3054</v>
      </c>
      <c r="L10" s="2893">
        <v>20.62</v>
      </c>
      <c r="M10" s="2893">
        <v>20.62</v>
      </c>
      <c r="N10" s="2893">
        <v>2070.2800000000002</v>
      </c>
      <c r="O10" s="2893">
        <v>0</v>
      </c>
      <c r="P10" s="2893" t="s">
        <v>3046</v>
      </c>
      <c r="Q10" s="2893" t="s">
        <v>3055</v>
      </c>
    </row>
    <row r="11" spans="1:17">
      <c r="A11" s="2893" t="s">
        <v>3060</v>
      </c>
      <c r="B11" s="2893" t="s">
        <v>3040</v>
      </c>
      <c r="C11" s="2893" t="s">
        <v>3041</v>
      </c>
      <c r="D11" s="2893" t="s">
        <v>3060</v>
      </c>
      <c r="E11" s="2893" t="s">
        <v>3042</v>
      </c>
      <c r="F11" s="2893">
        <v>28.4</v>
      </c>
      <c r="G11" s="2893">
        <v>56.8</v>
      </c>
      <c r="H11" s="2893" t="s">
        <v>3058</v>
      </c>
      <c r="I11" s="2893" t="s">
        <v>2811</v>
      </c>
      <c r="J11" s="2893" t="s">
        <v>3053</v>
      </c>
      <c r="K11" s="2893" t="s">
        <v>3054</v>
      </c>
      <c r="L11" s="2893">
        <v>11.75</v>
      </c>
      <c r="M11" s="2893">
        <v>11.75</v>
      </c>
      <c r="N11" s="2893">
        <v>2070.42</v>
      </c>
      <c r="O11" s="2893">
        <v>0</v>
      </c>
      <c r="P11" s="2893" t="s">
        <v>3046</v>
      </c>
      <c r="Q11" s="2893" t="s">
        <v>3055</v>
      </c>
    </row>
    <row r="12" spans="1:17">
      <c r="A12" s="2893" t="s">
        <v>3061</v>
      </c>
      <c r="B12" s="2893" t="s">
        <v>3040</v>
      </c>
      <c r="C12" s="2893" t="s">
        <v>3041</v>
      </c>
      <c r="D12" s="2893" t="s">
        <v>3061</v>
      </c>
      <c r="E12" s="2893" t="s">
        <v>3042</v>
      </c>
      <c r="F12" s="2893">
        <v>95.32</v>
      </c>
      <c r="G12" s="2893">
        <v>152.51</v>
      </c>
      <c r="H12" s="2893" t="s">
        <v>3062</v>
      </c>
      <c r="I12" s="2893" t="s">
        <v>2811</v>
      </c>
      <c r="J12" s="2893" t="s">
        <v>3053</v>
      </c>
      <c r="K12" s="2893" t="s">
        <v>3054</v>
      </c>
      <c r="L12" s="2893">
        <v>36.64</v>
      </c>
      <c r="M12" s="2893">
        <v>36.64</v>
      </c>
      <c r="N12" s="2893">
        <v>2403.11</v>
      </c>
      <c r="O12" s="2893">
        <v>0</v>
      </c>
      <c r="P12" s="2893" t="s">
        <v>3046</v>
      </c>
      <c r="Q12" s="2893" t="s">
        <v>3055</v>
      </c>
    </row>
    <row r="13" spans="1:17">
      <c r="A13" s="2893" t="s">
        <v>3063</v>
      </c>
      <c r="B13" s="2893" t="s">
        <v>3040</v>
      </c>
      <c r="C13" s="2893" t="s">
        <v>3041</v>
      </c>
      <c r="D13" s="2893" t="s">
        <v>3063</v>
      </c>
      <c r="E13" s="2893" t="s">
        <v>3042</v>
      </c>
      <c r="F13" s="2893">
        <v>134.53</v>
      </c>
      <c r="G13" s="2893">
        <v>188.34</v>
      </c>
      <c r="H13" s="2893" t="s">
        <v>3064</v>
      </c>
      <c r="I13" s="2893" t="s">
        <v>2811</v>
      </c>
      <c r="J13" s="2893" t="s">
        <v>3053</v>
      </c>
      <c r="K13" s="2893" t="s">
        <v>3054</v>
      </c>
      <c r="L13" s="2893">
        <v>50.4</v>
      </c>
      <c r="M13" s="2893">
        <v>50.4</v>
      </c>
      <c r="N13" s="2893">
        <v>2676.53</v>
      </c>
      <c r="O13" s="2893">
        <v>0</v>
      </c>
      <c r="P13" s="2893" t="s">
        <v>3046</v>
      </c>
      <c r="Q13" s="2893" t="s">
        <v>3055</v>
      </c>
    </row>
    <row r="14" spans="1:17">
      <c r="A14" s="2893" t="s">
        <v>3065</v>
      </c>
      <c r="B14" s="2893" t="s">
        <v>3040</v>
      </c>
      <c r="C14" s="2893" t="s">
        <v>3041</v>
      </c>
      <c r="D14" s="2893" t="s">
        <v>3065</v>
      </c>
      <c r="E14" s="2893" t="s">
        <v>3042</v>
      </c>
      <c r="F14" s="2893">
        <v>219.06</v>
      </c>
      <c r="G14" s="2893">
        <v>219.06</v>
      </c>
      <c r="H14" s="2893" t="s">
        <v>3043</v>
      </c>
      <c r="I14" s="2893" t="s">
        <v>2811</v>
      </c>
      <c r="J14" s="2893" t="s">
        <v>3053</v>
      </c>
      <c r="K14" s="2893" t="s">
        <v>3054</v>
      </c>
      <c r="L14" s="2893">
        <v>75.59</v>
      </c>
      <c r="M14" s="2893">
        <v>75.59</v>
      </c>
      <c r="N14" s="2893">
        <v>3451.11</v>
      </c>
      <c r="O14" s="2893">
        <v>0</v>
      </c>
      <c r="P14" s="2893" t="s">
        <v>3046</v>
      </c>
      <c r="Q14" s="2893" t="s">
        <v>3055</v>
      </c>
    </row>
    <row r="15" spans="1:17" s="3186" customFormat="1">
      <c r="A15" s="3186" t="s">
        <v>3066</v>
      </c>
      <c r="B15" s="3186" t="s">
        <v>3040</v>
      </c>
      <c r="C15" s="3186" t="s">
        <v>3041</v>
      </c>
      <c r="D15" s="3186" t="s">
        <v>3066</v>
      </c>
      <c r="E15" s="3186" t="s">
        <v>3042</v>
      </c>
      <c r="F15" s="3186">
        <v>69759.63</v>
      </c>
      <c r="G15" s="3186">
        <v>104639.45</v>
      </c>
      <c r="H15" s="3186" t="s">
        <v>3067</v>
      </c>
      <c r="I15" s="3186" t="s">
        <v>2811</v>
      </c>
      <c r="J15" s="3186" t="s">
        <v>3068</v>
      </c>
      <c r="K15" s="3186" t="s">
        <v>3054</v>
      </c>
      <c r="L15" s="3186">
        <v>23020.68</v>
      </c>
      <c r="M15" s="3186">
        <v>23020.68</v>
      </c>
      <c r="N15" s="3186">
        <v>2200</v>
      </c>
      <c r="O15" s="3186">
        <v>0</v>
      </c>
      <c r="P15" s="3186" t="s">
        <v>3046</v>
      </c>
      <c r="Q15" s="3186" t="s">
        <v>3047</v>
      </c>
    </row>
    <row r="16" spans="1:17">
      <c r="A16" s="2893" t="s">
        <v>3069</v>
      </c>
      <c r="B16" s="2893" t="s">
        <v>3040</v>
      </c>
      <c r="C16" s="2893" t="s">
        <v>3041</v>
      </c>
      <c r="D16" s="2893" t="s">
        <v>3069</v>
      </c>
      <c r="E16" s="2893" t="s">
        <v>3042</v>
      </c>
      <c r="F16" s="2893">
        <v>4231.51</v>
      </c>
      <c r="G16" s="2893">
        <v>4231.51</v>
      </c>
      <c r="H16" s="2893" t="s">
        <v>3043</v>
      </c>
      <c r="I16" s="2893" t="s">
        <v>2811</v>
      </c>
      <c r="J16" s="2893" t="s">
        <v>3068</v>
      </c>
      <c r="K16" s="2893" t="s">
        <v>3054</v>
      </c>
      <c r="L16" s="2893">
        <v>1459.86</v>
      </c>
      <c r="M16" s="2893">
        <v>1459.86</v>
      </c>
      <c r="N16" s="2893">
        <v>3450</v>
      </c>
      <c r="O16" s="2893">
        <v>0</v>
      </c>
      <c r="P16" s="2893" t="s">
        <v>3046</v>
      </c>
      <c r="Q16" s="2893" t="s">
        <v>3047</v>
      </c>
    </row>
    <row r="17" spans="1:17">
      <c r="A17" s="2893" t="s">
        <v>3070</v>
      </c>
      <c r="B17" s="2893" t="s">
        <v>3040</v>
      </c>
      <c r="C17" s="2893" t="s">
        <v>3041</v>
      </c>
      <c r="D17" s="2893" t="s">
        <v>3070</v>
      </c>
      <c r="E17" s="2893" t="s">
        <v>3071</v>
      </c>
      <c r="F17" s="2893">
        <v>3806</v>
      </c>
      <c r="G17" s="2893">
        <v>3844.06</v>
      </c>
      <c r="H17" s="2893" t="s">
        <v>3072</v>
      </c>
      <c r="I17" s="2893" t="s">
        <v>2811</v>
      </c>
      <c r="J17" s="2893" t="s">
        <v>3073</v>
      </c>
      <c r="K17" s="2893" t="s">
        <v>3074</v>
      </c>
      <c r="L17" s="2893">
        <v>2001.03</v>
      </c>
      <c r="M17" s="2893">
        <v>2001.03</v>
      </c>
      <c r="N17" s="2893">
        <v>5205.53</v>
      </c>
      <c r="O17" s="2893">
        <v>0</v>
      </c>
      <c r="P17" s="2893" t="s">
        <v>3046</v>
      </c>
      <c r="Q17" s="2893" t="s">
        <v>3047</v>
      </c>
    </row>
    <row r="18" spans="1:17">
      <c r="A18" s="2893" t="s">
        <v>3075</v>
      </c>
      <c r="B18" s="2893" t="s">
        <v>3040</v>
      </c>
      <c r="C18" s="2893" t="s">
        <v>3041</v>
      </c>
      <c r="D18" s="2893" t="s">
        <v>3075</v>
      </c>
      <c r="E18" s="2893" t="s">
        <v>3071</v>
      </c>
      <c r="F18" s="2893">
        <v>1036</v>
      </c>
      <c r="G18" s="2893">
        <v>518</v>
      </c>
      <c r="H18" s="2893" t="s">
        <v>3076</v>
      </c>
      <c r="I18" s="2893" t="s">
        <v>2811</v>
      </c>
      <c r="J18" s="2893" t="s">
        <v>3073</v>
      </c>
      <c r="K18" s="2893" t="s">
        <v>3077</v>
      </c>
      <c r="L18" s="2893">
        <v>262.06</v>
      </c>
      <c r="M18" s="2893">
        <v>262.06</v>
      </c>
      <c r="N18" s="2893">
        <v>5059.2700000000004</v>
      </c>
      <c r="O18" s="2893">
        <v>0</v>
      </c>
      <c r="P18" s="2893" t="s">
        <v>3046</v>
      </c>
      <c r="Q18" s="2893" t="s">
        <v>3078</v>
      </c>
    </row>
    <row r="19" spans="1:17">
      <c r="A19" s="2893" t="s">
        <v>3079</v>
      </c>
      <c r="B19" s="2893" t="s">
        <v>3040</v>
      </c>
      <c r="C19" s="2893" t="s">
        <v>3041</v>
      </c>
      <c r="D19" s="2893" t="s">
        <v>3079</v>
      </c>
      <c r="E19" s="2893" t="s">
        <v>3071</v>
      </c>
      <c r="F19" s="2893">
        <v>4704.1899999999996</v>
      </c>
      <c r="G19" s="2893">
        <v>4751.2299999999996</v>
      </c>
      <c r="H19" s="2893" t="s">
        <v>3072</v>
      </c>
      <c r="I19" s="2893" t="s">
        <v>2811</v>
      </c>
      <c r="J19" s="2893" t="s">
        <v>3073</v>
      </c>
      <c r="K19" s="2893" t="s">
        <v>3080</v>
      </c>
      <c r="L19" s="2893">
        <v>2372.42</v>
      </c>
      <c r="M19" s="2893">
        <v>2372.42</v>
      </c>
      <c r="N19" s="2893">
        <v>4993.2700000000004</v>
      </c>
      <c r="O19" s="2893">
        <v>0</v>
      </c>
      <c r="P19" s="2893" t="s">
        <v>3046</v>
      </c>
      <c r="Q19" s="2893" t="s">
        <v>3081</v>
      </c>
    </row>
    <row r="20" spans="1:17">
      <c r="A20" s="2893" t="s">
        <v>3082</v>
      </c>
      <c r="B20" s="2893" t="s">
        <v>3040</v>
      </c>
      <c r="C20" s="2893" t="s">
        <v>3041</v>
      </c>
      <c r="D20" s="2893" t="s">
        <v>3082</v>
      </c>
      <c r="E20" s="2893" t="s">
        <v>3042</v>
      </c>
      <c r="F20" s="2893">
        <v>14035</v>
      </c>
      <c r="G20" s="2893">
        <v>40701.5</v>
      </c>
      <c r="H20" s="2893" t="s">
        <v>3083</v>
      </c>
      <c r="I20" s="2893" t="s">
        <v>2811</v>
      </c>
      <c r="J20" s="2893" t="s">
        <v>3084</v>
      </c>
      <c r="K20" s="2893" t="s">
        <v>3085</v>
      </c>
      <c r="L20" s="2893">
        <v>3052.61</v>
      </c>
      <c r="M20" s="2893">
        <v>3150</v>
      </c>
      <c r="N20" s="2893">
        <v>773.92</v>
      </c>
      <c r="O20" s="2893">
        <v>3.19</v>
      </c>
      <c r="P20" s="2893" t="s">
        <v>3046</v>
      </c>
      <c r="Q20" s="2893" t="s">
        <v>3047</v>
      </c>
    </row>
    <row r="21" spans="1:17">
      <c r="A21" s="2893" t="s">
        <v>3086</v>
      </c>
      <c r="B21" s="2893" t="s">
        <v>3040</v>
      </c>
      <c r="C21" s="2893" t="s">
        <v>3041</v>
      </c>
      <c r="D21" s="2893" t="s">
        <v>3086</v>
      </c>
      <c r="E21" s="2893" t="s">
        <v>3042</v>
      </c>
      <c r="F21" s="2893">
        <v>5292.5</v>
      </c>
      <c r="G21" s="2893">
        <v>24874.75</v>
      </c>
      <c r="H21" s="2893" t="s">
        <v>3087</v>
      </c>
      <c r="I21" s="2893" t="s">
        <v>2811</v>
      </c>
      <c r="J21" s="2893" t="s">
        <v>3084</v>
      </c>
      <c r="K21" s="2893" t="s">
        <v>3088</v>
      </c>
      <c r="L21" s="2893">
        <v>3175.5</v>
      </c>
      <c r="M21" s="2893">
        <v>3175.5</v>
      </c>
      <c r="N21" s="2893">
        <v>1276.5899999999999</v>
      </c>
      <c r="O21" s="2893">
        <v>0</v>
      </c>
      <c r="P21" s="2893" t="s">
        <v>3046</v>
      </c>
      <c r="Q21" s="2893" t="s">
        <v>3047</v>
      </c>
    </row>
    <row r="22" spans="1:17">
      <c r="A22" s="2893" t="s">
        <v>3089</v>
      </c>
      <c r="B22" s="2893" t="s">
        <v>3040</v>
      </c>
      <c r="C22" s="2893" t="s">
        <v>3041</v>
      </c>
      <c r="D22" s="2893" t="s">
        <v>3089</v>
      </c>
      <c r="E22" s="2893" t="s">
        <v>3042</v>
      </c>
      <c r="F22" s="2893">
        <v>7779</v>
      </c>
      <c r="G22" s="2893">
        <v>23181.42</v>
      </c>
      <c r="H22" s="2893" t="s">
        <v>3090</v>
      </c>
      <c r="I22" s="2893" t="s">
        <v>2811</v>
      </c>
      <c r="J22" s="2893" t="s">
        <v>3084</v>
      </c>
      <c r="K22" s="2893" t="s">
        <v>3091</v>
      </c>
      <c r="L22" s="2893">
        <v>2275.36</v>
      </c>
      <c r="M22" s="2893">
        <v>2275.36</v>
      </c>
      <c r="N22" s="2893">
        <v>981.53</v>
      </c>
      <c r="O22" s="2893">
        <v>0</v>
      </c>
      <c r="P22" s="2893" t="s">
        <v>3046</v>
      </c>
      <c r="Q22" s="2893" t="s">
        <v>3047</v>
      </c>
    </row>
    <row r="23" spans="1:17">
      <c r="A23" s="2893" t="s">
        <v>3092</v>
      </c>
      <c r="B23" s="2893" t="s">
        <v>3040</v>
      </c>
      <c r="C23" s="2893" t="s">
        <v>3041</v>
      </c>
      <c r="D23" s="2893" t="s">
        <v>3092</v>
      </c>
      <c r="E23" s="2893" t="s">
        <v>3042</v>
      </c>
      <c r="F23" s="2893">
        <v>24482.29</v>
      </c>
      <c r="G23" s="2893">
        <v>24727.11</v>
      </c>
      <c r="H23" s="2893" t="s">
        <v>3072</v>
      </c>
      <c r="I23" s="2893" t="s">
        <v>2811</v>
      </c>
      <c r="J23" s="2893" t="s">
        <v>3084</v>
      </c>
      <c r="K23" s="2893" t="s">
        <v>3093</v>
      </c>
      <c r="L23" s="2893">
        <v>7161.06</v>
      </c>
      <c r="M23" s="2893">
        <v>7161.06</v>
      </c>
      <c r="N23" s="2893">
        <v>2896.03</v>
      </c>
      <c r="O23" s="2893">
        <v>0</v>
      </c>
      <c r="P23" s="2893" t="s">
        <v>3046</v>
      </c>
      <c r="Q23" s="2893" t="s">
        <v>3047</v>
      </c>
    </row>
    <row r="24" spans="1:17" s="3186" customFormat="1">
      <c r="A24" s="3186" t="s">
        <v>3092</v>
      </c>
      <c r="B24" s="3186" t="s">
        <v>3040</v>
      </c>
      <c r="C24" s="3186" t="s">
        <v>3041</v>
      </c>
      <c r="D24" s="3186" t="s">
        <v>3092</v>
      </c>
      <c r="E24" s="3186" t="s">
        <v>3042</v>
      </c>
      <c r="F24" s="3186">
        <v>56887.58</v>
      </c>
      <c r="G24" s="3186">
        <v>68265.100000000006</v>
      </c>
      <c r="H24" s="3186" t="s">
        <v>3094</v>
      </c>
      <c r="I24" s="3186" t="s">
        <v>2811</v>
      </c>
      <c r="J24" s="3186" t="s">
        <v>3095</v>
      </c>
      <c r="K24" s="3186" t="s">
        <v>3045</v>
      </c>
      <c r="L24" s="3186">
        <v>18175.29</v>
      </c>
      <c r="M24" s="3186">
        <v>18175.29</v>
      </c>
      <c r="N24" s="3186">
        <v>2662.46</v>
      </c>
      <c r="O24" s="3186">
        <v>0</v>
      </c>
      <c r="P24" s="3186" t="s">
        <v>3046</v>
      </c>
      <c r="Q24" s="3186" t="s">
        <v>3047</v>
      </c>
    </row>
    <row r="25" spans="1:17">
      <c r="A25" s="2893" t="s">
        <v>3096</v>
      </c>
      <c r="B25" s="2893" t="s">
        <v>3040</v>
      </c>
      <c r="C25" s="2893" t="s">
        <v>3041</v>
      </c>
      <c r="D25" s="2893" t="s">
        <v>3096</v>
      </c>
      <c r="E25" s="2893" t="s">
        <v>3042</v>
      </c>
      <c r="F25" s="2893">
        <v>6160.96</v>
      </c>
      <c r="G25" s="2893">
        <v>6160.96</v>
      </c>
      <c r="H25" s="2893" t="s">
        <v>3043</v>
      </c>
      <c r="I25" s="2893" t="s">
        <v>2811</v>
      </c>
      <c r="J25" s="2893" t="s">
        <v>3095</v>
      </c>
      <c r="K25" s="2893" t="s">
        <v>3045</v>
      </c>
      <c r="L25" s="2893">
        <v>2125.19</v>
      </c>
      <c r="M25" s="2893">
        <v>2125.19</v>
      </c>
      <c r="N25" s="2893">
        <v>3449.46</v>
      </c>
      <c r="O25" s="2893">
        <v>0</v>
      </c>
      <c r="P25" s="2893" t="s">
        <v>3046</v>
      </c>
      <c r="Q25" s="2893" t="s">
        <v>3047</v>
      </c>
    </row>
    <row r="26" spans="1:17">
      <c r="A26" s="2893" t="s">
        <v>3096</v>
      </c>
      <c r="B26" s="2893" t="s">
        <v>3040</v>
      </c>
      <c r="C26" s="2893" t="s">
        <v>3041</v>
      </c>
      <c r="D26" s="2893" t="s">
        <v>3096</v>
      </c>
      <c r="E26" s="2893" t="s">
        <v>3071</v>
      </c>
      <c r="F26" s="2893">
        <v>1191</v>
      </c>
      <c r="G26" s="2893">
        <v>1548.3</v>
      </c>
      <c r="H26" s="2893" t="s">
        <v>3097</v>
      </c>
      <c r="I26" s="2893" t="s">
        <v>2811</v>
      </c>
      <c r="J26" s="2893" t="s">
        <v>3098</v>
      </c>
      <c r="K26" s="2893" t="s">
        <v>3099</v>
      </c>
      <c r="L26" s="2893">
        <v>266.43</v>
      </c>
      <c r="M26" s="2893">
        <v>266.43</v>
      </c>
      <c r="N26" s="2893">
        <v>1720.78</v>
      </c>
      <c r="O26" s="2893">
        <v>0</v>
      </c>
      <c r="P26" s="2893" t="s">
        <v>3046</v>
      </c>
      <c r="Q26" s="2893" t="s">
        <v>3047</v>
      </c>
    </row>
    <row r="27" spans="1:17">
      <c r="A27" s="2893" t="s">
        <v>3100</v>
      </c>
      <c r="B27" s="2893" t="s">
        <v>3040</v>
      </c>
      <c r="C27" s="2893" t="s">
        <v>3041</v>
      </c>
      <c r="D27" s="2893" t="s">
        <v>3100</v>
      </c>
      <c r="E27" s="2893" t="s">
        <v>3071</v>
      </c>
      <c r="F27" s="2893">
        <v>1718</v>
      </c>
      <c r="G27" s="2893">
        <v>2061.6</v>
      </c>
      <c r="H27" s="2893" t="s">
        <v>3094</v>
      </c>
      <c r="I27" s="2893" t="s">
        <v>2811</v>
      </c>
      <c r="J27" s="2893" t="s">
        <v>3098</v>
      </c>
      <c r="K27" s="2893" t="s">
        <v>3101</v>
      </c>
      <c r="L27" s="2893">
        <v>194.31</v>
      </c>
      <c r="M27" s="2893">
        <v>194.31</v>
      </c>
      <c r="N27" s="2893">
        <v>942.51</v>
      </c>
      <c r="O27" s="2893">
        <v>0</v>
      </c>
      <c r="P27" s="2893" t="s">
        <v>3046</v>
      </c>
      <c r="Q27" s="2893" t="s">
        <v>3078</v>
      </c>
    </row>
    <row r="28" spans="1:17">
      <c r="A28" s="2893" t="s">
        <v>3102</v>
      </c>
      <c r="B28" s="2893" t="s">
        <v>3040</v>
      </c>
      <c r="C28" s="2893" t="s">
        <v>3041</v>
      </c>
      <c r="D28" s="2893" t="s">
        <v>3102</v>
      </c>
      <c r="E28" s="2893" t="s">
        <v>3042</v>
      </c>
      <c r="F28" s="2893">
        <v>31222</v>
      </c>
      <c r="G28" s="2893">
        <v>31222</v>
      </c>
      <c r="H28" s="2893" t="s">
        <v>3043</v>
      </c>
      <c r="I28" s="2893" t="s">
        <v>2811</v>
      </c>
      <c r="J28" s="2893" t="s">
        <v>3103</v>
      </c>
      <c r="K28" s="2893" t="s">
        <v>3054</v>
      </c>
      <c r="L28" s="2893">
        <v>3400</v>
      </c>
      <c r="M28" s="2893">
        <v>3400</v>
      </c>
      <c r="N28" s="2893">
        <v>1088.98</v>
      </c>
      <c r="O28" s="2893">
        <v>0</v>
      </c>
      <c r="P28" s="2893" t="s">
        <v>3046</v>
      </c>
      <c r="Q28" s="2893" t="s">
        <v>3078</v>
      </c>
    </row>
    <row r="29" spans="1:17">
      <c r="A29" s="2893" t="s">
        <v>3104</v>
      </c>
      <c r="B29" s="2893" t="s">
        <v>3040</v>
      </c>
      <c r="C29" s="2893" t="s">
        <v>3041</v>
      </c>
      <c r="D29" s="2893" t="s">
        <v>3104</v>
      </c>
      <c r="E29" s="2893" t="s">
        <v>3071</v>
      </c>
      <c r="F29" s="2893">
        <v>725</v>
      </c>
      <c r="G29" s="2893">
        <v>362.5</v>
      </c>
      <c r="H29" s="2893" t="s">
        <v>3076</v>
      </c>
      <c r="I29" s="2893" t="s">
        <v>2811</v>
      </c>
      <c r="J29" s="2893" t="s">
        <v>3105</v>
      </c>
      <c r="K29" s="2893" t="s">
        <v>3106</v>
      </c>
      <c r="L29" s="2893">
        <v>139</v>
      </c>
      <c r="M29" s="2893">
        <v>139</v>
      </c>
      <c r="N29" s="2893">
        <v>3834.48</v>
      </c>
      <c r="O29" s="2893">
        <v>0</v>
      </c>
      <c r="P29" s="2893" t="s">
        <v>3046</v>
      </c>
      <c r="Q29" s="2893" t="s">
        <v>3078</v>
      </c>
    </row>
    <row r="30" spans="1:17">
      <c r="A30" s="2893" t="s">
        <v>3107</v>
      </c>
      <c r="B30" s="2893" t="s">
        <v>3040</v>
      </c>
      <c r="C30" s="2893" t="s">
        <v>3041</v>
      </c>
      <c r="D30" s="2893" t="s">
        <v>3107</v>
      </c>
      <c r="E30" s="2893" t="s">
        <v>3042</v>
      </c>
      <c r="F30" s="2893">
        <v>679.29</v>
      </c>
      <c r="G30" s="2893">
        <v>2037.87</v>
      </c>
      <c r="H30" s="2893" t="s">
        <v>3108</v>
      </c>
      <c r="I30" s="2893" t="s">
        <v>2811</v>
      </c>
      <c r="J30" s="2893" t="s">
        <v>3109</v>
      </c>
      <c r="K30" s="2893" t="s">
        <v>3054</v>
      </c>
      <c r="L30" s="2893">
        <v>293</v>
      </c>
      <c r="M30" s="2893">
        <v>293</v>
      </c>
      <c r="N30" s="2893">
        <v>1437.77</v>
      </c>
      <c r="O30" s="2893">
        <v>0</v>
      </c>
      <c r="P30" s="2893" t="s">
        <v>3046</v>
      </c>
      <c r="Q30" s="2893" t="s">
        <v>3047</v>
      </c>
    </row>
    <row r="31" spans="1:17">
      <c r="A31" s="2893" t="s">
        <v>3110</v>
      </c>
      <c r="B31" s="2893" t="s">
        <v>3040</v>
      </c>
      <c r="C31" s="2893" t="s">
        <v>3041</v>
      </c>
      <c r="D31" s="2893" t="s">
        <v>3110</v>
      </c>
      <c r="E31" s="2893" t="s">
        <v>3042</v>
      </c>
      <c r="F31" s="2893">
        <v>694.51</v>
      </c>
      <c r="G31" s="2893">
        <v>1736.28</v>
      </c>
      <c r="H31" s="2893" t="s">
        <v>3111</v>
      </c>
      <c r="I31" s="2893" t="s">
        <v>2811</v>
      </c>
      <c r="J31" s="2893" t="s">
        <v>3109</v>
      </c>
      <c r="K31" s="2893" t="s">
        <v>3054</v>
      </c>
      <c r="L31" s="2893">
        <v>272</v>
      </c>
      <c r="M31" s="2893">
        <v>272</v>
      </c>
      <c r="N31" s="2893">
        <v>1566.56</v>
      </c>
      <c r="O31" s="2893">
        <v>0</v>
      </c>
      <c r="P31" s="2893" t="s">
        <v>3046</v>
      </c>
      <c r="Q31" s="2893" t="s">
        <v>3047</v>
      </c>
    </row>
    <row r="32" spans="1:17">
      <c r="A32" s="2893" t="s">
        <v>3112</v>
      </c>
      <c r="B32" s="2893" t="s">
        <v>3040</v>
      </c>
      <c r="C32" s="2893" t="s">
        <v>3041</v>
      </c>
      <c r="D32" s="2893" t="s">
        <v>3112</v>
      </c>
      <c r="E32" s="2893" t="s">
        <v>3042</v>
      </c>
      <c r="F32" s="2893">
        <v>16653.41</v>
      </c>
      <c r="G32" s="2893">
        <v>49960.23</v>
      </c>
      <c r="H32" s="2893" t="s">
        <v>3108</v>
      </c>
      <c r="I32" s="2893" t="s">
        <v>2811</v>
      </c>
      <c r="J32" s="2893" t="s">
        <v>3109</v>
      </c>
      <c r="K32" s="2893" t="s">
        <v>3054</v>
      </c>
      <c r="L32" s="2893">
        <v>4711</v>
      </c>
      <c r="M32" s="2893">
        <v>4711</v>
      </c>
      <c r="N32" s="2893">
        <v>942.95</v>
      </c>
      <c r="O32" s="2893">
        <v>0</v>
      </c>
      <c r="P32" s="2893" t="s">
        <v>3046</v>
      </c>
      <c r="Q32" s="2893" t="s">
        <v>3047</v>
      </c>
    </row>
    <row r="33" spans="1:17">
      <c r="A33" s="2893" t="s">
        <v>3113</v>
      </c>
      <c r="B33" s="2893" t="s">
        <v>3040</v>
      </c>
      <c r="C33" s="2893" t="s">
        <v>3041</v>
      </c>
      <c r="D33" s="2893" t="s">
        <v>3113</v>
      </c>
      <c r="E33" s="2893" t="s">
        <v>3071</v>
      </c>
      <c r="F33" s="2893">
        <v>1907</v>
      </c>
      <c r="G33" s="2893">
        <v>953.5</v>
      </c>
      <c r="H33" s="2893" t="s">
        <v>3076</v>
      </c>
      <c r="I33" s="2893" t="s">
        <v>2811</v>
      </c>
      <c r="J33" s="2893" t="s">
        <v>3114</v>
      </c>
      <c r="K33" s="2893" t="s">
        <v>3115</v>
      </c>
      <c r="L33" s="2893">
        <v>450</v>
      </c>
      <c r="M33" s="2893">
        <v>450</v>
      </c>
      <c r="N33" s="2893">
        <v>4719.4399999999996</v>
      </c>
      <c r="O33" s="2893">
        <v>0</v>
      </c>
      <c r="P33" s="2893" t="s">
        <v>3046</v>
      </c>
      <c r="Q33" s="2893" t="s">
        <v>3047</v>
      </c>
    </row>
    <row r="34" spans="1:17">
      <c r="A34" s="2893" t="s">
        <v>3116</v>
      </c>
      <c r="B34" s="2893" t="s">
        <v>3040</v>
      </c>
      <c r="C34" s="2893" t="s">
        <v>3041</v>
      </c>
      <c r="D34" s="2893" t="s">
        <v>3116</v>
      </c>
      <c r="E34" s="2893" t="s">
        <v>3071</v>
      </c>
      <c r="F34" s="2893">
        <v>49270.09</v>
      </c>
      <c r="G34" s="2893">
        <v>123175.23</v>
      </c>
      <c r="H34" s="2893" t="s">
        <v>3117</v>
      </c>
      <c r="I34" s="2893" t="s">
        <v>2811</v>
      </c>
      <c r="J34" s="2893" t="s">
        <v>3114</v>
      </c>
      <c r="K34" s="2893" t="s">
        <v>3118</v>
      </c>
      <c r="L34" s="2893">
        <v>6000</v>
      </c>
      <c r="M34" s="2893">
        <v>6600</v>
      </c>
      <c r="N34" s="2893">
        <v>535.82000000000005</v>
      </c>
      <c r="O34" s="2893">
        <v>10</v>
      </c>
      <c r="P34" s="2893" t="s">
        <v>3046</v>
      </c>
      <c r="Q34" s="2893" t="s">
        <v>3047</v>
      </c>
    </row>
    <row r="35" spans="1:17">
      <c r="A35" s="2893" t="s">
        <v>3119</v>
      </c>
      <c r="B35" s="2893" t="s">
        <v>3040</v>
      </c>
      <c r="C35" s="2893" t="s">
        <v>3041</v>
      </c>
      <c r="D35" s="2893" t="s">
        <v>3119</v>
      </c>
      <c r="E35" s="2893" t="s">
        <v>3071</v>
      </c>
      <c r="F35" s="2893">
        <v>45580</v>
      </c>
      <c r="G35" s="2893">
        <v>113950</v>
      </c>
      <c r="H35" s="2893" t="s">
        <v>3117</v>
      </c>
      <c r="I35" s="2893" t="s">
        <v>2811</v>
      </c>
      <c r="J35" s="2893" t="s">
        <v>3114</v>
      </c>
      <c r="K35" s="2893" t="s">
        <v>3045</v>
      </c>
      <c r="L35" s="2893">
        <v>6800</v>
      </c>
      <c r="M35" s="2893">
        <v>6800</v>
      </c>
      <c r="N35" s="2893">
        <v>596.75</v>
      </c>
      <c r="O35" s="2893">
        <v>0</v>
      </c>
      <c r="P35" s="2893" t="s">
        <v>3046</v>
      </c>
      <c r="Q35" s="2893" t="s">
        <v>3047</v>
      </c>
    </row>
    <row r="36" spans="1:17">
      <c r="A36" s="2893" t="s">
        <v>3119</v>
      </c>
      <c r="B36" s="2893" t="s">
        <v>3040</v>
      </c>
      <c r="C36" s="2893" t="s">
        <v>3041</v>
      </c>
      <c r="D36" s="2893" t="s">
        <v>3119</v>
      </c>
      <c r="E36" s="2893" t="s">
        <v>3071</v>
      </c>
      <c r="F36" s="2893">
        <v>41155</v>
      </c>
      <c r="G36" s="2893">
        <v>102887.5</v>
      </c>
      <c r="H36" s="2893" t="s">
        <v>3117</v>
      </c>
      <c r="I36" s="2893" t="s">
        <v>2811</v>
      </c>
      <c r="J36" s="2893" t="s">
        <v>3114</v>
      </c>
      <c r="K36" s="2893" t="s">
        <v>3045</v>
      </c>
      <c r="L36" s="2893">
        <v>6100</v>
      </c>
      <c r="M36" s="2893">
        <v>6100</v>
      </c>
      <c r="N36" s="2893">
        <v>592.87</v>
      </c>
      <c r="O36" s="2893">
        <v>0</v>
      </c>
      <c r="P36" s="2893" t="s">
        <v>3046</v>
      </c>
      <c r="Q36" s="2893" t="s">
        <v>3047</v>
      </c>
    </row>
    <row r="37" spans="1:17">
      <c r="A37" s="2893" t="s">
        <v>3120</v>
      </c>
      <c r="B37" s="2893" t="s">
        <v>3040</v>
      </c>
      <c r="C37" s="2893" t="s">
        <v>3041</v>
      </c>
      <c r="D37" s="2893" t="s">
        <v>3120</v>
      </c>
      <c r="E37" s="2893" t="s">
        <v>3042</v>
      </c>
      <c r="F37" s="2893">
        <v>4426.87</v>
      </c>
      <c r="G37" s="2893">
        <v>10624.49</v>
      </c>
      <c r="H37" s="2893" t="s">
        <v>3121</v>
      </c>
      <c r="I37" s="2893" t="s">
        <v>2811</v>
      </c>
      <c r="J37" s="2893" t="s">
        <v>3122</v>
      </c>
      <c r="K37" s="2893" t="s">
        <v>3123</v>
      </c>
      <c r="L37" s="2893">
        <v>2339.4</v>
      </c>
      <c r="M37" s="2893">
        <v>2339.4</v>
      </c>
      <c r="N37" s="2893">
        <v>2201.88</v>
      </c>
      <c r="O37" s="2893">
        <v>0</v>
      </c>
      <c r="P37" s="2893" t="s">
        <v>3046</v>
      </c>
      <c r="Q37" s="2893" t="s">
        <v>3047</v>
      </c>
    </row>
    <row r="38" spans="1:17">
      <c r="A38" s="2893" t="s">
        <v>3124</v>
      </c>
      <c r="B38" s="2893" t="s">
        <v>3040</v>
      </c>
      <c r="C38" s="2893" t="s">
        <v>3041</v>
      </c>
      <c r="D38" s="2893" t="s">
        <v>3124</v>
      </c>
      <c r="E38" s="2893" t="s">
        <v>3071</v>
      </c>
      <c r="F38" s="2893">
        <v>8404</v>
      </c>
      <c r="G38" s="2893">
        <v>840.4</v>
      </c>
      <c r="H38" s="2893" t="s">
        <v>3125</v>
      </c>
      <c r="I38" s="2893" t="s">
        <v>2811</v>
      </c>
      <c r="J38" s="2893" t="s">
        <v>3126</v>
      </c>
      <c r="K38" s="2893" t="s">
        <v>3054</v>
      </c>
      <c r="L38" s="2893">
        <v>1021.09</v>
      </c>
      <c r="M38" s="2893">
        <v>1021.09</v>
      </c>
      <c r="N38" s="2893">
        <v>12150.04</v>
      </c>
      <c r="O38" s="2893">
        <v>0</v>
      </c>
      <c r="P38" s="2893" t="s">
        <v>3046</v>
      </c>
      <c r="Q38" s="2893" t="s">
        <v>3047</v>
      </c>
    </row>
    <row r="39" spans="1:17">
      <c r="A39" s="2893" t="s">
        <v>3127</v>
      </c>
      <c r="B39" s="2893" t="s">
        <v>3040</v>
      </c>
      <c r="C39" s="2893" t="s">
        <v>3041</v>
      </c>
      <c r="D39" s="2893" t="s">
        <v>3127</v>
      </c>
      <c r="E39" s="2893" t="s">
        <v>3071</v>
      </c>
      <c r="F39" s="2893">
        <v>65709</v>
      </c>
      <c r="G39" s="2893">
        <v>22998.15</v>
      </c>
      <c r="H39" s="2893" t="s">
        <v>3128</v>
      </c>
      <c r="I39" s="2893" t="s">
        <v>2811</v>
      </c>
      <c r="J39" s="2893" t="s">
        <v>3129</v>
      </c>
      <c r="K39" s="2893" t="s">
        <v>3130</v>
      </c>
      <c r="L39" s="2893">
        <v>4034.53</v>
      </c>
      <c r="M39" s="2893">
        <v>4034.53</v>
      </c>
      <c r="N39" s="2893">
        <v>1754.27</v>
      </c>
      <c r="O39" s="2893">
        <v>0</v>
      </c>
      <c r="P39" s="2893" t="s">
        <v>3046</v>
      </c>
      <c r="Q39" s="2893" t="s">
        <v>3131</v>
      </c>
    </row>
    <row r="40" spans="1:17">
      <c r="A40" s="2893" t="s">
        <v>3127</v>
      </c>
      <c r="B40" s="2893" t="s">
        <v>3040</v>
      </c>
      <c r="C40" s="2893" t="s">
        <v>3041</v>
      </c>
      <c r="D40" s="2893" t="s">
        <v>3127</v>
      </c>
      <c r="E40" s="2893" t="s">
        <v>3071</v>
      </c>
      <c r="F40" s="2893">
        <v>57011</v>
      </c>
      <c r="G40" s="2893">
        <v>19953.849999999999</v>
      </c>
      <c r="H40" s="2893" t="s">
        <v>3128</v>
      </c>
      <c r="I40" s="2893" t="s">
        <v>2811</v>
      </c>
      <c r="J40" s="2893" t="s">
        <v>3129</v>
      </c>
      <c r="K40" s="2893" t="s">
        <v>3130</v>
      </c>
      <c r="L40" s="2893">
        <v>3500.48</v>
      </c>
      <c r="M40" s="2893">
        <v>3500.48</v>
      </c>
      <c r="N40" s="2893">
        <v>1754.28</v>
      </c>
      <c r="O40" s="2893">
        <v>0</v>
      </c>
      <c r="P40" s="2893" t="s">
        <v>3046</v>
      </c>
      <c r="Q40" s="2893" t="s">
        <v>3131</v>
      </c>
    </row>
    <row r="41" spans="1:17">
      <c r="A41" s="2893" t="s">
        <v>3127</v>
      </c>
      <c r="B41" s="2893" t="s">
        <v>3040</v>
      </c>
      <c r="C41" s="2893" t="s">
        <v>3041</v>
      </c>
      <c r="D41" s="2893" t="s">
        <v>3127</v>
      </c>
      <c r="E41" s="2893" t="s">
        <v>3071</v>
      </c>
      <c r="F41" s="2893">
        <v>21618</v>
      </c>
      <c r="G41" s="2893">
        <v>7566.3</v>
      </c>
      <c r="H41" s="2893" t="s">
        <v>3128</v>
      </c>
      <c r="I41" s="2893" t="s">
        <v>2811</v>
      </c>
      <c r="J41" s="2893" t="s">
        <v>3129</v>
      </c>
      <c r="K41" s="2893" t="s">
        <v>3130</v>
      </c>
      <c r="L41" s="2893">
        <v>1327.34</v>
      </c>
      <c r="M41" s="2893">
        <v>1327.34</v>
      </c>
      <c r="N41" s="2893">
        <v>1754.28</v>
      </c>
      <c r="O41" s="2893">
        <v>0</v>
      </c>
      <c r="P41" s="2893" t="s">
        <v>3046</v>
      </c>
      <c r="Q41" s="2893" t="s">
        <v>3131</v>
      </c>
    </row>
    <row r="42" spans="1:17">
      <c r="A42" s="2893" t="s">
        <v>3132</v>
      </c>
      <c r="B42" s="2893" t="s">
        <v>3040</v>
      </c>
      <c r="C42" s="2893" t="s">
        <v>3041</v>
      </c>
      <c r="D42" s="2893" t="s">
        <v>3132</v>
      </c>
      <c r="E42" s="2893" t="s">
        <v>3071</v>
      </c>
      <c r="F42" s="2893">
        <v>839</v>
      </c>
      <c r="G42" s="2893">
        <v>419.5</v>
      </c>
      <c r="H42" s="2893" t="s">
        <v>3076</v>
      </c>
      <c r="I42" s="2893" t="s">
        <v>2811</v>
      </c>
      <c r="J42" s="2893" t="s">
        <v>3133</v>
      </c>
      <c r="K42" s="2893" t="s">
        <v>3134</v>
      </c>
      <c r="L42" s="2893">
        <v>151.02000000000001</v>
      </c>
      <c r="M42" s="2893">
        <v>151.02000000000001</v>
      </c>
      <c r="N42" s="2893">
        <v>3600</v>
      </c>
      <c r="O42" s="2893">
        <v>0</v>
      </c>
      <c r="P42" s="2893" t="s">
        <v>3046</v>
      </c>
      <c r="Q42" s="2893" t="s">
        <v>3078</v>
      </c>
    </row>
    <row r="43" spans="1:17">
      <c r="A43" s="2893" t="s">
        <v>3135</v>
      </c>
      <c r="B43" s="2893" t="s">
        <v>3040</v>
      </c>
      <c r="C43" s="2893" t="s">
        <v>3041</v>
      </c>
      <c r="D43" s="2893" t="s">
        <v>3135</v>
      </c>
      <c r="E43" s="2893" t="s">
        <v>3071</v>
      </c>
      <c r="F43" s="2893">
        <v>959</v>
      </c>
      <c r="G43" s="2893">
        <v>479.5</v>
      </c>
      <c r="H43" s="2893" t="s">
        <v>3076</v>
      </c>
      <c r="I43" s="2893" t="s">
        <v>2811</v>
      </c>
      <c r="J43" s="2893" t="s">
        <v>3133</v>
      </c>
      <c r="K43" s="2893" t="s">
        <v>3134</v>
      </c>
      <c r="L43" s="2893">
        <v>172.62</v>
      </c>
      <c r="M43" s="2893">
        <v>172.62</v>
      </c>
      <c r="N43" s="2893">
        <v>3600</v>
      </c>
      <c r="O43" s="2893">
        <v>0</v>
      </c>
      <c r="P43" s="2893" t="s">
        <v>3046</v>
      </c>
      <c r="Q43" s="2893" t="s">
        <v>3078</v>
      </c>
    </row>
    <row r="44" spans="1:17">
      <c r="A44" s="2893" t="s">
        <v>3119</v>
      </c>
      <c r="B44" s="2893" t="s">
        <v>3040</v>
      </c>
      <c r="C44" s="2893" t="s">
        <v>3041</v>
      </c>
      <c r="D44" s="2893" t="s">
        <v>3119</v>
      </c>
      <c r="E44" s="2893" t="s">
        <v>3042</v>
      </c>
      <c r="F44" s="2893">
        <v>7123.78</v>
      </c>
      <c r="G44" s="2893">
        <v>10685.67</v>
      </c>
      <c r="H44" s="2893" t="s">
        <v>3067</v>
      </c>
      <c r="I44" s="2893" t="s">
        <v>2811</v>
      </c>
      <c r="J44" s="2893" t="s">
        <v>3136</v>
      </c>
      <c r="K44" s="2893" t="s">
        <v>3137</v>
      </c>
      <c r="L44" s="2893">
        <v>750.85</v>
      </c>
      <c r="M44" s="2893">
        <v>750.85</v>
      </c>
      <c r="N44" s="2893">
        <v>702.66</v>
      </c>
      <c r="O44" s="2893">
        <v>0</v>
      </c>
      <c r="P44" s="2893" t="s">
        <v>3046</v>
      </c>
      <c r="Q44" s="2893" t="s">
        <v>3047</v>
      </c>
    </row>
    <row r="45" spans="1:17">
      <c r="A45" s="2893" t="s">
        <v>3119</v>
      </c>
      <c r="B45" s="2893" t="s">
        <v>3040</v>
      </c>
      <c r="C45" s="2893" t="s">
        <v>3041</v>
      </c>
      <c r="D45" s="2893" t="s">
        <v>3119</v>
      </c>
      <c r="E45" s="2893" t="s">
        <v>3042</v>
      </c>
      <c r="F45" s="2893">
        <v>59865</v>
      </c>
      <c r="G45" s="2893">
        <v>149662.5</v>
      </c>
      <c r="H45" s="2893" t="s">
        <v>3117</v>
      </c>
      <c r="I45" s="2893" t="s">
        <v>2811</v>
      </c>
      <c r="J45" s="2893" t="s">
        <v>3136</v>
      </c>
      <c r="K45" s="2893" t="s">
        <v>3137</v>
      </c>
      <c r="L45" s="2893">
        <v>8788.18</v>
      </c>
      <c r="M45" s="2893">
        <v>8788.18</v>
      </c>
      <c r="N45" s="2893">
        <v>587.20000000000005</v>
      </c>
      <c r="O45" s="2893">
        <v>0</v>
      </c>
      <c r="P45" s="2893" t="s">
        <v>3046</v>
      </c>
      <c r="Q45" s="2893" t="s">
        <v>3047</v>
      </c>
    </row>
    <row r="46" spans="1:17">
      <c r="A46" s="2893" t="s">
        <v>3138</v>
      </c>
      <c r="B46" s="2893" t="s">
        <v>3040</v>
      </c>
      <c r="C46" s="2893" t="s">
        <v>3041</v>
      </c>
      <c r="D46" s="2893" t="s">
        <v>3138</v>
      </c>
      <c r="E46" s="2893" t="s">
        <v>3071</v>
      </c>
      <c r="F46" s="2893">
        <v>72425</v>
      </c>
      <c r="G46" s="2893">
        <v>181062.5</v>
      </c>
      <c r="H46" s="2893" t="s">
        <v>3117</v>
      </c>
      <c r="I46" s="2893" t="s">
        <v>2811</v>
      </c>
      <c r="J46" s="2893" t="s">
        <v>3139</v>
      </c>
      <c r="K46" s="2893" t="s">
        <v>3140</v>
      </c>
      <c r="L46" s="2893">
        <v>14383.61</v>
      </c>
      <c r="M46" s="2893">
        <v>14383.61</v>
      </c>
      <c r="N46" s="2893">
        <v>794.39</v>
      </c>
      <c r="O46" s="2893">
        <v>0</v>
      </c>
      <c r="P46" s="2893" t="s">
        <v>3046</v>
      </c>
      <c r="Q46" s="2893" t="s">
        <v>3047</v>
      </c>
    </row>
    <row r="47" spans="1:17">
      <c r="A47" s="2893" t="s">
        <v>3141</v>
      </c>
      <c r="B47" s="2893" t="s">
        <v>3040</v>
      </c>
      <c r="C47" s="2893" t="s">
        <v>3041</v>
      </c>
      <c r="D47" s="2893" t="s">
        <v>3141</v>
      </c>
      <c r="E47" s="2893" t="s">
        <v>3071</v>
      </c>
      <c r="F47" s="2893">
        <v>2280</v>
      </c>
      <c r="G47" s="2893">
        <v>1231.2</v>
      </c>
      <c r="H47" s="2893" t="s">
        <v>3142</v>
      </c>
      <c r="I47" s="2893" t="s">
        <v>2811</v>
      </c>
      <c r="J47" s="2893" t="s">
        <v>3143</v>
      </c>
      <c r="K47" s="2893" t="s">
        <v>3144</v>
      </c>
      <c r="L47" s="2893">
        <v>345.87</v>
      </c>
      <c r="M47" s="2893">
        <v>345.87</v>
      </c>
      <c r="N47" s="2893">
        <v>2809.28</v>
      </c>
      <c r="O47" s="2893">
        <v>0</v>
      </c>
      <c r="P47" s="2893" t="s">
        <v>3046</v>
      </c>
      <c r="Q47" s="2893" t="s">
        <v>3078</v>
      </c>
    </row>
    <row r="48" spans="1:17">
      <c r="A48" s="2893" t="s">
        <v>3145</v>
      </c>
      <c r="B48" s="2893" t="s">
        <v>3040</v>
      </c>
      <c r="C48" s="2893" t="s">
        <v>3041</v>
      </c>
      <c r="D48" s="2893" t="s">
        <v>3145</v>
      </c>
      <c r="E48" s="2893" t="s">
        <v>3071</v>
      </c>
      <c r="F48" s="2893">
        <v>882</v>
      </c>
      <c r="G48" s="2893">
        <v>441</v>
      </c>
      <c r="H48" s="2893" t="s">
        <v>3076</v>
      </c>
      <c r="I48" s="2893" t="s">
        <v>2811</v>
      </c>
      <c r="J48" s="2893" t="s">
        <v>3143</v>
      </c>
      <c r="K48" s="2893" t="s">
        <v>3146</v>
      </c>
      <c r="L48" s="2893">
        <v>127.18</v>
      </c>
      <c r="M48" s="2893">
        <v>127.18</v>
      </c>
      <c r="N48" s="2893">
        <v>2883.9</v>
      </c>
      <c r="O48" s="2893">
        <v>0</v>
      </c>
      <c r="P48" s="2893" t="s">
        <v>3046</v>
      </c>
      <c r="Q48" s="2893" t="s">
        <v>3078</v>
      </c>
    </row>
    <row r="49" spans="1:17">
      <c r="A49" s="2893" t="s">
        <v>3147</v>
      </c>
      <c r="B49" s="2893" t="s">
        <v>3040</v>
      </c>
      <c r="C49" s="2893" t="s">
        <v>3041</v>
      </c>
      <c r="D49" s="2893" t="s">
        <v>3147</v>
      </c>
      <c r="E49" s="2893" t="s">
        <v>3042</v>
      </c>
      <c r="F49" s="2893">
        <v>13531.1</v>
      </c>
      <c r="G49" s="2893">
        <v>27062.2</v>
      </c>
      <c r="H49" s="2893" t="s">
        <v>3148</v>
      </c>
      <c r="I49" s="2893" t="s">
        <v>2811</v>
      </c>
      <c r="J49" s="2893" t="s">
        <v>3149</v>
      </c>
      <c r="K49" s="2893" t="s">
        <v>3140</v>
      </c>
      <c r="L49" s="2893">
        <v>2523</v>
      </c>
      <c r="M49" s="2893">
        <v>2523</v>
      </c>
      <c r="N49" s="2893">
        <v>932.29</v>
      </c>
      <c r="O49" s="2893">
        <v>0</v>
      </c>
      <c r="P49" s="2893" t="s">
        <v>3046</v>
      </c>
      <c r="Q49" s="2893" t="s">
        <v>3081</v>
      </c>
    </row>
    <row r="50" spans="1:17">
      <c r="A50" s="2893" t="s">
        <v>3147</v>
      </c>
      <c r="B50" s="2893" t="s">
        <v>3040</v>
      </c>
      <c r="C50" s="2893" t="s">
        <v>3041</v>
      </c>
      <c r="D50" s="2893" t="s">
        <v>3147</v>
      </c>
      <c r="E50" s="2893" t="s">
        <v>3042</v>
      </c>
      <c r="F50" s="2893">
        <v>23760</v>
      </c>
      <c r="G50" s="2893">
        <v>47520</v>
      </c>
      <c r="H50" s="2893" t="s">
        <v>3148</v>
      </c>
      <c r="I50" s="2893" t="s">
        <v>2811</v>
      </c>
      <c r="J50" s="2893" t="s">
        <v>3149</v>
      </c>
      <c r="K50" s="2893" t="s">
        <v>3140</v>
      </c>
      <c r="L50" s="2893">
        <v>4431</v>
      </c>
      <c r="M50" s="2893">
        <v>4431</v>
      </c>
      <c r="N50" s="2893">
        <v>932.45</v>
      </c>
      <c r="O50" s="2893">
        <v>0</v>
      </c>
      <c r="P50" s="2893" t="s">
        <v>3046</v>
      </c>
      <c r="Q50" s="2893" t="s">
        <v>3081</v>
      </c>
    </row>
    <row r="51" spans="1:17">
      <c r="A51" s="2893" t="s">
        <v>3150</v>
      </c>
      <c r="B51" s="2893" t="s">
        <v>3040</v>
      </c>
      <c r="C51" s="2893" t="s">
        <v>3041</v>
      </c>
      <c r="D51" s="2893" t="s">
        <v>3150</v>
      </c>
      <c r="E51" s="2893" t="s">
        <v>3042</v>
      </c>
      <c r="F51" s="2893">
        <v>60355.9</v>
      </c>
      <c r="G51" s="2893">
        <v>120711.8</v>
      </c>
      <c r="H51" s="2893" t="s">
        <v>3148</v>
      </c>
      <c r="I51" s="2893" t="s">
        <v>2811</v>
      </c>
      <c r="J51" s="2893" t="s">
        <v>3149</v>
      </c>
      <c r="K51" s="2893" t="s">
        <v>3140</v>
      </c>
      <c r="L51" s="2893">
        <v>12687</v>
      </c>
      <c r="M51" s="2893">
        <v>12687</v>
      </c>
      <c r="N51" s="2893">
        <v>1051.01</v>
      </c>
      <c r="O51" s="2893">
        <v>0</v>
      </c>
      <c r="P51" s="2893" t="s">
        <v>3046</v>
      </c>
      <c r="Q51" s="2893" t="s">
        <v>3047</v>
      </c>
    </row>
    <row r="52" spans="1:17">
      <c r="A52" s="2893" t="s">
        <v>3151</v>
      </c>
      <c r="B52" s="2893" t="s">
        <v>3040</v>
      </c>
      <c r="C52" s="2893" t="s">
        <v>3041</v>
      </c>
      <c r="D52" s="2893" t="s">
        <v>3151</v>
      </c>
      <c r="E52" s="2893" t="s">
        <v>3042</v>
      </c>
      <c r="F52" s="2893">
        <v>114.24</v>
      </c>
      <c r="G52" s="2893">
        <v>342.72</v>
      </c>
      <c r="H52" s="2893" t="s">
        <v>3108</v>
      </c>
      <c r="I52" s="2893" t="s">
        <v>2811</v>
      </c>
      <c r="J52" s="2893" t="s">
        <v>3152</v>
      </c>
      <c r="K52" s="2893" t="s">
        <v>3054</v>
      </c>
      <c r="L52" s="2893">
        <v>68</v>
      </c>
      <c r="M52" s="2893">
        <v>68</v>
      </c>
      <c r="N52" s="2893">
        <v>1984.13</v>
      </c>
      <c r="O52" s="2893">
        <v>0</v>
      </c>
      <c r="P52" s="2893" t="s">
        <v>3046</v>
      </c>
      <c r="Q52" s="2893" t="s">
        <v>3047</v>
      </c>
    </row>
    <row r="53" spans="1:17">
      <c r="A53" s="2893" t="s">
        <v>3153</v>
      </c>
      <c r="B53" s="2893" t="s">
        <v>3040</v>
      </c>
      <c r="C53" s="2893" t="s">
        <v>3041</v>
      </c>
      <c r="D53" s="2893" t="s">
        <v>3153</v>
      </c>
      <c r="E53" s="2893" t="s">
        <v>3042</v>
      </c>
      <c r="F53" s="2893">
        <v>1273.7</v>
      </c>
      <c r="G53" s="2893">
        <v>3821.1</v>
      </c>
      <c r="H53" s="2893" t="s">
        <v>3108</v>
      </c>
      <c r="I53" s="2893" t="s">
        <v>2811</v>
      </c>
      <c r="J53" s="2893" t="s">
        <v>3152</v>
      </c>
      <c r="K53" s="2893" t="s">
        <v>3054</v>
      </c>
      <c r="L53" s="2893">
        <v>1481</v>
      </c>
      <c r="M53" s="2893">
        <v>1481</v>
      </c>
      <c r="N53" s="2893">
        <v>3875.84</v>
      </c>
      <c r="O53" s="2893">
        <v>0</v>
      </c>
      <c r="P53" s="2893" t="s">
        <v>3046</v>
      </c>
      <c r="Q53" s="2893" t="s">
        <v>3047</v>
      </c>
    </row>
    <row r="54" spans="1:17">
      <c r="A54" s="2893" t="s">
        <v>3154</v>
      </c>
      <c r="B54" s="2893" t="s">
        <v>3040</v>
      </c>
      <c r="C54" s="2893" t="s">
        <v>3041</v>
      </c>
      <c r="D54" s="2893" t="s">
        <v>3154</v>
      </c>
      <c r="E54" s="2893" t="s">
        <v>3042</v>
      </c>
      <c r="F54" s="2893">
        <v>1448.27</v>
      </c>
      <c r="G54" s="2893">
        <v>4344.8100000000004</v>
      </c>
      <c r="H54" s="2893" t="s">
        <v>3108</v>
      </c>
      <c r="I54" s="2893" t="s">
        <v>2811</v>
      </c>
      <c r="J54" s="2893" t="s">
        <v>3152</v>
      </c>
      <c r="K54" s="2893" t="s">
        <v>3054</v>
      </c>
      <c r="L54" s="2893">
        <v>1625</v>
      </c>
      <c r="M54" s="2893">
        <v>1625</v>
      </c>
      <c r="N54" s="2893">
        <v>3740.09</v>
      </c>
      <c r="O54" s="2893">
        <v>0</v>
      </c>
      <c r="P54" s="2893" t="s">
        <v>3046</v>
      </c>
      <c r="Q54" s="2893" t="s">
        <v>3047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5">
      <c r="A6" s="511" t="s">
        <v>520</v>
      </c>
      <c r="B6" s="512"/>
      <c r="C6" s="3392" t="s">
        <v>521</v>
      </c>
      <c r="D6" s="3393"/>
      <c r="E6" s="3416" t="s">
        <v>522</v>
      </c>
      <c r="F6" s="3417"/>
      <c r="G6" s="3392" t="s">
        <v>523</v>
      </c>
      <c r="H6" s="3393"/>
      <c r="I6" s="3392" t="s">
        <v>524</v>
      </c>
      <c r="J6" s="3393"/>
      <c r="K6" s="513" t="s">
        <v>525</v>
      </c>
      <c r="L6" s="2117"/>
      <c r="M6" s="2118"/>
      <c r="N6" s="2118"/>
      <c r="O6" s="2118"/>
      <c r="P6" s="3394" t="s">
        <v>526</v>
      </c>
      <c r="Q6" s="3395"/>
      <c r="R6" s="3380" t="s">
        <v>522</v>
      </c>
      <c r="S6" s="3381"/>
      <c r="T6" s="3380" t="s">
        <v>523</v>
      </c>
      <c r="U6" s="3381"/>
      <c r="V6" s="3400" t="s">
        <v>524</v>
      </c>
      <c r="W6" s="3400"/>
      <c r="X6" s="1553"/>
      <c r="Y6" s="3380" t="s">
        <v>526</v>
      </c>
      <c r="Z6" s="3381"/>
      <c r="AA6" s="3375" t="s">
        <v>522</v>
      </c>
      <c r="AB6" s="3376" t="s">
        <v>523</v>
      </c>
      <c r="AC6" s="3375" t="s">
        <v>524</v>
      </c>
    </row>
    <row r="7" spans="1:29" ht="15">
      <c r="A7" s="514"/>
      <c r="B7" s="515"/>
      <c r="C7" s="3403" t="s">
        <v>2919</v>
      </c>
      <c r="D7" s="3404"/>
      <c r="E7" s="3418" t="s">
        <v>2920</v>
      </c>
      <c r="F7" s="3419"/>
      <c r="G7" s="3403" t="s">
        <v>2921</v>
      </c>
      <c r="H7" s="3404"/>
      <c r="I7" s="3403" t="s">
        <v>2922</v>
      </c>
      <c r="J7" s="3404"/>
      <c r="K7" s="513"/>
      <c r="L7" s="2117"/>
      <c r="M7" s="2118"/>
      <c r="N7" s="2118"/>
      <c r="O7" s="2118"/>
      <c r="P7" s="3396"/>
      <c r="Q7" s="3397"/>
      <c r="R7" s="3382"/>
      <c r="S7" s="3383"/>
      <c r="T7" s="3382"/>
      <c r="U7" s="3383"/>
      <c r="V7" s="3400"/>
      <c r="W7" s="3400"/>
      <c r="X7" s="1553"/>
      <c r="Y7" s="3382"/>
      <c r="Z7" s="3383"/>
      <c r="AA7" s="3376"/>
      <c r="AB7" s="3376"/>
      <c r="AC7" s="3376"/>
    </row>
    <row r="8" spans="1:29" ht="15.75" thickBot="1">
      <c r="A8" s="516"/>
      <c r="B8" s="517"/>
      <c r="C8" s="3401" t="s">
        <v>2923</v>
      </c>
      <c r="D8" s="3402"/>
      <c r="E8" s="3420" t="s">
        <v>2923</v>
      </c>
      <c r="F8" s="3421"/>
      <c r="G8" s="3401" t="s">
        <v>2923</v>
      </c>
      <c r="H8" s="3402"/>
      <c r="I8" s="3401" t="s">
        <v>2923</v>
      </c>
      <c r="J8" s="3402"/>
      <c r="K8" s="513" t="s">
        <v>527</v>
      </c>
      <c r="L8" s="2117"/>
      <c r="M8" s="2118"/>
      <c r="N8" s="2118"/>
      <c r="O8" s="2118"/>
      <c r="P8" s="3398"/>
      <c r="Q8" s="3399"/>
      <c r="R8" s="3382"/>
      <c r="S8" s="3383"/>
      <c r="T8" s="3384"/>
      <c r="U8" s="3385"/>
      <c r="V8" s="3400"/>
      <c r="W8" s="3400"/>
      <c r="X8" s="1553"/>
      <c r="Y8" s="3384"/>
      <c r="Z8" s="3385"/>
      <c r="AA8" s="3377"/>
      <c r="AB8" s="3377"/>
      <c r="AC8" s="3377"/>
    </row>
    <row r="9" spans="1:29" s="1215" customFormat="1" ht="15.7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78" t="s">
        <v>529</v>
      </c>
      <c r="Q9" s="3387"/>
      <c r="R9" s="1554" t="s">
        <v>8</v>
      </c>
      <c r="S9" s="1555">
        <f t="shared" ref="S9:S17" si="0">F9</f>
        <v>0</v>
      </c>
      <c r="T9" s="1554" t="s">
        <v>8</v>
      </c>
      <c r="U9" s="1555">
        <f t="shared" ref="U9:U17" si="1">H9</f>
        <v>0</v>
      </c>
      <c r="V9" s="1554" t="s">
        <v>8</v>
      </c>
      <c r="W9" s="1555">
        <f t="shared" ref="W9:W17" si="2">J9</f>
        <v>0</v>
      </c>
      <c r="X9" s="1556"/>
      <c r="Y9" s="3378" t="s">
        <v>529</v>
      </c>
      <c r="Z9" s="3379"/>
      <c r="AA9" s="1557" t="e">
        <f>D9/F9</f>
        <v>#DIV/0!</v>
      </c>
      <c r="AB9" s="1557" t="e">
        <f>D9/H9</f>
        <v>#DIV/0!</v>
      </c>
      <c r="AC9" s="1557" t="e">
        <f>D9/J9</f>
        <v>#DIV/0!</v>
      </c>
    </row>
    <row r="10" spans="1:29" s="1215"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78" t="s">
        <v>532</v>
      </c>
      <c r="Q10" s="3379"/>
      <c r="R10" s="1554" t="s">
        <v>8</v>
      </c>
      <c r="S10" s="1555">
        <f t="shared" si="0"/>
        <v>0</v>
      </c>
      <c r="T10" s="1554" t="s">
        <v>8</v>
      </c>
      <c r="U10" s="1555">
        <f t="shared" si="1"/>
        <v>0</v>
      </c>
      <c r="V10" s="1554" t="s">
        <v>8</v>
      </c>
      <c r="W10" s="1555">
        <f t="shared" si="2"/>
        <v>0</v>
      </c>
      <c r="X10" s="1556"/>
      <c r="Y10" s="3378" t="s">
        <v>532</v>
      </c>
      <c r="Z10" s="3379"/>
      <c r="AA10" s="1557" t="e">
        <f t="shared" ref="AA10:AA42" si="3">D10/F10</f>
        <v>#DIV/0!</v>
      </c>
      <c r="AB10" s="1557" t="e">
        <f t="shared" ref="AB10:AB42" si="4">D10/H10</f>
        <v>#DIV/0!</v>
      </c>
      <c r="AC10" s="1557" t="e">
        <f t="shared" ref="AC10:AC42" si="5">D10/J10</f>
        <v>#DIV/0!</v>
      </c>
    </row>
    <row r="11" spans="1:29" s="1215" customFormat="1" ht="15">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86" t="s">
        <v>534</v>
      </c>
      <c r="Q11" s="1146" t="str">
        <f t="shared" ref="Q11:Q17" si="6">B11</f>
        <v>用途</v>
      </c>
      <c r="R11" s="1554" t="s">
        <v>8</v>
      </c>
      <c r="S11" s="1555">
        <f t="shared" si="0"/>
        <v>100</v>
      </c>
      <c r="T11" s="1554" t="s">
        <v>8</v>
      </c>
      <c r="U11" s="1555">
        <f t="shared" si="1"/>
        <v>100</v>
      </c>
      <c r="V11" s="1554" t="s">
        <v>8</v>
      </c>
      <c r="W11" s="1555">
        <f t="shared" si="2"/>
        <v>100</v>
      </c>
      <c r="X11" s="1556"/>
      <c r="Y11" s="3337" t="s">
        <v>535</v>
      </c>
      <c r="Z11" s="1145" t="str">
        <f t="shared" ref="Z11:Z17" si="7">Q11</f>
        <v>用途</v>
      </c>
      <c r="AA11" s="1557">
        <f t="shared" si="3"/>
        <v>1</v>
      </c>
      <c r="AB11" s="1557">
        <f t="shared" si="4"/>
        <v>1</v>
      </c>
      <c r="AC11" s="1557">
        <f t="shared" si="5"/>
        <v>1</v>
      </c>
    </row>
    <row r="12" spans="1:29" s="1333" customFormat="1" ht="27">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86"/>
      <c r="Q12" s="1146" t="str">
        <f t="shared" si="6"/>
        <v>土地使用年限（年）</v>
      </c>
      <c r="R12" s="1554" t="s">
        <v>8</v>
      </c>
      <c r="S12" s="1555">
        <f t="shared" si="0"/>
        <v>106</v>
      </c>
      <c r="T12" s="1554" t="s">
        <v>8</v>
      </c>
      <c r="U12" s="1555">
        <f t="shared" si="1"/>
        <v>106</v>
      </c>
      <c r="V12" s="1554" t="s">
        <v>8</v>
      </c>
      <c r="W12" s="1555">
        <f t="shared" si="2"/>
        <v>106</v>
      </c>
      <c r="X12" s="1556"/>
      <c r="Y12" s="3337"/>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86"/>
      <c r="Q13" s="1146" t="str">
        <f t="shared" si="6"/>
        <v>容积率</v>
      </c>
      <c r="R13" s="1554" t="s">
        <v>8</v>
      </c>
      <c r="S13" s="1555" t="e">
        <f t="shared" si="0"/>
        <v>#N/A</v>
      </c>
      <c r="T13" s="1554" t="s">
        <v>8</v>
      </c>
      <c r="U13" s="1555" t="e">
        <f t="shared" si="1"/>
        <v>#N/A</v>
      </c>
      <c r="V13" s="1554" t="s">
        <v>8</v>
      </c>
      <c r="W13" s="1555" t="e">
        <f t="shared" si="2"/>
        <v>#N/A</v>
      </c>
      <c r="X13" s="1556"/>
      <c r="Y13" s="3337"/>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86"/>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86"/>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 t="shared" si="3"/>
        <v>1</v>
      </c>
      <c r="AB15" s="1557">
        <f t="shared" si="4"/>
        <v>1</v>
      </c>
      <c r="AC15" s="1557">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86"/>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 t="shared" si="3"/>
        <v>1</v>
      </c>
      <c r="AB16" s="1557">
        <f t="shared" si="4"/>
        <v>1</v>
      </c>
      <c r="AC16" s="1557">
        <f t="shared" si="5"/>
        <v>1</v>
      </c>
    </row>
    <row r="17" spans="1:29" ht="57">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88" t="s">
        <v>539</v>
      </c>
      <c r="Q17" s="1558" t="str">
        <f t="shared" si="6"/>
        <v>产业集聚程度</v>
      </c>
      <c r="R17" s="1559" t="s">
        <v>8</v>
      </c>
      <c r="S17" s="1560">
        <f t="shared" si="0"/>
        <v>100</v>
      </c>
      <c r="T17" s="1559" t="s">
        <v>8</v>
      </c>
      <c r="U17" s="1560">
        <f t="shared" si="1"/>
        <v>100</v>
      </c>
      <c r="V17" s="1559" t="s">
        <v>8</v>
      </c>
      <c r="W17" s="1560">
        <f t="shared" si="2"/>
        <v>100</v>
      </c>
      <c r="X17" s="1553"/>
      <c r="Y17" s="3388"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89"/>
      <c r="Q18" s="1558"/>
      <c r="R18" s="1559"/>
      <c r="S18" s="1560"/>
      <c r="T18" s="1559"/>
      <c r="U18" s="1560"/>
      <c r="V18" s="1559"/>
      <c r="W18" s="1560"/>
      <c r="X18" s="1553"/>
      <c r="Y18" s="3389"/>
      <c r="Z18" s="1561"/>
      <c r="AA18" s="1562">
        <v>1</v>
      </c>
      <c r="AB18" s="1562">
        <v>1</v>
      </c>
      <c r="AC18" s="1562">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89"/>
      <c r="Q19" s="1558" t="str">
        <f>B19</f>
        <v>交通便捷度</v>
      </c>
      <c r="R19" s="1559" t="s">
        <v>8</v>
      </c>
      <c r="S19" s="1560">
        <f>F19</f>
        <v>100</v>
      </c>
      <c r="T19" s="1559" t="s">
        <v>8</v>
      </c>
      <c r="U19" s="1560">
        <f>H19</f>
        <v>100</v>
      </c>
      <c r="V19" s="1559" t="s">
        <v>8</v>
      </c>
      <c r="W19" s="1560">
        <f>J19</f>
        <v>100</v>
      </c>
      <c r="X19" s="1553"/>
      <c r="Y19" s="3389"/>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89"/>
      <c r="Q20" s="1558"/>
      <c r="R20" s="1559"/>
      <c r="S20" s="1560"/>
      <c r="T20" s="1559"/>
      <c r="U20" s="1560"/>
      <c r="V20" s="1559"/>
      <c r="W20" s="1560"/>
      <c r="X20" s="1553"/>
      <c r="Y20" s="3389"/>
      <c r="Z20" s="1561"/>
      <c r="AA20" s="1562">
        <v>1</v>
      </c>
      <c r="AB20" s="1562">
        <v>1</v>
      </c>
      <c r="AC20" s="1562">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89"/>
      <c r="Q21" s="1558" t="str">
        <f t="shared" ref="Q21:Q35" si="8">B21</f>
        <v>区域土地利用方向</v>
      </c>
      <c r="R21" s="1559" t="s">
        <v>8</v>
      </c>
      <c r="S21" s="1560">
        <f>F21</f>
        <v>100</v>
      </c>
      <c r="T21" s="1559" t="s">
        <v>8</v>
      </c>
      <c r="U21" s="1560">
        <f>H21</f>
        <v>100</v>
      </c>
      <c r="V21" s="1559" t="s">
        <v>8</v>
      </c>
      <c r="W21" s="1560">
        <f>J21</f>
        <v>100</v>
      </c>
      <c r="X21" s="1553"/>
      <c r="Y21" s="3389"/>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89"/>
      <c r="Q22" s="1558"/>
      <c r="R22" s="1559"/>
      <c r="S22" s="1560"/>
      <c r="T22" s="1559"/>
      <c r="U22" s="1560"/>
      <c r="V22" s="1559"/>
      <c r="W22" s="1560"/>
      <c r="X22" s="1553"/>
      <c r="Y22" s="3389"/>
      <c r="Z22" s="1561"/>
      <c r="AA22" s="1562"/>
      <c r="AB22" s="1562"/>
      <c r="AC22" s="1562"/>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89"/>
      <c r="Q23" s="1558" t="str">
        <f t="shared" si="8"/>
        <v>环境状况</v>
      </c>
      <c r="R23" s="1559" t="s">
        <v>8</v>
      </c>
      <c r="S23" s="1560">
        <f>F23</f>
        <v>100</v>
      </c>
      <c r="T23" s="1559" t="s">
        <v>8</v>
      </c>
      <c r="U23" s="1560">
        <f>H23</f>
        <v>100</v>
      </c>
      <c r="V23" s="1559" t="s">
        <v>8</v>
      </c>
      <c r="W23" s="1560">
        <f>J23</f>
        <v>100</v>
      </c>
      <c r="X23" s="1553"/>
      <c r="Y23" s="3389"/>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89"/>
      <c r="Q24" s="1558"/>
      <c r="R24" s="1559"/>
      <c r="S24" s="1560"/>
      <c r="T24" s="1559"/>
      <c r="U24" s="1560"/>
      <c r="V24" s="1559"/>
      <c r="W24" s="1560"/>
      <c r="X24" s="1553"/>
      <c r="Y24" s="3389"/>
      <c r="Z24" s="1561"/>
      <c r="AA24" s="1562">
        <v>1</v>
      </c>
      <c r="AB24" s="1562">
        <v>1</v>
      </c>
      <c r="AC24" s="1562">
        <v>1</v>
      </c>
    </row>
    <row r="25" spans="1:29" s="1215" customFormat="1" ht="42.75">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89"/>
      <c r="Q25" s="1146" t="str">
        <f t="shared" si="8"/>
        <v>公共配套设施</v>
      </c>
      <c r="R25" s="1554" t="s">
        <v>8</v>
      </c>
      <c r="S25" s="1555">
        <f>F25</f>
        <v>100</v>
      </c>
      <c r="T25" s="1554" t="s">
        <v>8</v>
      </c>
      <c r="U25" s="1555">
        <f>H25</f>
        <v>100</v>
      </c>
      <c r="V25" s="1554" t="s">
        <v>8</v>
      </c>
      <c r="W25" s="1555">
        <f>J25</f>
        <v>100</v>
      </c>
      <c r="X25" s="1556"/>
      <c r="Y25" s="3389"/>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89"/>
      <c r="Q26" s="1146"/>
      <c r="R26" s="1554"/>
      <c r="S26" s="1555"/>
      <c r="T26" s="1554"/>
      <c r="U26" s="1555"/>
      <c r="V26" s="1554"/>
      <c r="W26" s="1555"/>
      <c r="X26" s="1556"/>
      <c r="Y26" s="3389"/>
      <c r="Z26" s="1145"/>
      <c r="AA26" s="1557">
        <v>1</v>
      </c>
      <c r="AB26" s="1557">
        <v>1</v>
      </c>
      <c r="AC26" s="1557">
        <v>1</v>
      </c>
    </row>
    <row r="27" spans="1:29" s="1215" customFormat="1" ht="28.5">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89"/>
      <c r="Q27" s="2541" t="str">
        <f t="shared" ref="Q27" si="9">B27</f>
        <v>基础设施水平</v>
      </c>
      <c r="R27" s="1554" t="s">
        <v>8</v>
      </c>
      <c r="S27" s="1555">
        <f>F27</f>
        <v>100</v>
      </c>
      <c r="T27" s="1554" t="s">
        <v>8</v>
      </c>
      <c r="U27" s="1555">
        <f>H27</f>
        <v>100</v>
      </c>
      <c r="V27" s="1554" t="s">
        <v>8</v>
      </c>
      <c r="W27" s="1555">
        <f>J27</f>
        <v>100</v>
      </c>
      <c r="X27" s="1556"/>
      <c r="Y27" s="3389"/>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89"/>
      <c r="Q28" s="2541"/>
      <c r="R28" s="1554"/>
      <c r="S28" s="1555"/>
      <c r="T28" s="1554"/>
      <c r="U28" s="1555"/>
      <c r="V28" s="1554"/>
      <c r="W28" s="1555"/>
      <c r="X28" s="1556"/>
      <c r="Y28" s="3389"/>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8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9"/>
      <c r="Z29" s="1561" t="str">
        <f t="shared" ref="Z29:Z42" si="13">Q29</f>
        <v>临街状况</v>
      </c>
      <c r="AA29" s="1562">
        <f t="shared" si="3"/>
        <v>1</v>
      </c>
      <c r="AB29" s="1562">
        <f t="shared" si="4"/>
        <v>1</v>
      </c>
      <c r="AC29" s="1562">
        <f t="shared" si="5"/>
        <v>1</v>
      </c>
    </row>
    <row r="30" spans="1:29" ht="27">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89"/>
      <c r="Q30" s="1558" t="str">
        <f t="shared" si="8"/>
        <v>毗邻道路的类型与等级</v>
      </c>
      <c r="R30" s="1559" t="s">
        <v>8</v>
      </c>
      <c r="S30" s="1560">
        <f t="shared" si="10"/>
        <v>100</v>
      </c>
      <c r="T30" s="1559" t="s">
        <v>8</v>
      </c>
      <c r="U30" s="1560">
        <f t="shared" si="11"/>
        <v>100</v>
      </c>
      <c r="V30" s="1559" t="s">
        <v>8</v>
      </c>
      <c r="W30" s="1560">
        <f t="shared" si="12"/>
        <v>100</v>
      </c>
      <c r="X30" s="1553"/>
      <c r="Y30" s="3389"/>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89"/>
      <c r="Q31" s="1558"/>
      <c r="R31" s="1559"/>
      <c r="S31" s="1560"/>
      <c r="T31" s="1559"/>
      <c r="U31" s="1560"/>
      <c r="V31" s="1559"/>
      <c r="W31" s="1560"/>
      <c r="X31" s="1553"/>
      <c r="Y31" s="3389"/>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89"/>
      <c r="Q32" s="1558" t="str">
        <f t="shared" si="8"/>
        <v>土地级别</v>
      </c>
      <c r="R32" s="1559" t="s">
        <v>8</v>
      </c>
      <c r="S32" s="1560">
        <f t="shared" si="10"/>
        <v>100</v>
      </c>
      <c r="T32" s="1559" t="s">
        <v>8</v>
      </c>
      <c r="U32" s="1560">
        <f t="shared" si="11"/>
        <v>100</v>
      </c>
      <c r="V32" s="1559" t="s">
        <v>8</v>
      </c>
      <c r="W32" s="1560">
        <f t="shared" si="12"/>
        <v>100</v>
      </c>
      <c r="X32" s="1553"/>
      <c r="Y32" s="3389"/>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89"/>
      <c r="Q33" s="1558">
        <f t="shared" si="8"/>
        <v>111</v>
      </c>
      <c r="R33" s="1559" t="s">
        <v>8</v>
      </c>
      <c r="S33" s="1560">
        <f t="shared" si="10"/>
        <v>100</v>
      </c>
      <c r="T33" s="1559" t="s">
        <v>8</v>
      </c>
      <c r="U33" s="1560">
        <f t="shared" si="11"/>
        <v>100</v>
      </c>
      <c r="V33" s="1559" t="s">
        <v>8</v>
      </c>
      <c r="W33" s="1560">
        <f t="shared" si="12"/>
        <v>100</v>
      </c>
      <c r="X33" s="1553"/>
      <c r="Y33" s="3389"/>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90" t="s">
        <v>549</v>
      </c>
      <c r="Q34" s="1558">
        <f t="shared" si="8"/>
        <v>111</v>
      </c>
      <c r="R34" s="1559" t="s">
        <v>8</v>
      </c>
      <c r="S34" s="1560">
        <f t="shared" si="10"/>
        <v>100</v>
      </c>
      <c r="T34" s="1559" t="s">
        <v>8</v>
      </c>
      <c r="U34" s="1560">
        <f t="shared" si="11"/>
        <v>100</v>
      </c>
      <c r="V34" s="1559" t="s">
        <v>8</v>
      </c>
      <c r="W34" s="1560">
        <f t="shared" si="12"/>
        <v>100</v>
      </c>
      <c r="X34" s="1553"/>
      <c r="Y34" s="3391" t="s">
        <v>549</v>
      </c>
      <c r="Z34" s="1561">
        <f t="shared" si="13"/>
        <v>111</v>
      </c>
      <c r="AA34" s="1562">
        <f t="shared" si="3"/>
        <v>1</v>
      </c>
      <c r="AB34" s="1562">
        <f t="shared" si="4"/>
        <v>1</v>
      </c>
      <c r="AC34" s="1562">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91"/>
      <c r="Q35" s="1558">
        <f t="shared" si="8"/>
        <v>111</v>
      </c>
      <c r="R35" s="1563" t="s">
        <v>8</v>
      </c>
      <c r="S35" s="1564">
        <f t="shared" si="10"/>
        <v>100</v>
      </c>
      <c r="T35" s="1563" t="s">
        <v>8</v>
      </c>
      <c r="U35" s="1564">
        <f t="shared" si="11"/>
        <v>100</v>
      </c>
      <c r="V35" s="1563" t="s">
        <v>8</v>
      </c>
      <c r="W35" s="1564">
        <f t="shared" si="12"/>
        <v>100</v>
      </c>
      <c r="X35" s="1565"/>
      <c r="Y35" s="3391"/>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91"/>
      <c r="Q36" s="1558" t="str">
        <f>B36</f>
        <v>宗地面积</v>
      </c>
      <c r="R36" s="1559" t="s">
        <v>8</v>
      </c>
      <c r="S36" s="1560" t="e">
        <f t="shared" si="10"/>
        <v>#N/A</v>
      </c>
      <c r="T36" s="1559" t="s">
        <v>8</v>
      </c>
      <c r="U36" s="1560" t="e">
        <f t="shared" si="11"/>
        <v>#N/A</v>
      </c>
      <c r="V36" s="1559" t="s">
        <v>8</v>
      </c>
      <c r="W36" s="1560" t="e">
        <f t="shared" si="12"/>
        <v>#N/A</v>
      </c>
      <c r="X36" s="1553"/>
      <c r="Y36" s="3391"/>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91"/>
      <c r="Q37" s="1558" t="str">
        <f t="shared" ref="Q37:Q42" si="14">B37</f>
        <v>宗地形状</v>
      </c>
      <c r="R37" s="1559" t="s">
        <v>8</v>
      </c>
      <c r="S37" s="1560">
        <f t="shared" si="10"/>
        <v>100</v>
      </c>
      <c r="T37" s="1559" t="s">
        <v>8</v>
      </c>
      <c r="U37" s="1560">
        <f t="shared" si="11"/>
        <v>100</v>
      </c>
      <c r="V37" s="1559" t="s">
        <v>8</v>
      </c>
      <c r="W37" s="1560">
        <f t="shared" si="12"/>
        <v>100</v>
      </c>
      <c r="X37" s="1553"/>
      <c r="Y37" s="3391"/>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91"/>
      <c r="Q38" s="1558" t="str">
        <f t="shared" si="14"/>
        <v>宗地开发程度</v>
      </c>
      <c r="R38" s="1554" t="s">
        <v>8</v>
      </c>
      <c r="S38" s="1555">
        <f t="shared" si="10"/>
        <v>100</v>
      </c>
      <c r="T38" s="1554" t="s">
        <v>8</v>
      </c>
      <c r="U38" s="1555">
        <f t="shared" si="11"/>
        <v>100</v>
      </c>
      <c r="V38" s="1554" t="s">
        <v>8</v>
      </c>
      <c r="W38" s="1555">
        <f t="shared" si="12"/>
        <v>100</v>
      </c>
      <c r="X38" s="1556"/>
      <c r="Y38" s="3391"/>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1" t="s">
        <v>600</v>
      </c>
      <c r="Q39" s="1558" t="str">
        <f t="shared" si="14"/>
        <v>工程地质条件</v>
      </c>
      <c r="R39" s="1559" t="s">
        <v>8</v>
      </c>
      <c r="S39" s="1560">
        <f t="shared" si="10"/>
        <v>100</v>
      </c>
      <c r="T39" s="1559" t="s">
        <v>8</v>
      </c>
      <c r="U39" s="1560">
        <f t="shared" si="11"/>
        <v>100</v>
      </c>
      <c r="V39" s="1559" t="s">
        <v>8</v>
      </c>
      <c r="W39" s="1560">
        <f t="shared" si="12"/>
        <v>100</v>
      </c>
      <c r="X39" s="1553"/>
      <c r="Y39" s="3391"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91"/>
      <c r="Q40" s="1558">
        <f t="shared" si="14"/>
        <v>111</v>
      </c>
      <c r="R40" s="1559" t="s">
        <v>8</v>
      </c>
      <c r="S40" s="1560">
        <f t="shared" si="10"/>
        <v>100</v>
      </c>
      <c r="T40" s="1559" t="s">
        <v>8</v>
      </c>
      <c r="U40" s="1560">
        <f t="shared" si="11"/>
        <v>100</v>
      </c>
      <c r="V40" s="1559" t="s">
        <v>8</v>
      </c>
      <c r="W40" s="1560">
        <f t="shared" si="12"/>
        <v>100</v>
      </c>
      <c r="X40" s="1553"/>
      <c r="Y40" s="3391"/>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91"/>
      <c r="Q41" s="1558">
        <f t="shared" si="14"/>
        <v>111</v>
      </c>
      <c r="R41" s="1559" t="s">
        <v>8</v>
      </c>
      <c r="S41" s="1560">
        <f t="shared" si="10"/>
        <v>100</v>
      </c>
      <c r="T41" s="1559" t="s">
        <v>8</v>
      </c>
      <c r="U41" s="1560">
        <f t="shared" si="11"/>
        <v>100</v>
      </c>
      <c r="V41" s="1559" t="s">
        <v>8</v>
      </c>
      <c r="W41" s="1560">
        <f t="shared" si="12"/>
        <v>100</v>
      </c>
      <c r="X41" s="1553"/>
      <c r="Y41" s="3391"/>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91"/>
      <c r="Q42" s="1558">
        <f t="shared" si="14"/>
        <v>111</v>
      </c>
      <c r="R42" s="1563" t="s">
        <v>8</v>
      </c>
      <c r="S42" s="1564">
        <f t="shared" si="10"/>
        <v>100</v>
      </c>
      <c r="T42" s="1563" t="s">
        <v>8</v>
      </c>
      <c r="U42" s="1564">
        <f t="shared" si="11"/>
        <v>100</v>
      </c>
      <c r="V42" s="1563" t="s">
        <v>8</v>
      </c>
      <c r="W42" s="1564">
        <f t="shared" si="12"/>
        <v>100</v>
      </c>
      <c r="X42" s="1565"/>
      <c r="Y42" s="3391"/>
      <c r="Z42" s="1566">
        <f t="shared" si="13"/>
        <v>111</v>
      </c>
      <c r="AA42" s="1562">
        <f t="shared" si="3"/>
        <v>1</v>
      </c>
      <c r="AB42" s="1562">
        <f t="shared" si="4"/>
        <v>1</v>
      </c>
      <c r="AC42" s="1562">
        <f t="shared" si="5"/>
        <v>1</v>
      </c>
    </row>
    <row r="43" spans="1:29" ht="15">
      <c r="A43" s="606" t="s">
        <v>555</v>
      </c>
      <c r="B43" s="607" t="s">
        <v>2924</v>
      </c>
      <c r="C43" s="608" t="s">
        <v>1</v>
      </c>
      <c r="D43" s="609"/>
      <c r="E43" s="610"/>
      <c r="F43" s="611"/>
      <c r="G43" s="612"/>
      <c r="H43" s="613"/>
      <c r="I43" s="610"/>
      <c r="J43" s="613"/>
      <c r="K43" s="1335"/>
      <c r="L43" s="2128"/>
      <c r="M43" s="2118"/>
      <c r="N43" s="2118"/>
      <c r="O43" s="2129"/>
      <c r="P43" s="3386" t="str">
        <f>A43</f>
        <v>成交单价</v>
      </c>
      <c r="Q43" s="3386"/>
      <c r="R43" s="3400">
        <f>E43</f>
        <v>0</v>
      </c>
      <c r="S43" s="3400"/>
      <c r="T43" s="3400">
        <f>G43</f>
        <v>0</v>
      </c>
      <c r="U43" s="3400"/>
      <c r="V43" s="3400">
        <f>I43</f>
        <v>0</v>
      </c>
      <c r="W43" s="3400"/>
      <c r="X43" s="1545"/>
      <c r="Y43" s="1567"/>
      <c r="Z43" s="1545"/>
      <c r="AA43" s="1545"/>
      <c r="AB43" s="1545"/>
      <c r="AC43" s="1545"/>
    </row>
    <row r="44" spans="1:29" ht="15.7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86" t="str">
        <f>A44</f>
        <v>比较价格（元/平方米）</v>
      </c>
      <c r="Q44" s="3386"/>
      <c r="R44" s="3410" t="e">
        <f>ROUND(PRODUCT(R43,AA9:AA42),0)</f>
        <v>#DIV/0!</v>
      </c>
      <c r="S44" s="3410"/>
      <c r="T44" s="3410" t="e">
        <f>ROUND(PRODUCT(T43,AB9:AB42),0)</f>
        <v>#DIV/0!</v>
      </c>
      <c r="U44" s="3410"/>
      <c r="V44" s="3410" t="e">
        <f>ROUND(PRODUCT(V43,AC9:AC42),0)</f>
        <v>#DIV/0!</v>
      </c>
      <c r="W44" s="3410"/>
      <c r="X44" s="1545"/>
      <c r="Y44" s="1545"/>
      <c r="Z44" s="1545"/>
      <c r="AA44" s="1545"/>
      <c r="AB44" s="1545"/>
      <c r="AC44" s="1545"/>
    </row>
    <row r="45" spans="1:29" ht="15.75" thickBot="1">
      <c r="A45" s="620" t="s">
        <v>2925</v>
      </c>
      <c r="B45" s="621"/>
      <c r="C45" s="622" t="e">
        <f>R45</f>
        <v>#DIV/0!</v>
      </c>
      <c r="D45" s="622"/>
      <c r="E45" s="622"/>
      <c r="F45" s="622"/>
      <c r="G45" s="622"/>
      <c r="H45" s="622"/>
      <c r="I45" s="622"/>
      <c r="J45" s="622"/>
      <c r="K45" s="1337"/>
      <c r="L45" s="2128"/>
      <c r="M45" s="2118"/>
      <c r="N45" s="2118"/>
      <c r="O45" s="2129"/>
      <c r="P45" s="3407" t="str">
        <f>A45</f>
        <v>估价对象XX用房的比较价格（楼面单价，元/平方米）</v>
      </c>
      <c r="Q45" s="3408"/>
      <c r="R45" s="3409" t="e">
        <f>ROUND(AVERAGE(R44:V44),0)</f>
        <v>#DIV/0!</v>
      </c>
      <c r="S45" s="3409"/>
      <c r="T45" s="3409"/>
      <c r="U45" s="3409"/>
      <c r="V45" s="3409"/>
      <c r="W45" s="3409"/>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6" t="s">
        <v>1722</v>
      </c>
      <c r="D52" s="2211" t="s">
        <v>2287</v>
      </c>
      <c r="E52" s="630" t="s">
        <v>561</v>
      </c>
      <c r="F52" s="1935" t="s">
        <v>562</v>
      </c>
      <c r="G52" s="3411" t="s">
        <v>2278</v>
      </c>
      <c r="H52" s="3412"/>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563</v>
      </c>
      <c r="B53" s="633" t="e">
        <f>C45</f>
        <v>#DIV/0!</v>
      </c>
      <c r="C53" s="634">
        <v>1</v>
      </c>
      <c r="D53" s="2212">
        <v>1</v>
      </c>
      <c r="E53" s="634">
        <f>'数据-汇总表'!E8+'数据-汇总表'!E9</f>
        <v>161324.57999999999</v>
      </c>
      <c r="F53" s="1934" t="e">
        <f t="shared" ref="F53:F62" si="15">ROUND(B53*E53/10000,0)</f>
        <v>#DIV/0!</v>
      </c>
      <c r="G53" s="3413"/>
      <c r="H53" s="3414"/>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564</v>
      </c>
      <c r="B54" s="637" t="e">
        <f>ROUND($C$45*C54*D54,0)</f>
        <v>#DIV/0!</v>
      </c>
      <c r="C54" s="377">
        <f t="shared" ref="C54:C62" si="16">IF($C$52="北京市系数",I54,J54)</f>
        <v>0</v>
      </c>
      <c r="D54" s="2213">
        <v>0.25</v>
      </c>
      <c r="E54" s="638"/>
      <c r="F54" s="1934" t="e">
        <f t="shared" si="15"/>
        <v>#DIV/0!</v>
      </c>
      <c r="G54" s="3415"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565</v>
      </c>
      <c r="B55" s="637" t="e">
        <f t="shared" ref="B55:B62" si="17">ROUND($C$45*C55*D55,0)</f>
        <v>#DIV/0!</v>
      </c>
      <c r="C55" s="377">
        <f t="shared" si="16"/>
        <v>0</v>
      </c>
      <c r="D55" s="2213">
        <v>0.25</v>
      </c>
      <c r="E55" s="638"/>
      <c r="F55" s="1934" t="e">
        <f t="shared" si="15"/>
        <v>#DIV/0!</v>
      </c>
      <c r="G55" s="3415"/>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566</v>
      </c>
      <c r="B56" s="637" t="e">
        <f t="shared" si="17"/>
        <v>#DIV/0!</v>
      </c>
      <c r="C56" s="377">
        <f t="shared" si="16"/>
        <v>0</v>
      </c>
      <c r="D56" s="2213">
        <v>0.25</v>
      </c>
      <c r="E56" s="638"/>
      <c r="F56" s="1934" t="e">
        <f t="shared" si="15"/>
        <v>#DIV/0!</v>
      </c>
      <c r="G56" s="3415"/>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567</v>
      </c>
      <c r="B57" s="637" t="e">
        <f t="shared" si="17"/>
        <v>#DIV/0!</v>
      </c>
      <c r="C57" s="377">
        <f t="shared" si="16"/>
        <v>0</v>
      </c>
      <c r="D57" s="2213">
        <v>0.25</v>
      </c>
      <c r="E57" s="638"/>
      <c r="F57" s="1934" t="e">
        <f t="shared" si="15"/>
        <v>#DIV/0!</v>
      </c>
      <c r="G57" s="3415"/>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5">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18"/>
  <sheetViews>
    <sheetView zoomScale="80" zoomScaleNormal="80" workbookViewId="0">
      <selection activeCell="C89" sqref="C89:G96"/>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3"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24"/>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34" t="s">
        <v>2776</v>
      </c>
      <c r="X8" s="3435"/>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4"/>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33"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4"/>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3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4"/>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33"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3"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33"/>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5"/>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3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5"/>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6"/>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3" t="s">
        <v>1836</v>
      </c>
      <c r="B16" s="1423" t="s">
        <v>949</v>
      </c>
      <c r="C16" s="1051" t="e">
        <f>ROUND(IF(F17="与级别开发程度一致",0,(G17-E17)/C17),0)</f>
        <v>#DIV/0!</v>
      </c>
      <c r="D16" s="3441" t="s">
        <v>953</v>
      </c>
      <c r="E16" s="3442"/>
      <c r="F16" s="3441" t="s">
        <v>950</v>
      </c>
      <c r="G16" s="3442"/>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7"/>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2980</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25">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7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30" t="s">
        <v>2950</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3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3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3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5" t="s">
        <v>2974</v>
      </c>
      <c r="C41" s="838" t="e">
        <f>ROUND(POWER(1+E41,H41-G41)*(POWER(1+E41,G41)-1)/(POWER(1+E41,H41)-1),4)</f>
        <v>#DIV/0!</v>
      </c>
      <c r="D41" s="377" t="s">
        <v>2972</v>
      </c>
      <c r="E41" s="3144">
        <f>G20</f>
        <v>0</v>
      </c>
      <c r="F41" s="377" t="s">
        <v>2973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14.25">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2" t="s">
        <v>1022</v>
      </c>
      <c r="B50" s="3047" t="s">
        <v>2927</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2" t="s">
        <v>1024</v>
      </c>
      <c r="B52" s="3046" t="s">
        <v>2926</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14.25">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2" t="s">
        <v>1022</v>
      </c>
      <c r="B61" s="3047" t="s">
        <v>2928</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2" t="s">
        <v>1024</v>
      </c>
      <c r="B63" s="3046" t="s">
        <v>2926</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14.25">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2" t="s">
        <v>1024</v>
      </c>
      <c r="B75" s="3046" t="s">
        <v>2926</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1024</v>
      </c>
      <c r="B86" s="3046" t="s">
        <v>2926</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8" t="s">
        <v>1632</v>
      </c>
      <c r="B90" s="3428"/>
      <c r="C90" s="3428"/>
      <c r="D90" s="3428"/>
      <c r="E90" s="3428"/>
      <c r="F90" s="3428"/>
      <c r="G90" s="3428"/>
      <c r="H90" s="3428"/>
      <c r="I90" s="3428"/>
      <c r="J90" s="3428"/>
      <c r="K90" s="2413"/>
      <c r="L90" s="2413"/>
      <c r="M90" s="2413"/>
      <c r="N90" s="2413"/>
    </row>
    <row r="91" spans="1:40">
      <c r="A91" s="3429" t="s">
        <v>1442</v>
      </c>
      <c r="B91" s="3429" t="s">
        <v>1633</v>
      </c>
      <c r="C91" s="1135" t="s">
        <v>1634</v>
      </c>
      <c r="D91" s="1136"/>
      <c r="E91" s="1136"/>
      <c r="F91" s="1136"/>
      <c r="G91" s="1136"/>
      <c r="H91" s="1136"/>
      <c r="I91" s="1136"/>
      <c r="J91" s="1137"/>
      <c r="K91" s="1129"/>
      <c r="L91" s="1129"/>
      <c r="M91" s="1129"/>
      <c r="N91" s="1129"/>
    </row>
    <row r="92" spans="1:40">
      <c r="A92" s="3429"/>
      <c r="B92" s="3429"/>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6"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7"/>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6"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7"/>
      <c r="B108" s="3439"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8"/>
      <c r="B109" s="344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1638</v>
      </c>
      <c r="B110" s="3422"/>
      <c r="C110" s="3422"/>
      <c r="D110" s="3422"/>
      <c r="E110" s="3422"/>
      <c r="F110" s="3422"/>
      <c r="G110" s="3422"/>
      <c r="H110" s="3422"/>
      <c r="I110" s="3422"/>
      <c r="J110" s="3422"/>
      <c r="K110" s="2411"/>
      <c r="L110" s="2411"/>
      <c r="M110" s="2411"/>
      <c r="N110" s="2411"/>
    </row>
    <row r="112" spans="1:14" ht="12.75" thickBot="1"/>
    <row r="113" spans="1:13" ht="25.5"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2977</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29" t="s">
        <v>1006</v>
      </c>
      <c r="B18" s="1149" t="s">
        <v>1445</v>
      </c>
      <c r="C18" s="1126" t="s">
        <v>1446</v>
      </c>
      <c r="D18" s="1127"/>
      <c r="E18" s="1149">
        <v>1</v>
      </c>
      <c r="F18" s="1128" t="s">
        <v>1447</v>
      </c>
      <c r="G18" s="1129"/>
      <c r="H18" s="1100"/>
      <c r="I18" s="1100"/>
    </row>
    <row r="19" spans="1:9" s="1584" customFormat="1" ht="19.5" customHeight="1">
      <c r="A19" s="3429"/>
      <c r="B19" s="3429" t="s">
        <v>1448</v>
      </c>
      <c r="C19" s="1126" t="s">
        <v>1449</v>
      </c>
      <c r="D19" s="1127"/>
      <c r="E19" s="1149">
        <v>0.9</v>
      </c>
      <c r="F19" s="1128" t="s">
        <v>1450</v>
      </c>
      <c r="G19" s="1129"/>
      <c r="H19" s="1100"/>
      <c r="I19" s="1100"/>
    </row>
    <row r="20" spans="1:9" s="1584" customFormat="1" ht="19.5" customHeight="1">
      <c r="A20" s="3429"/>
      <c r="B20" s="3429"/>
      <c r="C20" s="1126" t="s">
        <v>1451</v>
      </c>
      <c r="D20" s="1127"/>
      <c r="E20" s="1149">
        <v>1.1000000000000001</v>
      </c>
      <c r="F20" s="1128" t="s">
        <v>1452</v>
      </c>
      <c r="G20" s="1129"/>
      <c r="H20" s="1100"/>
      <c r="I20" s="1100"/>
    </row>
    <row r="21" spans="1:9" s="1584" customFormat="1" ht="19.5" customHeight="1">
      <c r="A21" s="3429"/>
      <c r="B21" s="3429"/>
      <c r="C21" s="1126" t="s">
        <v>1453</v>
      </c>
      <c r="D21" s="1127"/>
      <c r="E21" s="1149">
        <v>0.8</v>
      </c>
      <c r="F21" s="1128" t="s">
        <v>1454</v>
      </c>
      <c r="G21" s="1129"/>
      <c r="H21" s="1100"/>
      <c r="I21" s="1100"/>
    </row>
    <row r="22" spans="1:9" s="1584" customFormat="1" ht="19.5" customHeight="1">
      <c r="A22" s="3429"/>
      <c r="B22" s="3429"/>
      <c r="C22" s="1126" t="s">
        <v>1455</v>
      </c>
      <c r="D22" s="1127"/>
      <c r="E22" s="1149">
        <v>0.5</v>
      </c>
      <c r="F22" s="1128"/>
      <c r="G22" s="1129"/>
      <c r="H22" s="1100"/>
      <c r="I22" s="1100"/>
    </row>
    <row r="23" spans="1:9" s="1584" customFormat="1" ht="19.5" customHeight="1">
      <c r="A23" s="3429" t="s">
        <v>1028</v>
      </c>
      <c r="B23" s="1149" t="s">
        <v>1445</v>
      </c>
      <c r="C23" s="1126" t="s">
        <v>1456</v>
      </c>
      <c r="D23" s="1127"/>
      <c r="E23" s="1149">
        <v>1</v>
      </c>
      <c r="F23" s="1128" t="s">
        <v>1457</v>
      </c>
      <c r="G23" s="1129"/>
      <c r="H23" s="1100"/>
      <c r="I23" s="1100"/>
    </row>
    <row r="24" spans="1:9" s="1584" customFormat="1" ht="19.5" customHeight="1">
      <c r="A24" s="3429"/>
      <c r="B24" s="3429" t="s">
        <v>1448</v>
      </c>
      <c r="C24" s="1126" t="s">
        <v>1458</v>
      </c>
      <c r="D24" s="1127"/>
      <c r="E24" s="1149">
        <v>0.5</v>
      </c>
      <c r="F24" s="1128"/>
      <c r="G24" s="1129"/>
      <c r="H24" s="1100"/>
      <c r="I24" s="1100"/>
    </row>
    <row r="25" spans="1:9" s="1584" customFormat="1" ht="19.5" customHeight="1">
      <c r="A25" s="3429"/>
      <c r="B25" s="3429"/>
      <c r="C25" s="1126" t="s">
        <v>1459</v>
      </c>
      <c r="D25" s="1127"/>
      <c r="E25" s="1149">
        <v>1.1000000000000001</v>
      </c>
      <c r="F25" s="1128"/>
      <c r="G25" s="1129"/>
      <c r="H25" s="1100"/>
      <c r="I25" s="1100"/>
    </row>
    <row r="26" spans="1:9" s="1584" customFormat="1" ht="19.5" customHeight="1">
      <c r="A26" s="3429"/>
      <c r="B26" s="3429"/>
      <c r="C26" s="1126" t="s">
        <v>1460</v>
      </c>
      <c r="D26" s="1127"/>
      <c r="E26" s="1149">
        <v>1.1000000000000001</v>
      </c>
      <c r="F26" s="1128"/>
      <c r="G26" s="1129"/>
      <c r="H26" s="1100"/>
      <c r="I26" s="1100"/>
    </row>
    <row r="27" spans="1:9" s="1584" customFormat="1" ht="19.5" customHeight="1">
      <c r="A27" s="3429"/>
      <c r="B27" s="3429"/>
      <c r="C27" s="1126" t="s">
        <v>1461</v>
      </c>
      <c r="D27" s="1127"/>
      <c r="E27" s="1149">
        <v>0.9</v>
      </c>
      <c r="F27" s="1128" t="s">
        <v>1462</v>
      </c>
      <c r="G27" s="1129"/>
      <c r="H27" s="1100"/>
      <c r="I27" s="1100"/>
    </row>
    <row r="28" spans="1:9" s="1584" customFormat="1" ht="19.5" customHeight="1">
      <c r="A28" s="3429"/>
      <c r="B28" s="3429"/>
      <c r="C28" s="1126" t="s">
        <v>1463</v>
      </c>
      <c r="D28" s="1127"/>
      <c r="E28" s="1149">
        <v>0.9</v>
      </c>
      <c r="F28" s="1128" t="s">
        <v>1464</v>
      </c>
      <c r="G28" s="1129"/>
      <c r="H28" s="1100"/>
      <c r="I28" s="1100"/>
    </row>
    <row r="29" spans="1:9" s="1584" customFormat="1" ht="19.5" customHeight="1">
      <c r="A29" s="3429"/>
      <c r="B29" s="3429"/>
      <c r="C29" s="1126" t="s">
        <v>1465</v>
      </c>
      <c r="D29" s="1127"/>
      <c r="E29" s="1149">
        <v>0.9</v>
      </c>
      <c r="F29" s="1128" t="s">
        <v>1466</v>
      </c>
      <c r="G29" s="1129"/>
      <c r="H29" s="1100"/>
      <c r="I29" s="1100"/>
    </row>
    <row r="30" spans="1:9" s="1584" customFormat="1" ht="19.5" customHeight="1">
      <c r="A30" s="3429"/>
      <c r="B30" s="3429"/>
      <c r="C30" s="1126" t="s">
        <v>1467</v>
      </c>
      <c r="D30" s="1127"/>
      <c r="E30" s="1149">
        <v>0.9</v>
      </c>
      <c r="F30" s="1128" t="s">
        <v>1468</v>
      </c>
      <c r="G30" s="1129"/>
      <c r="H30" s="1100"/>
      <c r="I30" s="1100"/>
    </row>
    <row r="31" spans="1:9" s="1584" customFormat="1" ht="19.5" customHeight="1">
      <c r="A31" s="3429"/>
      <c r="B31" s="3429"/>
      <c r="C31" s="1126" t="s">
        <v>1469</v>
      </c>
      <c r="D31" s="1127"/>
      <c r="E31" s="1149">
        <v>0.8</v>
      </c>
      <c r="F31" s="1128" t="s">
        <v>1470</v>
      </c>
      <c r="G31" s="1129"/>
      <c r="H31" s="1100"/>
      <c r="I31" s="1100"/>
    </row>
    <row r="32" spans="1:9" s="1584" customFormat="1" ht="19.5" customHeight="1">
      <c r="A32" s="3429"/>
      <c r="B32" s="3429"/>
      <c r="C32" s="1126" t="s">
        <v>1471</v>
      </c>
      <c r="D32" s="1127"/>
      <c r="E32" s="1149">
        <v>0.8</v>
      </c>
      <c r="F32" s="1128" t="s">
        <v>1472</v>
      </c>
      <c r="G32" s="1129"/>
      <c r="H32" s="1100"/>
      <c r="I32" s="1100"/>
    </row>
    <row r="33" spans="1:9" s="1584" customFormat="1" ht="19.5" customHeight="1">
      <c r="A33" s="3429" t="s">
        <v>1473</v>
      </c>
      <c r="B33" s="1149" t="s">
        <v>1445</v>
      </c>
      <c r="C33" s="1126" t="s">
        <v>1474</v>
      </c>
      <c r="D33" s="1127"/>
      <c r="E33" s="1149">
        <v>1</v>
      </c>
      <c r="F33" s="1128" t="s">
        <v>1475</v>
      </c>
      <c r="G33" s="1129"/>
      <c r="H33" s="1100"/>
      <c r="I33" s="1100"/>
    </row>
    <row r="34" spans="1:9" s="1584" customFormat="1" ht="19.5" customHeight="1">
      <c r="A34" s="3429"/>
      <c r="B34" s="1149" t="s">
        <v>1448</v>
      </c>
      <c r="C34" s="1126" t="s">
        <v>1476</v>
      </c>
      <c r="D34" s="1127"/>
      <c r="E34" s="1149">
        <v>1.5</v>
      </c>
      <c r="F34" s="1128" t="s">
        <v>1477</v>
      </c>
      <c r="G34" s="1129"/>
      <c r="H34" s="1100"/>
      <c r="I34" s="1100"/>
    </row>
    <row r="35" spans="1:9" s="1584" customFormat="1" ht="19.5" customHeight="1">
      <c r="A35" s="3429" t="s">
        <v>1431</v>
      </c>
      <c r="B35" s="1149" t="s">
        <v>1445</v>
      </c>
      <c r="C35" s="1126" t="s">
        <v>1478</v>
      </c>
      <c r="D35" s="1127"/>
      <c r="E35" s="1149">
        <v>1</v>
      </c>
      <c r="F35" s="1128" t="s">
        <v>1479</v>
      </c>
      <c r="G35" s="1129"/>
      <c r="H35" s="1100"/>
      <c r="I35" s="1100"/>
    </row>
    <row r="36" spans="1:9" s="1584" customFormat="1" ht="19.5" customHeight="1">
      <c r="A36" s="3429"/>
      <c r="B36" s="3429" t="s">
        <v>1448</v>
      </c>
      <c r="C36" s="1126" t="s">
        <v>1480</v>
      </c>
      <c r="D36" s="1127"/>
      <c r="E36" s="1149">
        <v>1</v>
      </c>
      <c r="F36" s="1128" t="s">
        <v>1481</v>
      </c>
      <c r="G36" s="1129"/>
      <c r="H36" s="1100"/>
      <c r="I36" s="1100"/>
    </row>
    <row r="37" spans="1:9" s="1584" customFormat="1" ht="19.5" customHeight="1">
      <c r="A37" s="3429"/>
      <c r="B37" s="3429"/>
      <c r="C37" s="1126" t="s">
        <v>1482</v>
      </c>
      <c r="D37" s="1127"/>
      <c r="E37" s="1149">
        <v>1.5</v>
      </c>
      <c r="F37" s="1128" t="s">
        <v>1483</v>
      </c>
      <c r="G37" s="1129"/>
      <c r="H37" s="1100"/>
      <c r="I37" s="1100"/>
    </row>
    <row r="38" spans="1:9" s="1584" customFormat="1" ht="19.5" customHeight="1">
      <c r="A38" s="3429"/>
      <c r="B38" s="3429"/>
      <c r="C38" s="1126" t="s">
        <v>1484</v>
      </c>
      <c r="D38" s="1127"/>
      <c r="E38" s="1149">
        <v>1</v>
      </c>
      <c r="F38" s="1128" t="s">
        <v>1485</v>
      </c>
      <c r="G38" s="1129"/>
      <c r="H38" s="1100"/>
      <c r="I38" s="1100"/>
    </row>
    <row r="39" spans="1:9" s="1584" customFormat="1" ht="19.5" customHeight="1">
      <c r="A39" s="3429"/>
      <c r="B39" s="342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29" t="s">
        <v>1500</v>
      </c>
      <c r="C61" s="1063" t="s">
        <v>1501</v>
      </c>
      <c r="D61" s="1063" t="s">
        <v>1502</v>
      </c>
      <c r="E61" s="1134">
        <v>0.5</v>
      </c>
      <c r="F61" s="1149">
        <v>80</v>
      </c>
      <c r="H61" s="1100">
        <f>SUMIF(C59:C119,基准地价!C8,E59:E119)</f>
        <v>0</v>
      </c>
    </row>
    <row r="62" spans="1:8" s="1100" customFormat="1" ht="24">
      <c r="A62" s="1149">
        <v>2</v>
      </c>
      <c r="B62" s="3429"/>
      <c r="C62" s="1063" t="s">
        <v>1503</v>
      </c>
      <c r="D62" s="1063" t="s">
        <v>1504</v>
      </c>
      <c r="E62" s="1134">
        <v>0.5</v>
      </c>
      <c r="F62" s="1149">
        <v>80</v>
      </c>
    </row>
    <row r="63" spans="1:8" s="1100" customFormat="1" ht="36">
      <c r="A63" s="1149">
        <v>3</v>
      </c>
      <c r="B63" s="3429"/>
      <c r="C63" s="1063" t="s">
        <v>1505</v>
      </c>
      <c r="D63" s="1063" t="s">
        <v>1506</v>
      </c>
      <c r="E63" s="1134">
        <v>0.5</v>
      </c>
      <c r="F63" s="1149">
        <v>80</v>
      </c>
    </row>
    <row r="64" spans="1:8" s="1100" customFormat="1" ht="36">
      <c r="A64" s="1149">
        <v>4</v>
      </c>
      <c r="B64" s="3429"/>
      <c r="C64" s="1063" t="s">
        <v>1507</v>
      </c>
      <c r="D64" s="1063" t="s">
        <v>1508</v>
      </c>
      <c r="E64" s="1134">
        <v>0.4</v>
      </c>
      <c r="F64" s="1149">
        <v>60</v>
      </c>
    </row>
    <row r="65" spans="1:6" s="1100" customFormat="1" ht="36">
      <c r="A65" s="1149">
        <v>5</v>
      </c>
      <c r="B65" s="3429"/>
      <c r="C65" s="1063" t="s">
        <v>1509</v>
      </c>
      <c r="D65" s="1063" t="s">
        <v>1510</v>
      </c>
      <c r="E65" s="1134">
        <v>0.2</v>
      </c>
      <c r="F65" s="1149">
        <v>30</v>
      </c>
    </row>
    <row r="66" spans="1:6" s="1100" customFormat="1" ht="36">
      <c r="A66" s="1149">
        <v>6</v>
      </c>
      <c r="B66" s="3429"/>
      <c r="C66" s="1063" t="s">
        <v>1511</v>
      </c>
      <c r="D66" s="1063" t="s">
        <v>1512</v>
      </c>
      <c r="E66" s="1134">
        <v>0.3</v>
      </c>
      <c r="F66" s="1149">
        <v>50</v>
      </c>
    </row>
    <row r="67" spans="1:6" s="1100" customFormat="1" ht="36">
      <c r="A67" s="1149">
        <v>7</v>
      </c>
      <c r="B67" s="3429"/>
      <c r="C67" s="1063" t="s">
        <v>1513</v>
      </c>
      <c r="D67" s="1063" t="s">
        <v>1514</v>
      </c>
      <c r="E67" s="1134">
        <v>0.2</v>
      </c>
      <c r="F67" s="1149">
        <v>30</v>
      </c>
    </row>
    <row r="68" spans="1:6" s="1100" customFormat="1" ht="36">
      <c r="A68" s="1149">
        <v>8</v>
      </c>
      <c r="B68" s="3429"/>
      <c r="C68" s="1063" t="s">
        <v>1515</v>
      </c>
      <c r="D68" s="1063" t="s">
        <v>1516</v>
      </c>
      <c r="E68" s="1134">
        <v>0.2</v>
      </c>
      <c r="F68" s="1149">
        <v>30</v>
      </c>
    </row>
    <row r="69" spans="1:6" s="1100" customFormat="1" ht="36">
      <c r="A69" s="1149">
        <v>9</v>
      </c>
      <c r="B69" s="3429"/>
      <c r="C69" s="1063" t="s">
        <v>1517</v>
      </c>
      <c r="D69" s="1063" t="s">
        <v>1518</v>
      </c>
      <c r="E69" s="1134">
        <v>0.2</v>
      </c>
      <c r="F69" s="1149">
        <v>30</v>
      </c>
    </row>
    <row r="70" spans="1:6" s="1100" customFormat="1" ht="48">
      <c r="A70" s="1149">
        <v>10</v>
      </c>
      <c r="B70" s="3429"/>
      <c r="C70" s="1063" t="s">
        <v>1519</v>
      </c>
      <c r="D70" s="1063" t="s">
        <v>1520</v>
      </c>
      <c r="E70" s="1134">
        <v>0.2</v>
      </c>
      <c r="F70" s="1149">
        <v>30</v>
      </c>
    </row>
    <row r="71" spans="1:6" s="1100" customFormat="1" ht="48">
      <c r="A71" s="1149">
        <v>11</v>
      </c>
      <c r="B71" s="3429"/>
      <c r="C71" s="1063" t="s">
        <v>1521</v>
      </c>
      <c r="D71" s="1063" t="s">
        <v>1522</v>
      </c>
      <c r="E71" s="1134">
        <v>0.2</v>
      </c>
      <c r="F71" s="1149">
        <v>30</v>
      </c>
    </row>
    <row r="72" spans="1:6" s="1100" customFormat="1" ht="36">
      <c r="A72" s="1149">
        <v>12</v>
      </c>
      <c r="B72" s="3429"/>
      <c r="C72" s="1063" t="s">
        <v>1523</v>
      </c>
      <c r="D72" s="1063" t="s">
        <v>1524</v>
      </c>
      <c r="E72" s="1134">
        <v>0.5</v>
      </c>
      <c r="F72" s="1149">
        <v>80</v>
      </c>
    </row>
    <row r="73" spans="1:6" s="1100" customFormat="1" ht="24">
      <c r="A73" s="1149">
        <v>13</v>
      </c>
      <c r="B73" s="3429"/>
      <c r="C73" s="1063" t="s">
        <v>1525</v>
      </c>
      <c r="D73" s="1063" t="s">
        <v>1526</v>
      </c>
      <c r="E73" s="1134">
        <v>0.4</v>
      </c>
      <c r="F73" s="1149">
        <v>60</v>
      </c>
    </row>
    <row r="74" spans="1:6" s="1100" customFormat="1" ht="24">
      <c r="A74" s="1149">
        <v>14</v>
      </c>
      <c r="B74" s="3429"/>
      <c r="C74" s="1063" t="s">
        <v>1527</v>
      </c>
      <c r="D74" s="1063" t="s">
        <v>1528</v>
      </c>
      <c r="E74" s="1134">
        <v>0.2</v>
      </c>
      <c r="F74" s="1149">
        <v>30</v>
      </c>
    </row>
    <row r="75" spans="1:6" s="1100" customFormat="1" ht="24">
      <c r="A75" s="1149">
        <v>15</v>
      </c>
      <c r="B75" s="3429"/>
      <c r="C75" s="1063" t="s">
        <v>1529</v>
      </c>
      <c r="D75" s="1063" t="s">
        <v>1530</v>
      </c>
      <c r="E75" s="1134">
        <v>0.2</v>
      </c>
      <c r="F75" s="1149">
        <v>30</v>
      </c>
    </row>
    <row r="76" spans="1:6" s="1100" customFormat="1" ht="24">
      <c r="A76" s="1149">
        <v>16</v>
      </c>
      <c r="B76" s="3429" t="s">
        <v>1531</v>
      </c>
      <c r="C76" s="1063" t="s">
        <v>1532</v>
      </c>
      <c r="D76" s="1063" t="s">
        <v>1533</v>
      </c>
      <c r="E76" s="1134">
        <v>0.5</v>
      </c>
      <c r="F76" s="1149">
        <v>80</v>
      </c>
    </row>
    <row r="77" spans="1:6" s="1100" customFormat="1" ht="24">
      <c r="A77" s="1149">
        <v>17</v>
      </c>
      <c r="B77" s="3429"/>
      <c r="C77" s="1063" t="s">
        <v>1534</v>
      </c>
      <c r="D77" s="1063" t="s">
        <v>1535</v>
      </c>
      <c r="E77" s="1134">
        <v>0.5</v>
      </c>
      <c r="F77" s="1149">
        <v>80</v>
      </c>
    </row>
    <row r="78" spans="1:6" s="1100" customFormat="1" ht="24">
      <c r="A78" s="1149">
        <v>18</v>
      </c>
      <c r="B78" s="3429"/>
      <c r="C78" s="1063" t="s">
        <v>1536</v>
      </c>
      <c r="D78" s="1063" t="s">
        <v>1537</v>
      </c>
      <c r="E78" s="1134">
        <v>0.2</v>
      </c>
      <c r="F78" s="1149">
        <v>30</v>
      </c>
    </row>
    <row r="79" spans="1:6" s="1100" customFormat="1" ht="24">
      <c r="A79" s="1149">
        <v>19</v>
      </c>
      <c r="B79" s="3429"/>
      <c r="C79" s="1063" t="s">
        <v>1538</v>
      </c>
      <c r="D79" s="1063" t="s">
        <v>1539</v>
      </c>
      <c r="E79" s="1134">
        <v>0.5</v>
      </c>
      <c r="F79" s="1149">
        <v>80</v>
      </c>
    </row>
    <row r="80" spans="1:6" s="1100" customFormat="1" ht="36">
      <c r="A80" s="1149">
        <v>20</v>
      </c>
      <c r="B80" s="3429"/>
      <c r="C80" s="1063" t="s">
        <v>1540</v>
      </c>
      <c r="D80" s="1063" t="s">
        <v>1541</v>
      </c>
      <c r="E80" s="1134">
        <v>0.2</v>
      </c>
      <c r="F80" s="1149">
        <v>30</v>
      </c>
    </row>
    <row r="81" spans="1:6" s="1100" customFormat="1" ht="36">
      <c r="A81" s="1149">
        <v>21</v>
      </c>
      <c r="B81" s="3429"/>
      <c r="C81" s="1063" t="s">
        <v>1542</v>
      </c>
      <c r="D81" s="1063" t="s">
        <v>1543</v>
      </c>
      <c r="E81" s="1134">
        <v>0.2</v>
      </c>
      <c r="F81" s="1149">
        <v>30</v>
      </c>
    </row>
    <row r="82" spans="1:6" s="1100" customFormat="1" ht="48">
      <c r="A82" s="1149">
        <v>22</v>
      </c>
      <c r="B82" s="3429"/>
      <c r="C82" s="1063" t="s">
        <v>1544</v>
      </c>
      <c r="D82" s="1063" t="s">
        <v>1545</v>
      </c>
      <c r="E82" s="1134">
        <v>0.2</v>
      </c>
      <c r="F82" s="1149">
        <v>30</v>
      </c>
    </row>
    <row r="83" spans="1:6" s="1100" customFormat="1" ht="48">
      <c r="A83" s="1149">
        <v>23</v>
      </c>
      <c r="B83" s="3429"/>
      <c r="C83" s="1063" t="s">
        <v>1546</v>
      </c>
      <c r="D83" s="1063" t="s">
        <v>1547</v>
      </c>
      <c r="E83" s="1134">
        <v>0.2</v>
      </c>
      <c r="F83" s="1149">
        <v>30</v>
      </c>
    </row>
    <row r="84" spans="1:6" s="1100" customFormat="1" ht="36">
      <c r="A84" s="1149">
        <v>24</v>
      </c>
      <c r="B84" s="3429"/>
      <c r="C84" s="1063" t="s">
        <v>1548</v>
      </c>
      <c r="D84" s="1063" t="s">
        <v>1549</v>
      </c>
      <c r="E84" s="1134">
        <v>0.2</v>
      </c>
      <c r="F84" s="1149">
        <v>30</v>
      </c>
    </row>
    <row r="85" spans="1:6" s="1100" customFormat="1" ht="36">
      <c r="A85" s="1149">
        <v>25</v>
      </c>
      <c r="B85" s="3429"/>
      <c r="C85" s="1063" t="s">
        <v>1550</v>
      </c>
      <c r="D85" s="1063" t="s">
        <v>1551</v>
      </c>
      <c r="E85" s="1134">
        <v>0.5</v>
      </c>
      <c r="F85" s="1149">
        <v>80</v>
      </c>
    </row>
    <row r="86" spans="1:6" s="1100" customFormat="1" ht="36">
      <c r="A86" s="1149">
        <v>26</v>
      </c>
      <c r="B86" s="3429"/>
      <c r="C86" s="1063" t="s">
        <v>1552</v>
      </c>
      <c r="D86" s="1063" t="s">
        <v>1553</v>
      </c>
      <c r="E86" s="1134">
        <v>0.2</v>
      </c>
      <c r="F86" s="1149">
        <v>30</v>
      </c>
    </row>
    <row r="87" spans="1:6" s="1100" customFormat="1" ht="36">
      <c r="A87" s="1149">
        <v>27</v>
      </c>
      <c r="B87" s="3429"/>
      <c r="C87" s="1063" t="s">
        <v>1554</v>
      </c>
      <c r="D87" s="1063" t="s">
        <v>1555</v>
      </c>
      <c r="E87" s="1134">
        <v>0.2</v>
      </c>
      <c r="F87" s="1149">
        <v>30</v>
      </c>
    </row>
    <row r="88" spans="1:6" s="1100" customFormat="1" ht="36">
      <c r="A88" s="1149">
        <v>28</v>
      </c>
      <c r="B88" s="3429"/>
      <c r="C88" s="1063" t="s">
        <v>1556</v>
      </c>
      <c r="D88" s="1063" t="s">
        <v>1557</v>
      </c>
      <c r="E88" s="1134">
        <v>0.2</v>
      </c>
      <c r="F88" s="1149">
        <v>30</v>
      </c>
    </row>
    <row r="89" spans="1:6" s="1100" customFormat="1" ht="24">
      <c r="A89" s="1149">
        <v>29</v>
      </c>
      <c r="B89" s="3429"/>
      <c r="C89" s="1063" t="s">
        <v>1558</v>
      </c>
      <c r="D89" s="1063" t="s">
        <v>1559</v>
      </c>
      <c r="E89" s="1134">
        <v>0.2</v>
      </c>
      <c r="F89" s="1149">
        <v>30</v>
      </c>
    </row>
    <row r="90" spans="1:6" s="1100" customFormat="1" ht="24">
      <c r="A90" s="1149">
        <v>30</v>
      </c>
      <c r="B90" s="3429"/>
      <c r="C90" s="1063" t="s">
        <v>1560</v>
      </c>
      <c r="D90" s="1063" t="s">
        <v>1561</v>
      </c>
      <c r="E90" s="1134">
        <v>0.2</v>
      </c>
      <c r="F90" s="1149">
        <v>30</v>
      </c>
    </row>
    <row r="91" spans="1:6" s="1100" customFormat="1" ht="36">
      <c r="A91" s="1149">
        <v>31</v>
      </c>
      <c r="B91" s="3429"/>
      <c r="C91" s="1063" t="s">
        <v>1562</v>
      </c>
      <c r="D91" s="1063" t="s">
        <v>1563</v>
      </c>
      <c r="E91" s="1134">
        <v>0.2</v>
      </c>
      <c r="F91" s="1149">
        <v>30</v>
      </c>
    </row>
    <row r="92" spans="1:6" s="1100" customFormat="1" ht="24">
      <c r="A92" s="1149">
        <v>32</v>
      </c>
      <c r="B92" s="3429" t="s">
        <v>1564</v>
      </c>
      <c r="C92" s="1149" t="s">
        <v>1565</v>
      </c>
      <c r="D92" s="1063" t="s">
        <v>1566</v>
      </c>
      <c r="E92" s="1134">
        <v>0.2</v>
      </c>
      <c r="F92" s="1149">
        <v>30</v>
      </c>
    </row>
    <row r="93" spans="1:6" s="1100" customFormat="1" ht="36">
      <c r="A93" s="1149">
        <v>33</v>
      </c>
      <c r="B93" s="3429"/>
      <c r="C93" s="1149" t="s">
        <v>1567</v>
      </c>
      <c r="D93" s="1063" t="s">
        <v>1568</v>
      </c>
      <c r="E93" s="1134">
        <v>0.2</v>
      </c>
      <c r="F93" s="1149">
        <v>30</v>
      </c>
    </row>
    <row r="94" spans="1:6" s="1100" customFormat="1" ht="48">
      <c r="A94" s="1149">
        <v>34</v>
      </c>
      <c r="B94" s="3429"/>
      <c r="C94" s="1149" t="s">
        <v>1569</v>
      </c>
      <c r="D94" s="1063" t="s">
        <v>1570</v>
      </c>
      <c r="E94" s="1134">
        <v>0.2</v>
      </c>
      <c r="F94" s="1149">
        <v>30</v>
      </c>
    </row>
    <row r="95" spans="1:6" s="1100" customFormat="1" ht="36">
      <c r="A95" s="1149">
        <v>35</v>
      </c>
      <c r="B95" s="3429"/>
      <c r="C95" s="1149" t="s">
        <v>1571</v>
      </c>
      <c r="D95" s="1063" t="s">
        <v>1572</v>
      </c>
      <c r="E95" s="1134">
        <v>0.2</v>
      </c>
      <c r="F95" s="1149">
        <v>30</v>
      </c>
    </row>
    <row r="96" spans="1:6" s="1100" customFormat="1" ht="48">
      <c r="A96" s="1149">
        <v>36</v>
      </c>
      <c r="B96" s="3429"/>
      <c r="C96" s="1063" t="s">
        <v>1573</v>
      </c>
      <c r="D96" s="1063" t="s">
        <v>1574</v>
      </c>
      <c r="E96" s="1134">
        <v>0.2</v>
      </c>
      <c r="F96" s="1149">
        <v>30</v>
      </c>
    </row>
    <row r="97" spans="1:6" s="1100" customFormat="1" ht="36">
      <c r="A97" s="1149">
        <v>37</v>
      </c>
      <c r="B97" s="3429"/>
      <c r="C97" s="1149" t="s">
        <v>1575</v>
      </c>
      <c r="D97" s="1063" t="s">
        <v>1576</v>
      </c>
      <c r="E97" s="1134">
        <v>0.2</v>
      </c>
      <c r="F97" s="1149">
        <v>30</v>
      </c>
    </row>
    <row r="98" spans="1:6" s="1100" customFormat="1" ht="36">
      <c r="A98" s="1149">
        <v>38</v>
      </c>
      <c r="B98" s="3429"/>
      <c r="C98" s="1149" t="s">
        <v>1577</v>
      </c>
      <c r="D98" s="1063" t="s">
        <v>1578</v>
      </c>
      <c r="E98" s="1134">
        <v>0.2</v>
      </c>
      <c r="F98" s="1149">
        <v>30</v>
      </c>
    </row>
    <row r="99" spans="1:6" s="1100" customFormat="1" ht="36">
      <c r="A99" s="1149">
        <v>39</v>
      </c>
      <c r="B99" s="3429" t="s">
        <v>1579</v>
      </c>
      <c r="C99" s="1149" t="s">
        <v>1580</v>
      </c>
      <c r="D99" s="1063" t="s">
        <v>1581</v>
      </c>
      <c r="E99" s="1134">
        <v>0.3</v>
      </c>
      <c r="F99" s="1149">
        <v>50</v>
      </c>
    </row>
    <row r="100" spans="1:6" s="1100" customFormat="1" ht="24">
      <c r="A100" s="1149">
        <v>40</v>
      </c>
      <c r="B100" s="3429"/>
      <c r="C100" s="1149" t="s">
        <v>1582</v>
      </c>
      <c r="D100" s="1063" t="s">
        <v>1583</v>
      </c>
      <c r="E100" s="1134">
        <v>0.2</v>
      </c>
      <c r="F100" s="1149">
        <v>30</v>
      </c>
    </row>
    <row r="101" spans="1:6" s="1100" customFormat="1" ht="36">
      <c r="A101" s="1149">
        <v>41</v>
      </c>
      <c r="B101" s="342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29" t="s">
        <v>1594</v>
      </c>
      <c r="C105" s="1149" t="s">
        <v>1595</v>
      </c>
      <c r="D105" s="1063" t="s">
        <v>1596</v>
      </c>
      <c r="E105" s="1134">
        <v>0.2</v>
      </c>
      <c r="F105" s="1149">
        <v>30</v>
      </c>
    </row>
    <row r="106" spans="1:6" s="1100" customFormat="1" ht="36">
      <c r="A106" s="1149">
        <v>46</v>
      </c>
      <c r="B106" s="3429"/>
      <c r="C106" s="1149" t="s">
        <v>1597</v>
      </c>
      <c r="D106" s="1063" t="s">
        <v>1598</v>
      </c>
      <c r="E106" s="1134">
        <v>0.2</v>
      </c>
      <c r="F106" s="1149">
        <v>30</v>
      </c>
    </row>
    <row r="107" spans="1:6" s="1100" customFormat="1" ht="36">
      <c r="A107" s="1149">
        <v>47</v>
      </c>
      <c r="B107" s="3429" t="s">
        <v>1599</v>
      </c>
      <c r="C107" s="1149" t="s">
        <v>1600</v>
      </c>
      <c r="D107" s="1063" t="s">
        <v>1601</v>
      </c>
      <c r="E107" s="1134">
        <v>0.3</v>
      </c>
      <c r="F107" s="1149">
        <v>50</v>
      </c>
    </row>
    <row r="108" spans="1:6" s="1100" customFormat="1" ht="36">
      <c r="A108" s="1149">
        <v>48</v>
      </c>
      <c r="B108" s="342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29" t="s">
        <v>1610</v>
      </c>
      <c r="C111" s="1149" t="s">
        <v>1611</v>
      </c>
      <c r="D111" s="1063" t="s">
        <v>1612</v>
      </c>
      <c r="E111" s="1134">
        <v>0.2</v>
      </c>
      <c r="F111" s="1149">
        <v>30</v>
      </c>
    </row>
    <row r="112" spans="1:6" s="1100" customFormat="1" ht="24">
      <c r="A112" s="1149">
        <v>52</v>
      </c>
      <c r="B112" s="3429"/>
      <c r="C112" s="1149" t="s">
        <v>1613</v>
      </c>
      <c r="D112" s="1063" t="s">
        <v>1614</v>
      </c>
      <c r="E112" s="1134">
        <v>0.2</v>
      </c>
      <c r="F112" s="1149">
        <v>30</v>
      </c>
    </row>
    <row r="113" spans="1:14" s="1100" customFormat="1" ht="24">
      <c r="A113" s="1149">
        <v>53</v>
      </c>
      <c r="B113" s="342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29" t="s">
        <v>1623</v>
      </c>
      <c r="C116" s="1149" t="s">
        <v>1624</v>
      </c>
      <c r="D116" s="1063" t="s">
        <v>1625</v>
      </c>
      <c r="E116" s="1134">
        <v>0.2</v>
      </c>
      <c r="F116" s="1149">
        <v>30</v>
      </c>
    </row>
    <row r="117" spans="1:14" ht="36">
      <c r="A117" s="1149">
        <v>57</v>
      </c>
      <c r="B117" s="342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28" t="s">
        <v>1632</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1038</v>
      </c>
      <c r="B1" s="3443"/>
      <c r="C1" s="3443"/>
      <c r="D1" s="3443"/>
      <c r="E1" s="3443"/>
      <c r="F1" s="344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44" t="s">
        <v>1051</v>
      </c>
      <c r="B2" s="3444"/>
      <c r="C2" s="3444"/>
      <c r="D2" s="3444"/>
      <c r="E2" s="3444"/>
      <c r="F2" s="344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7" t="s">
        <v>2073</v>
      </c>
      <c r="B1" s="3447"/>
    </row>
    <row r="2" spans="1:6" ht="14.25" thickBot="1">
      <c r="A2" s="1835"/>
      <c r="B2" s="1835"/>
    </row>
    <row r="3" spans="1:6" ht="14.25" thickBot="1">
      <c r="A3" s="1835"/>
      <c r="B3" s="1835"/>
      <c r="C3" s="1836" t="s">
        <v>2074</v>
      </c>
      <c r="D3" s="1836" t="s">
        <v>2075</v>
      </c>
      <c r="E3" s="1836" t="s">
        <v>2076</v>
      </c>
      <c r="F3" s="1836" t="s">
        <v>2077</v>
      </c>
    </row>
    <row r="4" spans="1:6" ht="14.25" thickBot="1">
      <c r="A4" s="1837" t="s">
        <v>2078</v>
      </c>
      <c r="B4" s="1838" t="s">
        <v>2079</v>
      </c>
      <c r="C4" s="1836"/>
      <c r="D4" s="1836"/>
      <c r="E4" s="1836"/>
      <c r="F4" s="1836"/>
    </row>
    <row r="5" spans="1:6" ht="14.25" thickBot="1">
      <c r="A5" s="1839" t="s">
        <v>2080</v>
      </c>
      <c r="B5" s="1840" t="s">
        <v>2081</v>
      </c>
      <c r="C5" s="1841">
        <v>8.8999999999999996E-2</v>
      </c>
      <c r="D5" s="1841">
        <v>7.3999999999999996E-2</v>
      </c>
      <c r="E5" s="1841">
        <v>7.4999999999999997E-2</v>
      </c>
      <c r="F5" s="1842">
        <v>0.1</v>
      </c>
    </row>
    <row r="6" spans="1:6" ht="14.25" thickBot="1">
      <c r="A6" s="1839" t="s">
        <v>1095</v>
      </c>
      <c r="B6" s="1843" t="s">
        <v>2082</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2083</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2084</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2085</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2086</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2087</v>
      </c>
      <c r="C72" s="1853"/>
      <c r="D72" s="1853"/>
      <c r="E72" s="1853"/>
      <c r="F72" s="1845">
        <v>0.05</v>
      </c>
    </row>
    <row r="73" spans="1:6" ht="14.25" thickBot="1">
      <c r="A73" s="1839" t="s">
        <v>924</v>
      </c>
      <c r="B73" s="1843" t="s">
        <v>2088</v>
      </c>
      <c r="C73" s="1853"/>
      <c r="D73" s="1853"/>
      <c r="E73" s="1853"/>
      <c r="F73" s="1845">
        <v>0.05</v>
      </c>
    </row>
    <row r="74" spans="1:6" ht="14.25" thickBot="1">
      <c r="A74" s="1839" t="s">
        <v>924</v>
      </c>
      <c r="B74" s="1843" t="s">
        <v>2089</v>
      </c>
      <c r="C74" s="1853"/>
      <c r="D74" s="1853"/>
      <c r="E74" s="1853"/>
      <c r="F74" s="1845">
        <v>0.05</v>
      </c>
    </row>
    <row r="75" spans="1:6" ht="14.25" thickBot="1">
      <c r="A75" s="1847" t="s">
        <v>924</v>
      </c>
      <c r="B75" s="1854" t="s">
        <v>2090</v>
      </c>
      <c r="C75" s="1850"/>
      <c r="D75" s="1850"/>
      <c r="E75" s="1850"/>
      <c r="F75" s="1855">
        <v>0.05</v>
      </c>
    </row>
    <row r="76" spans="1:6" ht="14.25" thickBot="1">
      <c r="A76" s="1839" t="s">
        <v>1406</v>
      </c>
      <c r="B76" s="1840" t="s">
        <v>2091</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2092</v>
      </c>
      <c r="C102" s="1853"/>
      <c r="D102" s="1853"/>
      <c r="E102" s="1853"/>
      <c r="F102" s="1845">
        <v>0.05</v>
      </c>
    </row>
    <row r="103" spans="1:6" ht="24.75" thickBot="1">
      <c r="A103" s="1839" t="s">
        <v>1406</v>
      </c>
      <c r="B103" s="1843" t="s">
        <v>2093</v>
      </c>
      <c r="C103" s="1853"/>
      <c r="D103" s="1853"/>
      <c r="E103" s="1853"/>
      <c r="F103" s="1845">
        <v>0.05</v>
      </c>
    </row>
    <row r="104" spans="1:6" ht="14.25" thickBot="1">
      <c r="A104" s="1839" t="s">
        <v>1406</v>
      </c>
      <c r="B104" s="1843" t="s">
        <v>2094</v>
      </c>
      <c r="C104" s="1853"/>
      <c r="D104" s="1853"/>
      <c r="E104" s="1853"/>
      <c r="F104" s="1845">
        <v>0.05</v>
      </c>
    </row>
    <row r="105" spans="1:6" ht="14.25" thickBot="1">
      <c r="A105" s="1839" t="s">
        <v>1406</v>
      </c>
      <c r="B105" s="1843" t="s">
        <v>2095</v>
      </c>
      <c r="C105" s="1853"/>
      <c r="D105" s="1853"/>
      <c r="E105" s="1853"/>
      <c r="F105" s="1845">
        <v>0.05</v>
      </c>
    </row>
    <row r="106" spans="1:6" ht="14.25" thickBot="1">
      <c r="A106" s="1839" t="s">
        <v>1406</v>
      </c>
      <c r="B106" s="1843" t="s">
        <v>2096</v>
      </c>
      <c r="C106" s="1853"/>
      <c r="D106" s="1853"/>
      <c r="E106" s="1853"/>
      <c r="F106" s="1845">
        <v>0.05</v>
      </c>
    </row>
    <row r="107" spans="1:6" ht="24.75" thickBot="1">
      <c r="A107" s="1839" t="s">
        <v>1406</v>
      </c>
      <c r="B107" s="1843" t="s">
        <v>2097</v>
      </c>
      <c r="C107" s="1853"/>
      <c r="D107" s="1853"/>
      <c r="E107" s="1853"/>
      <c r="F107" s="1845">
        <v>0.05</v>
      </c>
    </row>
    <row r="108" spans="1:6" ht="24.75" thickBot="1">
      <c r="A108" s="1839" t="s">
        <v>1406</v>
      </c>
      <c r="B108" s="1843" t="s">
        <v>2098</v>
      </c>
      <c r="C108" s="1853"/>
      <c r="D108" s="1853"/>
      <c r="E108" s="1853"/>
      <c r="F108" s="1845">
        <v>0.05</v>
      </c>
    </row>
    <row r="109" spans="1:6" ht="24.75" thickBot="1">
      <c r="A109" s="1847" t="s">
        <v>1406</v>
      </c>
      <c r="B109" s="1854" t="s">
        <v>2099</v>
      </c>
      <c r="C109" s="1850"/>
      <c r="D109" s="1850"/>
      <c r="E109" s="1850"/>
      <c r="F109" s="1855">
        <v>0.05</v>
      </c>
    </row>
    <row r="110" spans="1:6" ht="14.25" thickBot="1">
      <c r="A110" s="1839" t="s">
        <v>1408</v>
      </c>
      <c r="B110" s="1840" t="s">
        <v>2100</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2101</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2102</v>
      </c>
      <c r="C138" s="1844">
        <v>0.105</v>
      </c>
      <c r="D138" s="1844">
        <v>0.125</v>
      </c>
      <c r="E138" s="1844">
        <v>0.112</v>
      </c>
      <c r="F138" s="1852"/>
    </row>
    <row r="139" spans="1:6" ht="14.25" thickBot="1">
      <c r="A139" s="1839" t="s">
        <v>1408</v>
      </c>
      <c r="B139" s="1843" t="s">
        <v>2103</v>
      </c>
      <c r="C139" s="1844">
        <v>0.127</v>
      </c>
      <c r="D139" s="1844">
        <v>0.127</v>
      </c>
      <c r="E139" s="1844">
        <v>0.122</v>
      </c>
      <c r="F139" s="1845">
        <v>0.13</v>
      </c>
    </row>
    <row r="140" spans="1:6" ht="14.25" thickBot="1">
      <c r="A140" s="1839" t="s">
        <v>1408</v>
      </c>
      <c r="B140" s="1843" t="s">
        <v>2104</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2105</v>
      </c>
      <c r="C144" s="1857">
        <v>0.126</v>
      </c>
      <c r="D144" s="1857">
        <v>0.126</v>
      </c>
      <c r="E144" s="1857">
        <v>0.121</v>
      </c>
      <c r="F144" s="1852"/>
    </row>
    <row r="145" spans="1:6" ht="14.25" thickBot="1">
      <c r="A145" s="1847" t="s">
        <v>1408</v>
      </c>
      <c r="B145" s="1858" t="s">
        <v>2106</v>
      </c>
      <c r="C145" s="1859"/>
      <c r="D145" s="1859"/>
      <c r="E145" s="1859"/>
      <c r="F145" s="1860">
        <v>0.05</v>
      </c>
    </row>
    <row r="146" spans="1:6" ht="24.75" thickBot="1">
      <c r="A146" s="1861" t="s">
        <v>1408</v>
      </c>
      <c r="B146" s="1846" t="s">
        <v>2107</v>
      </c>
      <c r="C146" s="1853"/>
      <c r="D146" s="1853"/>
      <c r="E146" s="1853"/>
      <c r="F146" s="1862">
        <v>0.05</v>
      </c>
    </row>
    <row r="147" spans="1:6" ht="24.75" thickBot="1">
      <c r="A147" s="1839" t="s">
        <v>1408</v>
      </c>
      <c r="B147" s="1843" t="s">
        <v>2108</v>
      </c>
      <c r="C147" s="1853"/>
      <c r="D147" s="1853"/>
      <c r="E147" s="1853"/>
      <c r="F147" s="1845">
        <v>0.05</v>
      </c>
    </row>
    <row r="148" spans="1:6" ht="24.75" thickBot="1">
      <c r="A148" s="1839" t="s">
        <v>1408</v>
      </c>
      <c r="B148" s="1843" t="s">
        <v>2109</v>
      </c>
      <c r="C148" s="1853"/>
      <c r="D148" s="1853"/>
      <c r="E148" s="1853"/>
      <c r="F148" s="1845">
        <v>0.05</v>
      </c>
    </row>
    <row r="149" spans="1:6" ht="24.75" thickBot="1">
      <c r="A149" s="1839" t="s">
        <v>1408</v>
      </c>
      <c r="B149" s="1843" t="s">
        <v>2110</v>
      </c>
      <c r="C149" s="1853"/>
      <c r="D149" s="1853"/>
      <c r="E149" s="1853"/>
      <c r="F149" s="1845">
        <v>0.05</v>
      </c>
    </row>
    <row r="150" spans="1:6" ht="24.75" thickBot="1">
      <c r="A150" s="1839" t="s">
        <v>1408</v>
      </c>
      <c r="B150" s="1843" t="s">
        <v>2111</v>
      </c>
      <c r="C150" s="1853"/>
      <c r="D150" s="1853"/>
      <c r="E150" s="1853"/>
      <c r="F150" s="1845">
        <v>0.05</v>
      </c>
    </row>
    <row r="151" spans="1:6" ht="24.75" thickBot="1">
      <c r="A151" s="1839" t="s">
        <v>1408</v>
      </c>
      <c r="B151" s="1843" t="s">
        <v>2112</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2113</v>
      </c>
      <c r="C153" s="1853"/>
      <c r="D153" s="1853"/>
      <c r="E153" s="1853"/>
      <c r="F153" s="1845">
        <v>0.05</v>
      </c>
    </row>
    <row r="154" spans="1:6" ht="14.25" thickBot="1">
      <c r="A154" s="1839" t="s">
        <v>1408</v>
      </c>
      <c r="B154" s="1843" t="s">
        <v>2114</v>
      </c>
      <c r="C154" s="1853"/>
      <c r="D154" s="1853"/>
      <c r="E154" s="1853"/>
      <c r="F154" s="1845">
        <v>0.05</v>
      </c>
    </row>
    <row r="155" spans="1:6" ht="24.75" thickBot="1">
      <c r="A155" s="1839" t="s">
        <v>1408</v>
      </c>
      <c r="B155" s="1843" t="s">
        <v>2115</v>
      </c>
      <c r="C155" s="1853"/>
      <c r="D155" s="1853"/>
      <c r="E155" s="1853"/>
      <c r="F155" s="1845">
        <v>0.05</v>
      </c>
    </row>
    <row r="156" spans="1:6" ht="24.75" thickBot="1">
      <c r="A156" s="1839" t="s">
        <v>1408</v>
      </c>
      <c r="B156" s="1843" t="s">
        <v>2116</v>
      </c>
      <c r="C156" s="1853"/>
      <c r="D156" s="1853"/>
      <c r="E156" s="1853"/>
      <c r="F156" s="1845">
        <v>0.05</v>
      </c>
    </row>
    <row r="157" spans="1:6" ht="14.25" thickBot="1">
      <c r="A157" s="1847" t="s">
        <v>1408</v>
      </c>
      <c r="B157" s="1854" t="s">
        <v>2117</v>
      </c>
      <c r="C157" s="1850"/>
      <c r="D157" s="1850"/>
      <c r="E157" s="1850"/>
      <c r="F157" s="1855">
        <v>0.05</v>
      </c>
    </row>
    <row r="158" spans="1:6" ht="14.25" thickBot="1">
      <c r="A158" s="1839" t="s">
        <v>1410</v>
      </c>
      <c r="B158" s="1840" t="s">
        <v>2118</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2119</v>
      </c>
      <c r="C171" s="1844">
        <v>0.127</v>
      </c>
      <c r="D171" s="1844">
        <v>0.126</v>
      </c>
      <c r="E171" s="1844">
        <v>0.126</v>
      </c>
      <c r="F171" s="1845">
        <v>0.11799999999999999</v>
      </c>
    </row>
    <row r="172" spans="1:6" ht="14.25" thickBot="1">
      <c r="A172" s="1839" t="s">
        <v>1410</v>
      </c>
      <c r="B172" s="1843" t="s">
        <v>2120</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2121</v>
      </c>
      <c r="C174" s="1844">
        <v>0.13</v>
      </c>
      <c r="D174" s="1844">
        <v>0.13</v>
      </c>
      <c r="E174" s="1844">
        <v>0.13</v>
      </c>
      <c r="F174" s="1845">
        <v>0.13</v>
      </c>
    </row>
    <row r="175" spans="1:6" ht="14.25" thickBot="1">
      <c r="A175" s="1839" t="s">
        <v>1410</v>
      </c>
      <c r="B175" s="1843" t="s">
        <v>2122</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2123</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2124</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2125</v>
      </c>
      <c r="C185" s="1844">
        <v>0.127</v>
      </c>
      <c r="D185" s="1844">
        <v>0.127</v>
      </c>
      <c r="E185" s="1844">
        <v>0.128</v>
      </c>
      <c r="F185" s="1845">
        <v>0.13</v>
      </c>
    </row>
    <row r="186" spans="1:6" ht="24.75" thickBot="1">
      <c r="A186" s="1839" t="s">
        <v>1410</v>
      </c>
      <c r="B186" s="1843" t="s">
        <v>2126</v>
      </c>
      <c r="C186" s="1853"/>
      <c r="D186" s="1853"/>
      <c r="E186" s="1853"/>
      <c r="F186" s="1845">
        <v>0.05</v>
      </c>
    </row>
    <row r="187" spans="1:6" ht="14.25" thickBot="1">
      <c r="A187" s="1839" t="s">
        <v>1410</v>
      </c>
      <c r="B187" s="1843" t="s">
        <v>2127</v>
      </c>
      <c r="C187" s="1853"/>
      <c r="D187" s="1853"/>
      <c r="E187" s="1853"/>
      <c r="F187" s="1845">
        <v>0.05</v>
      </c>
    </row>
    <row r="188" spans="1:6" ht="14.25" thickBot="1">
      <c r="A188" s="1839" t="s">
        <v>1410</v>
      </c>
      <c r="B188" s="1843" t="s">
        <v>2128</v>
      </c>
      <c r="C188" s="1853"/>
      <c r="D188" s="1853"/>
      <c r="E188" s="1853"/>
      <c r="F188" s="1845">
        <v>0.05</v>
      </c>
    </row>
    <row r="189" spans="1:6" ht="24.75" thickBot="1">
      <c r="A189" s="1839" t="s">
        <v>1410</v>
      </c>
      <c r="B189" s="1843" t="s">
        <v>2129</v>
      </c>
      <c r="C189" s="1853"/>
      <c r="D189" s="1853"/>
      <c r="E189" s="1853"/>
      <c r="F189" s="1845">
        <v>0.05</v>
      </c>
    </row>
    <row r="190" spans="1:6" ht="24.75" thickBot="1">
      <c r="A190" s="1839" t="s">
        <v>1410</v>
      </c>
      <c r="B190" s="1843" t="s">
        <v>2130</v>
      </c>
      <c r="C190" s="1853"/>
      <c r="D190" s="1853"/>
      <c r="E190" s="1853"/>
      <c r="F190" s="1845">
        <v>0.05</v>
      </c>
    </row>
    <row r="191" spans="1:6" ht="24.75" thickBot="1">
      <c r="A191" s="1839" t="s">
        <v>1410</v>
      </c>
      <c r="B191" s="1843" t="s">
        <v>2131</v>
      </c>
      <c r="C191" s="1853"/>
      <c r="D191" s="1853"/>
      <c r="E191" s="1853"/>
      <c r="F191" s="1845">
        <v>0.05</v>
      </c>
    </row>
    <row r="192" spans="1:6" ht="24.75" thickBot="1">
      <c r="A192" s="1839" t="s">
        <v>1410</v>
      </c>
      <c r="B192" s="1843" t="s">
        <v>2132</v>
      </c>
      <c r="C192" s="1853"/>
      <c r="D192" s="1853"/>
      <c r="E192" s="1853"/>
      <c r="F192" s="1845">
        <v>0.05</v>
      </c>
    </row>
    <row r="193" spans="1:6" ht="24.75" thickBot="1">
      <c r="A193" s="1839" t="s">
        <v>1410</v>
      </c>
      <c r="B193" s="1843" t="s">
        <v>2133</v>
      </c>
      <c r="C193" s="1853"/>
      <c r="D193" s="1853"/>
      <c r="E193" s="1853"/>
      <c r="F193" s="1845">
        <v>0.05</v>
      </c>
    </row>
    <row r="194" spans="1:6" ht="24.75" thickBot="1">
      <c r="A194" s="1839" t="s">
        <v>1410</v>
      </c>
      <c r="B194" s="1843" t="s">
        <v>2134</v>
      </c>
      <c r="C194" s="1853"/>
      <c r="D194" s="1853"/>
      <c r="E194" s="1853"/>
      <c r="F194" s="1845">
        <v>0.05</v>
      </c>
    </row>
    <row r="195" spans="1:6" ht="14.25" thickBot="1">
      <c r="A195" s="1839" t="s">
        <v>1410</v>
      </c>
      <c r="B195" s="1843" t="s">
        <v>2135</v>
      </c>
      <c r="C195" s="1853"/>
      <c r="D195" s="1853"/>
      <c r="E195" s="1853"/>
      <c r="F195" s="1845">
        <v>0.05</v>
      </c>
    </row>
    <row r="196" spans="1:6" ht="24.75" thickBot="1">
      <c r="A196" s="1839" t="s">
        <v>1410</v>
      </c>
      <c r="B196" s="1843" t="s">
        <v>2136</v>
      </c>
      <c r="C196" s="1853"/>
      <c r="D196" s="1853"/>
      <c r="E196" s="1853"/>
      <c r="F196" s="1845">
        <v>0.05</v>
      </c>
    </row>
    <row r="197" spans="1:6" ht="24.75" thickBot="1">
      <c r="A197" s="1839" t="s">
        <v>1410</v>
      </c>
      <c r="B197" s="1843" t="s">
        <v>2137</v>
      </c>
      <c r="C197" s="1853"/>
      <c r="D197" s="1853"/>
      <c r="E197" s="1853"/>
      <c r="F197" s="1845">
        <v>0.05</v>
      </c>
    </row>
    <row r="198" spans="1:6" ht="24.75" thickBot="1">
      <c r="A198" s="1839" t="s">
        <v>1410</v>
      </c>
      <c r="B198" s="1843" t="s">
        <v>2138</v>
      </c>
      <c r="C198" s="1853"/>
      <c r="D198" s="1853"/>
      <c r="E198" s="1853"/>
      <c r="F198" s="1845">
        <v>0.05</v>
      </c>
    </row>
    <row r="199" spans="1:6" ht="24.75" thickBot="1">
      <c r="A199" s="1839" t="s">
        <v>1410</v>
      </c>
      <c r="B199" s="1843" t="s">
        <v>2139</v>
      </c>
      <c r="C199" s="1853"/>
      <c r="D199" s="1853"/>
      <c r="E199" s="1853"/>
      <c r="F199" s="1845">
        <v>0.05</v>
      </c>
    </row>
    <row r="200" spans="1:6" ht="24.75" thickBot="1">
      <c r="A200" s="1839" t="s">
        <v>1410</v>
      </c>
      <c r="B200" s="1843" t="s">
        <v>2140</v>
      </c>
      <c r="C200" s="1853"/>
      <c r="D200" s="1853"/>
      <c r="E200" s="1853"/>
      <c r="F200" s="1845">
        <v>0.05</v>
      </c>
    </row>
    <row r="201" spans="1:6" ht="24.75" thickBot="1">
      <c r="A201" s="1839" t="s">
        <v>1410</v>
      </c>
      <c r="B201" s="1843" t="s">
        <v>2141</v>
      </c>
      <c r="C201" s="1853"/>
      <c r="D201" s="1853"/>
      <c r="E201" s="1853"/>
      <c r="F201" s="1845">
        <v>0.05</v>
      </c>
    </row>
    <row r="202" spans="1:6" ht="24.75" thickBot="1">
      <c r="A202" s="1839" t="s">
        <v>1410</v>
      </c>
      <c r="B202" s="1843" t="s">
        <v>2142</v>
      </c>
      <c r="C202" s="1853"/>
      <c r="D202" s="1853"/>
      <c r="E202" s="1853"/>
      <c r="F202" s="1845">
        <v>0.05</v>
      </c>
    </row>
    <row r="203" spans="1:6" ht="24.75" thickBot="1">
      <c r="A203" s="1839" t="s">
        <v>1410</v>
      </c>
      <c r="B203" s="1843" t="s">
        <v>2143</v>
      </c>
      <c r="C203" s="1853"/>
      <c r="D203" s="1853"/>
      <c r="E203" s="1853"/>
      <c r="F203" s="1845">
        <v>0.05</v>
      </c>
    </row>
    <row r="204" spans="1:6" ht="14.25" thickBot="1">
      <c r="A204" s="1839" t="s">
        <v>1410</v>
      </c>
      <c r="B204" s="1843" t="s">
        <v>2144</v>
      </c>
      <c r="C204" s="1853"/>
      <c r="D204" s="1853"/>
      <c r="E204" s="1853"/>
      <c r="F204" s="1845">
        <v>0.05</v>
      </c>
    </row>
    <row r="205" spans="1:6" ht="14.25" thickBot="1">
      <c r="A205" s="1847" t="s">
        <v>1410</v>
      </c>
      <c r="B205" s="1854" t="s">
        <v>2145</v>
      </c>
      <c r="C205" s="1850"/>
      <c r="D205" s="1850"/>
      <c r="E205" s="1850"/>
      <c r="F205" s="1855">
        <v>0.05</v>
      </c>
    </row>
    <row r="206" spans="1:6" ht="14.25" thickBot="1">
      <c r="A206" s="1839" t="s">
        <v>1412</v>
      </c>
      <c r="B206" s="1840" t="s">
        <v>2146</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2147</v>
      </c>
      <c r="C210" s="1844">
        <v>0.15</v>
      </c>
      <c r="D210" s="1844">
        <v>0.15</v>
      </c>
      <c r="E210" s="1844">
        <v>0.15</v>
      </c>
      <c r="F210" s="1845">
        <v>0.13800000000000001</v>
      </c>
    </row>
    <row r="211" spans="1:6" ht="14.25" thickBot="1">
      <c r="A211" s="1839" t="s">
        <v>1412</v>
      </c>
      <c r="B211" s="1843" t="s">
        <v>2148</v>
      </c>
      <c r="C211" s="1844">
        <v>0.13700000000000001</v>
      </c>
      <c r="D211" s="1844">
        <v>0.13500000000000001</v>
      </c>
      <c r="E211" s="1844">
        <v>0.13600000000000001</v>
      </c>
      <c r="F211" s="1845">
        <v>0.1</v>
      </c>
    </row>
    <row r="212" spans="1:6" ht="14.25" thickBot="1">
      <c r="A212" s="1839" t="s">
        <v>1412</v>
      </c>
      <c r="B212" s="1843" t="s">
        <v>2149</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2150</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2151</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2152</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2153</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2154</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2155</v>
      </c>
      <c r="C231" s="1844">
        <v>0.128</v>
      </c>
      <c r="D231" s="1844">
        <v>0.125</v>
      </c>
      <c r="E231" s="1844">
        <v>0.13200000000000001</v>
      </c>
      <c r="F231" s="1852"/>
    </row>
    <row r="232" spans="1:6" ht="14.25" thickBot="1">
      <c r="A232" s="1839" t="s">
        <v>1412</v>
      </c>
      <c r="B232" s="1843" t="s">
        <v>2156</v>
      </c>
      <c r="C232" s="1844">
        <v>0.14499999999999999</v>
      </c>
      <c r="D232" s="1844">
        <v>0.14399999999999999</v>
      </c>
      <c r="E232" s="1844">
        <v>0.14599999999999999</v>
      </c>
      <c r="F232" s="1845">
        <v>0.13800000000000001</v>
      </c>
    </row>
    <row r="233" spans="1:6" ht="14.25" thickBot="1">
      <c r="A233" s="1839" t="s">
        <v>1412</v>
      </c>
      <c r="B233" s="1843" t="s">
        <v>2157</v>
      </c>
      <c r="C233" s="1844">
        <v>0.14499999999999999</v>
      </c>
      <c r="D233" s="1844">
        <v>0.14299999999999999</v>
      </c>
      <c r="E233" s="1844">
        <v>0.14199999999999999</v>
      </c>
      <c r="F233" s="1852"/>
    </row>
    <row r="234" spans="1:6" ht="14.25" thickBot="1">
      <c r="A234" s="1839" t="s">
        <v>1412</v>
      </c>
      <c r="B234" s="1843" t="s">
        <v>2158</v>
      </c>
      <c r="C234" s="1844">
        <v>0.14000000000000001</v>
      </c>
      <c r="D234" s="1844">
        <v>0.14000000000000001</v>
      </c>
      <c r="E234" s="1844">
        <v>0.14399999999999999</v>
      </c>
      <c r="F234" s="1852"/>
    </row>
    <row r="235" spans="1:6" ht="14.25" thickBot="1">
      <c r="A235" s="1839" t="s">
        <v>1412</v>
      </c>
      <c r="B235" s="1843" t="s">
        <v>2159</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2160</v>
      </c>
      <c r="C237" s="1853"/>
      <c r="D237" s="1853"/>
      <c r="E237" s="1853"/>
      <c r="F237" s="1845">
        <v>0.05</v>
      </c>
    </row>
    <row r="238" spans="1:6" ht="24.75" thickBot="1">
      <c r="A238" s="1839" t="s">
        <v>1412</v>
      </c>
      <c r="B238" s="1843" t="s">
        <v>2161</v>
      </c>
      <c r="C238" s="1853"/>
      <c r="D238" s="1853"/>
      <c r="E238" s="1853"/>
      <c r="F238" s="1845">
        <v>0.05</v>
      </c>
    </row>
    <row r="239" spans="1:6" ht="24.75" thickBot="1">
      <c r="A239" s="1839" t="s">
        <v>1412</v>
      </c>
      <c r="B239" s="1843" t="s">
        <v>2162</v>
      </c>
      <c r="C239" s="1853"/>
      <c r="D239" s="1853"/>
      <c r="E239" s="1853"/>
      <c r="F239" s="1845">
        <v>0.05</v>
      </c>
    </row>
    <row r="240" spans="1:6" ht="24.75" thickBot="1">
      <c r="A240" s="1839" t="s">
        <v>1412</v>
      </c>
      <c r="B240" s="1843" t="s">
        <v>2163</v>
      </c>
      <c r="C240" s="1853"/>
      <c r="D240" s="1853"/>
      <c r="E240" s="1853"/>
      <c r="F240" s="1845">
        <v>0.05</v>
      </c>
    </row>
    <row r="241" spans="1:6" ht="24.75" thickBot="1">
      <c r="A241" s="1839" t="s">
        <v>1412</v>
      </c>
      <c r="B241" s="1843" t="s">
        <v>2164</v>
      </c>
      <c r="C241" s="1853"/>
      <c r="D241" s="1853"/>
      <c r="E241" s="1853"/>
      <c r="F241" s="1845">
        <v>0.05</v>
      </c>
    </row>
    <row r="242" spans="1:6" ht="24.75" thickBot="1">
      <c r="A242" s="1839" t="s">
        <v>1412</v>
      </c>
      <c r="B242" s="1843" t="s">
        <v>2165</v>
      </c>
      <c r="C242" s="1853"/>
      <c r="D242" s="1853"/>
      <c r="E242" s="1853"/>
      <c r="F242" s="1845">
        <v>0.05</v>
      </c>
    </row>
    <row r="243" spans="1:6" ht="24.75" thickBot="1">
      <c r="A243" s="1839" t="s">
        <v>1412</v>
      </c>
      <c r="B243" s="1843" t="s">
        <v>2166</v>
      </c>
      <c r="C243" s="1853"/>
      <c r="D243" s="1853"/>
      <c r="E243" s="1853"/>
      <c r="F243" s="1845">
        <v>0.05</v>
      </c>
    </row>
    <row r="244" spans="1:6" ht="24.75" thickBot="1">
      <c r="A244" s="1847" t="s">
        <v>1412</v>
      </c>
      <c r="B244" s="1854" t="s">
        <v>2167</v>
      </c>
      <c r="C244" s="1850"/>
      <c r="D244" s="1850"/>
      <c r="E244" s="1850"/>
      <c r="F244" s="1855">
        <v>0.05</v>
      </c>
    </row>
    <row r="245" spans="1:6" ht="14.25" thickBot="1">
      <c r="A245" s="1839" t="s">
        <v>1414</v>
      </c>
      <c r="B245" s="1840" t="s">
        <v>2168</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2169</v>
      </c>
      <c r="C247" s="1844">
        <v>0.15</v>
      </c>
      <c r="D247" s="1844">
        <v>0.15</v>
      </c>
      <c r="E247" s="1844">
        <v>0.15</v>
      </c>
      <c r="F247" s="1845">
        <v>0.15</v>
      </c>
    </row>
    <row r="248" spans="1:6" ht="14.25" thickBot="1">
      <c r="A248" s="1839" t="s">
        <v>1414</v>
      </c>
      <c r="B248" s="1843" t="s">
        <v>2170</v>
      </c>
      <c r="C248" s="1844">
        <v>0.15</v>
      </c>
      <c r="D248" s="1844">
        <v>0.15</v>
      </c>
      <c r="E248" s="1844">
        <v>0.15</v>
      </c>
      <c r="F248" s="1845">
        <v>0.14000000000000001</v>
      </c>
    </row>
    <row r="249" spans="1:6" ht="14.25" thickBot="1">
      <c r="A249" s="1839" t="s">
        <v>1414</v>
      </c>
      <c r="B249" s="1843" t="s">
        <v>2171</v>
      </c>
      <c r="C249" s="1844">
        <v>0.15</v>
      </c>
      <c r="D249" s="1844">
        <v>0.14899999999999999</v>
      </c>
      <c r="E249" s="1844">
        <v>0.15</v>
      </c>
      <c r="F249" s="1845">
        <v>0.1</v>
      </c>
    </row>
    <row r="250" spans="1:6" ht="14.25" thickBot="1">
      <c r="A250" s="1839" t="s">
        <v>1414</v>
      </c>
      <c r="B250" s="1843" t="s">
        <v>2172</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2173</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2174</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2175</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2176</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2177</v>
      </c>
      <c r="C273" s="1844">
        <v>0.14199999999999999</v>
      </c>
      <c r="D273" s="1844">
        <v>0.14299999999999999</v>
      </c>
      <c r="E273" s="1844">
        <v>0.15</v>
      </c>
      <c r="F273" s="1845">
        <v>0.1</v>
      </c>
    </row>
    <row r="274" spans="1:6" ht="14.25" thickBot="1">
      <c r="A274" s="1839" t="s">
        <v>1414</v>
      </c>
      <c r="B274" s="1843" t="s">
        <v>2178</v>
      </c>
      <c r="C274" s="1844">
        <v>0.14799999999999999</v>
      </c>
      <c r="D274" s="1844">
        <v>0.14799999999999999</v>
      </c>
      <c r="E274" s="1844">
        <v>0.15</v>
      </c>
      <c r="F274" s="1845">
        <v>6.7000000000000004E-2</v>
      </c>
    </row>
    <row r="275" spans="1:6" ht="14.25" thickBot="1">
      <c r="A275" s="1839" t="s">
        <v>1414</v>
      </c>
      <c r="B275" s="1843" t="s">
        <v>2179</v>
      </c>
      <c r="C275" s="1844">
        <v>0.15</v>
      </c>
      <c r="D275" s="1844">
        <v>0.15</v>
      </c>
      <c r="E275" s="1844">
        <v>0.15</v>
      </c>
      <c r="F275" s="1845">
        <v>0.15</v>
      </c>
    </row>
    <row r="276" spans="1:6" ht="14.25" thickBot="1">
      <c r="A276" s="1839" t="s">
        <v>1414</v>
      </c>
      <c r="B276" s="1843" t="s">
        <v>2180</v>
      </c>
      <c r="C276" s="1844">
        <v>0.14499999999999999</v>
      </c>
      <c r="D276" s="1844">
        <v>0.14299999999999999</v>
      </c>
      <c r="E276" s="1844">
        <v>0.15</v>
      </c>
      <c r="F276" s="1845">
        <v>5.8999999999999997E-2</v>
      </c>
    </row>
    <row r="277" spans="1:6" ht="14.25" thickBot="1">
      <c r="A277" s="1839" t="s">
        <v>1414</v>
      </c>
      <c r="B277" s="1843" t="s">
        <v>2181</v>
      </c>
      <c r="C277" s="1844">
        <v>0.15</v>
      </c>
      <c r="D277" s="1844">
        <v>0.15</v>
      </c>
      <c r="E277" s="1844">
        <v>0.15</v>
      </c>
      <c r="F277" s="1845">
        <v>0.121</v>
      </c>
    </row>
    <row r="278" spans="1:6" ht="14.25" thickBot="1">
      <c r="A278" s="1839" t="s">
        <v>1414</v>
      </c>
      <c r="B278" s="1843" t="s">
        <v>2182</v>
      </c>
      <c r="C278" s="1844">
        <v>0.15</v>
      </c>
      <c r="D278" s="1844">
        <v>0.15</v>
      </c>
      <c r="E278" s="1844">
        <v>0.15</v>
      </c>
      <c r="F278" s="1845">
        <v>0.13800000000000001</v>
      </c>
    </row>
    <row r="279" spans="1:6" ht="24.75" thickBot="1">
      <c r="A279" s="1839" t="s">
        <v>1414</v>
      </c>
      <c r="B279" s="1843" t="s">
        <v>2183</v>
      </c>
      <c r="C279" s="1853"/>
      <c r="D279" s="1853"/>
      <c r="E279" s="1853"/>
      <c r="F279" s="1845">
        <v>0.05</v>
      </c>
    </row>
    <row r="280" spans="1:6" ht="24.75" thickBot="1">
      <c r="A280" s="1839" t="s">
        <v>1414</v>
      </c>
      <c r="B280" s="1843" t="s">
        <v>2184</v>
      </c>
      <c r="C280" s="1853"/>
      <c r="D280" s="1853"/>
      <c r="E280" s="1853"/>
      <c r="F280" s="1845">
        <v>0.05</v>
      </c>
    </row>
    <row r="281" spans="1:6" ht="24.75" thickBot="1">
      <c r="A281" s="1839" t="s">
        <v>1414</v>
      </c>
      <c r="B281" s="1843" t="s">
        <v>2185</v>
      </c>
      <c r="C281" s="1853"/>
      <c r="D281" s="1853"/>
      <c r="E281" s="1853"/>
      <c r="F281" s="1845">
        <v>0.05</v>
      </c>
    </row>
    <row r="282" spans="1:6" ht="24.75" thickBot="1">
      <c r="A282" s="1839" t="s">
        <v>1414</v>
      </c>
      <c r="B282" s="1843" t="s">
        <v>2186</v>
      </c>
      <c r="C282" s="1853"/>
      <c r="D282" s="1853"/>
      <c r="E282" s="1853"/>
      <c r="F282" s="1845">
        <v>0.05</v>
      </c>
    </row>
    <row r="283" spans="1:6" ht="24.75" thickBot="1">
      <c r="A283" s="1839" t="s">
        <v>1414</v>
      </c>
      <c r="B283" s="1843" t="s">
        <v>2187</v>
      </c>
      <c r="C283" s="1853"/>
      <c r="D283" s="1853"/>
      <c r="E283" s="1853"/>
      <c r="F283" s="1845">
        <v>0.05</v>
      </c>
    </row>
    <row r="284" spans="1:6" ht="24.75" thickBot="1">
      <c r="A284" s="1839" t="s">
        <v>1414</v>
      </c>
      <c r="B284" s="1843" t="s">
        <v>2188</v>
      </c>
      <c r="C284" s="1853"/>
      <c r="D284" s="1853"/>
      <c r="E284" s="1853"/>
      <c r="F284" s="1845">
        <v>0.05</v>
      </c>
    </row>
    <row r="285" spans="1:6" ht="24.75" thickBot="1">
      <c r="A285" s="1839" t="s">
        <v>1414</v>
      </c>
      <c r="B285" s="1843" t="s">
        <v>2189</v>
      </c>
      <c r="C285" s="1853"/>
      <c r="D285" s="1853"/>
      <c r="E285" s="1853"/>
      <c r="F285" s="1845">
        <v>0.05</v>
      </c>
    </row>
    <row r="286" spans="1:6" ht="24.75" thickBot="1">
      <c r="A286" s="1839" t="s">
        <v>1414</v>
      </c>
      <c r="B286" s="1843" t="s">
        <v>2190</v>
      </c>
      <c r="C286" s="1853"/>
      <c r="D286" s="1853"/>
      <c r="E286" s="1853"/>
      <c r="F286" s="1845">
        <v>0.05</v>
      </c>
    </row>
    <row r="287" spans="1:6" ht="24.75" thickBot="1">
      <c r="A287" s="1839" t="s">
        <v>1414</v>
      </c>
      <c r="B287" s="1843" t="s">
        <v>2191</v>
      </c>
      <c r="C287" s="1853"/>
      <c r="D287" s="1853"/>
      <c r="E287" s="1853"/>
      <c r="F287" s="1845">
        <v>0.05</v>
      </c>
    </row>
    <row r="288" spans="1:6" ht="24.75" thickBot="1">
      <c r="A288" s="1839" t="s">
        <v>1414</v>
      </c>
      <c r="B288" s="1843" t="s">
        <v>2192</v>
      </c>
      <c r="C288" s="1853"/>
      <c r="D288" s="1853"/>
      <c r="E288" s="1853"/>
      <c r="F288" s="1845">
        <v>0.05</v>
      </c>
    </row>
    <row r="289" spans="1:6" ht="24.75" thickBot="1">
      <c r="A289" s="1847" t="s">
        <v>1414</v>
      </c>
      <c r="B289" s="1854" t="s">
        <v>2193</v>
      </c>
      <c r="C289" s="1850"/>
      <c r="D289" s="1850"/>
      <c r="E289" s="1850"/>
      <c r="F289" s="1855">
        <v>0.05</v>
      </c>
    </row>
    <row r="290" spans="1:6" ht="14.25" thickBot="1">
      <c r="A290" s="1839" t="s">
        <v>1418</v>
      </c>
      <c r="B290" s="1840" t="s">
        <v>2194</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2195</v>
      </c>
      <c r="C292" s="1844">
        <v>0.15</v>
      </c>
      <c r="D292" s="1844">
        <v>0.15</v>
      </c>
      <c r="E292" s="1844">
        <v>0.15</v>
      </c>
      <c r="F292" s="1845">
        <v>0.14699999999999999</v>
      </c>
    </row>
    <row r="293" spans="1:6" ht="14.25" thickBot="1">
      <c r="A293" s="1839" t="s">
        <v>1418</v>
      </c>
      <c r="B293" s="1843" t="s">
        <v>2196</v>
      </c>
      <c r="C293" s="1853"/>
      <c r="D293" s="1853"/>
      <c r="E293" s="1853"/>
      <c r="F293" s="1845">
        <v>0.1</v>
      </c>
    </row>
    <row r="294" spans="1:6" ht="14.25" thickBot="1">
      <c r="A294" s="1839" t="s">
        <v>1418</v>
      </c>
      <c r="B294" s="1843" t="s">
        <v>2197</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2198</v>
      </c>
      <c r="C296" s="1844">
        <v>0.15</v>
      </c>
      <c r="D296" s="1844">
        <v>0.15</v>
      </c>
      <c r="E296" s="1844">
        <v>0.15</v>
      </c>
      <c r="F296" s="1845">
        <v>0.15</v>
      </c>
    </row>
    <row r="297" spans="1:6" ht="14.25" thickBot="1">
      <c r="A297" s="1839" t="s">
        <v>1418</v>
      </c>
      <c r="B297" s="1843" t="s">
        <v>2199</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2200</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2201</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2202</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2203</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2204</v>
      </c>
      <c r="C310" s="1844">
        <v>0.15</v>
      </c>
      <c r="D310" s="1844">
        <v>0.15</v>
      </c>
      <c r="E310" s="1844">
        <v>0.15</v>
      </c>
      <c r="F310" s="1845">
        <v>0.13700000000000001</v>
      </c>
    </row>
    <row r="311" spans="1:6" ht="14.25" thickBot="1">
      <c r="A311" s="1839" t="s">
        <v>1418</v>
      </c>
      <c r="B311" s="1843" t="s">
        <v>2205</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2206</v>
      </c>
      <c r="C313" s="1844">
        <v>0.15</v>
      </c>
      <c r="D313" s="1844">
        <v>0.15</v>
      </c>
      <c r="E313" s="1844">
        <v>0.15</v>
      </c>
      <c r="F313" s="1845">
        <v>0.15</v>
      </c>
    </row>
    <row r="314" spans="1:6" ht="24.75" thickBot="1">
      <c r="A314" s="1839" t="s">
        <v>1418</v>
      </c>
      <c r="B314" s="1843" t="s">
        <v>2207</v>
      </c>
      <c r="C314" s="1853"/>
      <c r="D314" s="1853"/>
      <c r="E314" s="1853"/>
      <c r="F314" s="1845">
        <v>0.05</v>
      </c>
    </row>
    <row r="315" spans="1:6" ht="24.75" thickBot="1">
      <c r="A315" s="1839" t="s">
        <v>1418</v>
      </c>
      <c r="B315" s="1843" t="s">
        <v>2208</v>
      </c>
      <c r="C315" s="1853"/>
      <c r="D315" s="1853"/>
      <c r="E315" s="1853"/>
      <c r="F315" s="1845">
        <v>0.05</v>
      </c>
    </row>
    <row r="316" spans="1:6" ht="24.75" thickBot="1">
      <c r="A316" s="1847" t="s">
        <v>1418</v>
      </c>
      <c r="B316" s="1854" t="s">
        <v>2209</v>
      </c>
      <c r="C316" s="1850"/>
      <c r="D316" s="1850"/>
      <c r="E316" s="1850"/>
      <c r="F316" s="1855">
        <v>0.05</v>
      </c>
    </row>
    <row r="317" spans="1:6" ht="14.25" thickBot="1">
      <c r="A317" s="1839" t="s">
        <v>2210</v>
      </c>
      <c r="B317" s="1840" t="s">
        <v>2211</v>
      </c>
      <c r="C317" s="1841">
        <v>0.15</v>
      </c>
      <c r="D317" s="1841">
        <v>0.15</v>
      </c>
      <c r="E317" s="1841">
        <v>0.15</v>
      </c>
      <c r="F317" s="1842">
        <v>0.15</v>
      </c>
    </row>
    <row r="318" spans="1:6" ht="14.25" thickBot="1">
      <c r="A318" s="1839" t="s">
        <v>2210</v>
      </c>
      <c r="B318" s="1843" t="s">
        <v>2212</v>
      </c>
      <c r="C318" s="1844">
        <v>0.107</v>
      </c>
      <c r="D318" s="1844">
        <v>0.11</v>
      </c>
      <c r="E318" s="1844">
        <v>0.112</v>
      </c>
      <c r="F318" s="1852"/>
    </row>
    <row r="319" spans="1:6" ht="14.25" thickBot="1">
      <c r="A319" s="1839" t="s">
        <v>2210</v>
      </c>
      <c r="B319" s="1843" t="s">
        <v>2213</v>
      </c>
      <c r="C319" s="1844">
        <v>0.15</v>
      </c>
      <c r="D319" s="1844">
        <v>0.15</v>
      </c>
      <c r="E319" s="1844">
        <v>0.15</v>
      </c>
      <c r="F319" s="1845">
        <v>0.15</v>
      </c>
    </row>
    <row r="320" spans="1:6" ht="14.25" thickBot="1">
      <c r="A320" s="1839" t="s">
        <v>2210</v>
      </c>
      <c r="B320" s="1843" t="s">
        <v>1106</v>
      </c>
      <c r="C320" s="1844">
        <v>0.15</v>
      </c>
      <c r="D320" s="1844">
        <v>0.15</v>
      </c>
      <c r="E320" s="1844">
        <v>0.15</v>
      </c>
      <c r="F320" s="1852"/>
    </row>
    <row r="321" spans="1:6" ht="14.25" thickBot="1">
      <c r="A321" s="1839" t="s">
        <v>2210</v>
      </c>
      <c r="B321" s="1843" t="s">
        <v>2214</v>
      </c>
      <c r="C321" s="1844">
        <v>0.15</v>
      </c>
      <c r="D321" s="1844">
        <v>0.15</v>
      </c>
      <c r="E321" s="1844">
        <v>0.15</v>
      </c>
      <c r="F321" s="1852"/>
    </row>
    <row r="322" spans="1:6" ht="14.25" thickBot="1">
      <c r="A322" s="1839" t="s">
        <v>2210</v>
      </c>
      <c r="B322" s="1843" t="s">
        <v>2215</v>
      </c>
      <c r="C322" s="1844">
        <v>0.15</v>
      </c>
      <c r="D322" s="1844">
        <v>0.15</v>
      </c>
      <c r="E322" s="1844">
        <v>0.15</v>
      </c>
      <c r="F322" s="1845">
        <v>0.15</v>
      </c>
    </row>
    <row r="323" spans="1:6" ht="14.25" thickBot="1">
      <c r="A323" s="1839" t="s">
        <v>2210</v>
      </c>
      <c r="B323" s="1843" t="s">
        <v>2216</v>
      </c>
      <c r="C323" s="1844">
        <v>0.15</v>
      </c>
      <c r="D323" s="1844">
        <v>0.15</v>
      </c>
      <c r="E323" s="1844">
        <v>0.15</v>
      </c>
      <c r="F323" s="1852"/>
    </row>
    <row r="324" spans="1:6" ht="14.25" thickBot="1">
      <c r="A324" s="1839" t="s">
        <v>2210</v>
      </c>
      <c r="B324" s="1843" t="s">
        <v>2217</v>
      </c>
      <c r="C324" s="1844">
        <v>0.15</v>
      </c>
      <c r="D324" s="1844">
        <v>0.15</v>
      </c>
      <c r="E324" s="1844">
        <v>0.15</v>
      </c>
      <c r="F324" s="1852"/>
    </row>
    <row r="325" spans="1:6" ht="14.25" thickBot="1">
      <c r="A325" s="1839" t="s">
        <v>2210</v>
      </c>
      <c r="B325" s="1843" t="s">
        <v>2218</v>
      </c>
      <c r="C325" s="1844">
        <v>0.15</v>
      </c>
      <c r="D325" s="1844">
        <v>0.15</v>
      </c>
      <c r="E325" s="1844">
        <v>0.15</v>
      </c>
      <c r="F325" s="1845">
        <v>0.14699999999999999</v>
      </c>
    </row>
    <row r="326" spans="1:6" ht="14.25" thickBot="1">
      <c r="A326" s="1839" t="s">
        <v>2210</v>
      </c>
      <c r="B326" s="1843" t="s">
        <v>1175</v>
      </c>
      <c r="C326" s="1844">
        <v>0.15</v>
      </c>
      <c r="D326" s="1844">
        <v>0.15</v>
      </c>
      <c r="E326" s="1844">
        <v>0.15</v>
      </c>
      <c r="F326" s="1852"/>
    </row>
    <row r="327" spans="1:6" ht="14.25" thickBot="1">
      <c r="A327" s="1839" t="s">
        <v>2210</v>
      </c>
      <c r="B327" s="1843" t="s">
        <v>2219</v>
      </c>
      <c r="C327" s="1844">
        <v>0.15</v>
      </c>
      <c r="D327" s="1844">
        <v>0.15</v>
      </c>
      <c r="E327" s="1844">
        <v>0.15</v>
      </c>
      <c r="F327" s="1845">
        <v>0.15</v>
      </c>
    </row>
    <row r="328" spans="1:6" ht="14.25" thickBot="1">
      <c r="A328" s="1839" t="s">
        <v>2210</v>
      </c>
      <c r="B328" s="1843" t="s">
        <v>1195</v>
      </c>
      <c r="C328" s="1844">
        <v>0.15</v>
      </c>
      <c r="D328" s="1844">
        <v>0.15</v>
      </c>
      <c r="E328" s="1844">
        <v>0.15</v>
      </c>
      <c r="F328" s="1845">
        <v>0.14099999999999999</v>
      </c>
    </row>
    <row r="329" spans="1:6" ht="14.25" thickBot="1">
      <c r="A329" s="1839" t="s">
        <v>2210</v>
      </c>
      <c r="B329" s="1843" t="s">
        <v>1205</v>
      </c>
      <c r="C329" s="1844">
        <v>0.15</v>
      </c>
      <c r="D329" s="1844">
        <v>0.15</v>
      </c>
      <c r="E329" s="1844">
        <v>0.15</v>
      </c>
      <c r="F329" s="1845">
        <v>0.15</v>
      </c>
    </row>
    <row r="330" spans="1:6" ht="14.25" thickBot="1">
      <c r="A330" s="1839" t="s">
        <v>2210</v>
      </c>
      <c r="B330" s="1843" t="s">
        <v>1215</v>
      </c>
      <c r="C330" s="1844">
        <v>0.15</v>
      </c>
      <c r="D330" s="1844">
        <v>0.15</v>
      </c>
      <c r="E330" s="1844">
        <v>0.15</v>
      </c>
      <c r="F330" s="1852"/>
    </row>
    <row r="331" spans="1:6" ht="14.25" thickBot="1">
      <c r="A331" s="1839" t="s">
        <v>2210</v>
      </c>
      <c r="B331" s="1843" t="s">
        <v>2220</v>
      </c>
      <c r="C331" s="1844">
        <v>0.15</v>
      </c>
      <c r="D331" s="1844">
        <v>0.15</v>
      </c>
      <c r="E331" s="1844">
        <v>0.15</v>
      </c>
      <c r="F331" s="1845">
        <v>0.15</v>
      </c>
    </row>
    <row r="332" spans="1:6" ht="14.25" thickBot="1">
      <c r="A332" s="1839" t="s">
        <v>2210</v>
      </c>
      <c r="B332" s="1843" t="s">
        <v>1235</v>
      </c>
      <c r="C332" s="1844">
        <v>0.15</v>
      </c>
      <c r="D332" s="1844">
        <v>0.15</v>
      </c>
      <c r="E332" s="1844">
        <v>0.15</v>
      </c>
      <c r="F332" s="1845">
        <v>0.15</v>
      </c>
    </row>
    <row r="333" spans="1:6" ht="14.25" thickBot="1">
      <c r="A333" s="1839" t="s">
        <v>2210</v>
      </c>
      <c r="B333" s="1843" t="s">
        <v>2221</v>
      </c>
      <c r="C333" s="1844">
        <v>0.15</v>
      </c>
      <c r="D333" s="1844">
        <v>0.15</v>
      </c>
      <c r="E333" s="1844">
        <v>0.15</v>
      </c>
      <c r="F333" s="1845">
        <v>0.14099999999999999</v>
      </c>
    </row>
    <row r="334" spans="1:6" ht="14.25" thickBot="1">
      <c r="A334" s="1839" t="s">
        <v>2210</v>
      </c>
      <c r="B334" s="1843" t="s">
        <v>1255</v>
      </c>
      <c r="C334" s="1844">
        <v>0.15</v>
      </c>
      <c r="D334" s="1844">
        <v>0.15</v>
      </c>
      <c r="E334" s="1844">
        <v>0.15</v>
      </c>
      <c r="F334" s="1845">
        <v>0.15</v>
      </c>
    </row>
    <row r="335" spans="1:6" ht="14.25" thickBot="1">
      <c r="A335" s="1839" t="s">
        <v>2210</v>
      </c>
      <c r="B335" s="1843" t="s">
        <v>1265</v>
      </c>
      <c r="C335" s="1844">
        <v>0.15</v>
      </c>
      <c r="D335" s="1844">
        <v>0.15</v>
      </c>
      <c r="E335" s="1844">
        <v>0.15</v>
      </c>
      <c r="F335" s="1852"/>
    </row>
    <row r="336" spans="1:6" ht="14.25" thickBot="1">
      <c r="A336" s="1839" t="s">
        <v>2210</v>
      </c>
      <c r="B336" s="1843" t="s">
        <v>2222</v>
      </c>
      <c r="C336" s="1844">
        <v>0.15</v>
      </c>
      <c r="D336" s="1844">
        <v>0.15</v>
      </c>
      <c r="E336" s="1844">
        <v>0.15</v>
      </c>
      <c r="F336" s="1845">
        <v>0.11799999999999999</v>
      </c>
    </row>
    <row r="337" spans="1:6" ht="14.25" thickBot="1">
      <c r="A337" s="1847" t="s">
        <v>2210</v>
      </c>
      <c r="B337" s="1854" t="s">
        <v>1283</v>
      </c>
      <c r="C337" s="1850"/>
      <c r="D337" s="1850"/>
      <c r="E337" s="1850"/>
      <c r="F337" s="1855">
        <v>0.14299999999999999</v>
      </c>
    </row>
    <row r="338" spans="1:6" ht="14.25" thickBot="1">
      <c r="A338" s="1839" t="s">
        <v>2223</v>
      </c>
      <c r="B338" s="1840" t="s">
        <v>2224</v>
      </c>
      <c r="C338" s="1841">
        <v>0.15</v>
      </c>
      <c r="D338" s="1841">
        <v>0.15</v>
      </c>
      <c r="E338" s="1841">
        <v>0.15</v>
      </c>
      <c r="F338" s="1863"/>
    </row>
    <row r="339" spans="1:6" ht="14.25" thickBot="1">
      <c r="A339" s="1839" t="s">
        <v>2223</v>
      </c>
      <c r="B339" s="1843" t="s">
        <v>2225</v>
      </c>
      <c r="C339" s="1844">
        <v>0.15</v>
      </c>
      <c r="D339" s="1844">
        <v>0.15</v>
      </c>
      <c r="E339" s="1844">
        <v>0.15</v>
      </c>
      <c r="F339" s="1852"/>
    </row>
    <row r="340" spans="1:6" ht="14.25" thickBot="1">
      <c r="A340" s="1839" t="s">
        <v>2223</v>
      </c>
      <c r="B340" s="1843" t="s">
        <v>2226</v>
      </c>
      <c r="C340" s="1844">
        <v>0.15</v>
      </c>
      <c r="D340" s="1844">
        <v>0.15</v>
      </c>
      <c r="E340" s="1844">
        <v>0.15</v>
      </c>
      <c r="F340" s="1852"/>
    </row>
    <row r="341" spans="1:6" ht="14.25" thickBot="1">
      <c r="A341" s="1839" t="s">
        <v>2227</v>
      </c>
      <c r="B341" s="1843" t="s">
        <v>2228</v>
      </c>
      <c r="C341" s="1844">
        <v>0.15</v>
      </c>
      <c r="D341" s="1844">
        <v>0.15</v>
      </c>
      <c r="E341" s="1844">
        <v>0.15</v>
      </c>
      <c r="F341" s="1845">
        <v>0.15</v>
      </c>
    </row>
    <row r="342" spans="1:6" ht="14.25" thickBot="1">
      <c r="A342" s="1839" t="s">
        <v>2223</v>
      </c>
      <c r="B342" s="1843" t="s">
        <v>2229</v>
      </c>
      <c r="C342" s="1844">
        <v>0.15</v>
      </c>
      <c r="D342" s="1844">
        <v>0.15</v>
      </c>
      <c r="E342" s="1844">
        <v>0.15</v>
      </c>
      <c r="F342" s="1845">
        <v>0.15</v>
      </c>
    </row>
    <row r="343" spans="1:6" ht="14.25" thickBot="1">
      <c r="A343" s="1839" t="s">
        <v>2223</v>
      </c>
      <c r="B343" s="1843" t="s">
        <v>2230</v>
      </c>
      <c r="C343" s="1844">
        <v>0.15</v>
      </c>
      <c r="D343" s="1844">
        <v>0.15</v>
      </c>
      <c r="E343" s="1844">
        <v>0.15</v>
      </c>
      <c r="F343" s="1845">
        <v>0.15</v>
      </c>
    </row>
    <row r="344" spans="1:6" ht="14.2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election activeCell="N25" sqref="N25"/>
    </sheetView>
  </sheetViews>
  <sheetFormatPr defaultRowHeight="13.5"/>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受贵公司委托，我公司对湖南省株洲市醴陵市出让国有建设用地使用权抵押价格进行了预评估。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6.25">
      <c r="A7" s="1779" t="s">
        <v>2740</v>
      </c>
    </row>
    <row r="8" spans="1:4" ht="18.75">
      <c r="A8" s="1778" t="s">
        <v>1904</v>
      </c>
    </row>
    <row r="9" spans="1:4" ht="75">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2020</v>
      </c>
    </row>
    <row r="11" spans="1:4" ht="18.75">
      <c r="A11" s="1764" t="str">
        <f>TEXT(项目基本情况!D3,"yyyy年m月d日;;")&amp;IF(项目基本情况!B3=项目基本情况!D3,"（评估专业人员勘察现场之日）","")</f>
        <v>2020年2月21日</v>
      </c>
    </row>
    <row r="12" spans="1:4" ht="18.75">
      <c r="A12" s="1781" t="s">
        <v>2019</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2066</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5" t="s">
        <v>2067</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8.75">
      <c r="A21" s="1775" t="s">
        <v>2068</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2069</v>
      </c>
    </row>
    <row r="25" spans="1:1" ht="93.75">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2021</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12"/>
  <sheetViews>
    <sheetView zoomScale="80" zoomScaleNormal="80" workbookViewId="0">
      <selection activeCell="AB7" sqref="AB7"/>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0" t="s">
        <v>2569</v>
      </c>
      <c r="C1" s="3450"/>
      <c r="D1" s="3450"/>
      <c r="E1" s="3450"/>
      <c r="F1" s="3450"/>
      <c r="G1" s="3449" t="s">
        <v>2570</v>
      </c>
      <c r="H1" s="3449"/>
      <c r="I1" s="3449"/>
      <c r="J1" s="3449"/>
      <c r="K1" s="3449"/>
      <c r="L1" s="3449"/>
      <c r="N1" s="3449" t="s">
        <v>2571</v>
      </c>
      <c r="O1" s="3449"/>
      <c r="P1" s="3449"/>
      <c r="Q1" s="3449"/>
      <c r="R1" s="2617"/>
      <c r="S1" s="3449" t="s">
        <v>2572</v>
      </c>
      <c r="T1" s="3449"/>
      <c r="U1" s="3449"/>
      <c r="V1" s="3449"/>
      <c r="X1" s="3448" t="s">
        <v>2632</v>
      </c>
      <c r="Y1" s="3449"/>
      <c r="Z1" s="3449"/>
      <c r="AA1" s="3449"/>
      <c r="AB1" s="3449"/>
      <c r="AD1" s="3448" t="s">
        <v>2636</v>
      </c>
      <c r="AE1" s="3449"/>
      <c r="AF1" s="3449"/>
      <c r="AG1" s="3449"/>
      <c r="AH1" s="3449"/>
    </row>
    <row r="2" spans="1:34" s="2718" customFormat="1" ht="14.25" thickBot="1">
      <c r="B2" s="2726" t="s">
        <v>2573</v>
      </c>
      <c r="C2" s="2726" t="s">
        <v>2634</v>
      </c>
      <c r="D2" s="2719" t="s">
        <v>1643</v>
      </c>
      <c r="E2" s="2719" t="s">
        <v>1945</v>
      </c>
      <c r="F2" s="2726" t="s">
        <v>2635</v>
      </c>
      <c r="G2" s="2722"/>
      <c r="H2" s="2721"/>
      <c r="I2" s="2726" t="s">
        <v>2945</v>
      </c>
      <c r="J2" s="2719" t="s">
        <v>2947</v>
      </c>
      <c r="K2" s="2719" t="s">
        <v>2948</v>
      </c>
      <c r="L2" s="2726" t="s">
        <v>2949</v>
      </c>
      <c r="N2" s="2726" t="s">
        <v>2573</v>
      </c>
      <c r="O2" s="2719" t="s">
        <v>2946</v>
      </c>
      <c r="P2" s="2719" t="s">
        <v>1945</v>
      </c>
      <c r="Q2" s="2726" t="s">
        <v>2635</v>
      </c>
      <c r="R2" s="2720"/>
      <c r="S2" s="2726" t="s">
        <v>2573</v>
      </c>
      <c r="T2" s="2719" t="s">
        <v>2946</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25">
      <c r="A3" s="3093" t="s">
        <v>2958</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2987</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2959</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2982</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2979</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2978</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2975</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52">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2968</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2"/>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2969</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2"/>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2965</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8"/>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2956</v>
      </c>
      <c r="B14" s="3095">
        <v>439</v>
      </c>
      <c r="C14" s="3095">
        <v>327</v>
      </c>
      <c r="D14" s="3095">
        <f t="shared" si="87"/>
        <v>327</v>
      </c>
      <c r="E14" s="3095">
        <v>627</v>
      </c>
      <c r="F14" s="3096">
        <v>283</v>
      </c>
      <c r="G14" s="3457">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2960</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2"/>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52"/>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58"/>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57">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2"/>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52"/>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3"/>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966</v>
      </c>
      <c r="B22" s="2623">
        <v>333</v>
      </c>
      <c r="C22" s="2623">
        <v>277</v>
      </c>
      <c r="D22" s="2623">
        <f t="shared" si="109"/>
        <v>277</v>
      </c>
      <c r="E22" s="2623">
        <v>459</v>
      </c>
      <c r="F22" s="2624">
        <v>249</v>
      </c>
      <c r="G22" s="3451">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2"/>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52"/>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3"/>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962</v>
      </c>
      <c r="B26" s="2645">
        <v>318</v>
      </c>
      <c r="C26" s="2645">
        <v>268</v>
      </c>
      <c r="D26" s="2645">
        <f t="shared" si="109"/>
        <v>268</v>
      </c>
      <c r="E26" s="2645">
        <v>437</v>
      </c>
      <c r="F26" s="2646">
        <v>237</v>
      </c>
      <c r="G26" s="3451">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2"/>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52"/>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3"/>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2576</v>
      </c>
      <c r="B30" s="2623">
        <v>299</v>
      </c>
      <c r="C30" s="2623">
        <v>252</v>
      </c>
      <c r="D30" s="2623">
        <f t="shared" si="109"/>
        <v>252</v>
      </c>
      <c r="E30" s="2623">
        <v>409</v>
      </c>
      <c r="F30" s="2624">
        <v>227</v>
      </c>
      <c r="G30" s="3454">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5"/>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5"/>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6"/>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2580</v>
      </c>
      <c r="B34" s="2661">
        <v>278</v>
      </c>
      <c r="C34" s="2661">
        <v>234</v>
      </c>
      <c r="D34" s="2661">
        <f t="shared" si="109"/>
        <v>234</v>
      </c>
      <c r="E34" s="2661">
        <v>379</v>
      </c>
      <c r="F34" s="2662">
        <v>220</v>
      </c>
      <c r="G34" s="3451">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52"/>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52"/>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2583</v>
      </c>
      <c r="B37" s="2631">
        <f>B36/(1+N36)</f>
        <v>275.19025476197027</v>
      </c>
      <c r="C37" s="2663">
        <v>232</v>
      </c>
      <c r="D37" s="2663">
        <f t="shared" si="109"/>
        <v>232</v>
      </c>
      <c r="E37" s="2631">
        <f t="shared" si="120"/>
        <v>375.65990977608692</v>
      </c>
      <c r="F37" s="2631">
        <f t="shared" si="120"/>
        <v>214.12518283971252</v>
      </c>
      <c r="G37" s="3453"/>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2584</v>
      </c>
      <c r="B38" s="2623">
        <v>275</v>
      </c>
      <c r="C38" s="2623">
        <v>232</v>
      </c>
      <c r="D38" s="2623">
        <f t="shared" si="109"/>
        <v>232</v>
      </c>
      <c r="E38" s="2623">
        <v>376</v>
      </c>
      <c r="F38" s="2624">
        <v>213</v>
      </c>
      <c r="G38" s="3451">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2">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52">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3">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2588</v>
      </c>
      <c r="B42" s="2623">
        <v>269</v>
      </c>
      <c r="C42" s="2623">
        <v>221</v>
      </c>
      <c r="D42" s="2623">
        <f t="shared" si="109"/>
        <v>221</v>
      </c>
      <c r="E42" s="2623">
        <v>373</v>
      </c>
      <c r="F42" s="2624">
        <v>196</v>
      </c>
      <c r="G42" s="3451">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2">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52">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3">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2592</v>
      </c>
      <c r="B46" s="2623">
        <v>220</v>
      </c>
      <c r="C46" s="2623">
        <v>187</v>
      </c>
      <c r="D46" s="2623">
        <f t="shared" si="109"/>
        <v>187</v>
      </c>
      <c r="E46" s="2623">
        <v>301</v>
      </c>
      <c r="F46" s="2624">
        <v>168</v>
      </c>
      <c r="G46" s="3451">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2">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52">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3">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2596</v>
      </c>
      <c r="B50" s="2661">
        <v>214</v>
      </c>
      <c r="C50" s="2661">
        <v>188</v>
      </c>
      <c r="D50" s="2661">
        <f t="shared" si="109"/>
        <v>188</v>
      </c>
      <c r="E50" s="2661">
        <v>289</v>
      </c>
      <c r="F50" s="2662">
        <v>166</v>
      </c>
      <c r="G50" s="3451">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2">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52">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3">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2600</v>
      </c>
      <c r="B54" s="2623">
        <v>188</v>
      </c>
      <c r="C54" s="2623">
        <v>165</v>
      </c>
      <c r="D54" s="2623">
        <f t="shared" si="109"/>
        <v>165</v>
      </c>
      <c r="E54" s="2623">
        <v>254</v>
      </c>
      <c r="F54" s="2624">
        <v>148</v>
      </c>
      <c r="G54" s="3451">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2">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52">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3">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2604</v>
      </c>
      <c r="B58" s="2645">
        <v>159</v>
      </c>
      <c r="C58" s="2645">
        <v>141</v>
      </c>
      <c r="D58" s="2645">
        <f t="shared" si="109"/>
        <v>141</v>
      </c>
      <c r="E58" s="2645">
        <v>195</v>
      </c>
      <c r="F58" s="2646">
        <v>122</v>
      </c>
      <c r="G58" s="3451">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2">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52">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3">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2608</v>
      </c>
      <c r="B62" s="2645">
        <v>138</v>
      </c>
      <c r="C62" s="2645">
        <v>131</v>
      </c>
      <c r="D62" s="2645">
        <f t="shared" si="109"/>
        <v>131</v>
      </c>
      <c r="E62" s="2645">
        <v>155</v>
      </c>
      <c r="F62" s="2646">
        <v>114</v>
      </c>
      <c r="G62" s="3451">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2">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52">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3">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2612</v>
      </c>
      <c r="B66" s="2661">
        <v>121</v>
      </c>
      <c r="C66" s="2661">
        <v>122</v>
      </c>
      <c r="D66" s="2661">
        <f t="shared" si="109"/>
        <v>122</v>
      </c>
      <c r="E66" s="2661">
        <v>124</v>
      </c>
      <c r="F66" s="2662">
        <v>107</v>
      </c>
      <c r="G66" s="3451">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2">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52">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3">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2616</v>
      </c>
      <c r="B70" s="2682">
        <v>111</v>
      </c>
      <c r="C70" s="2682">
        <v>114</v>
      </c>
      <c r="D70" s="2682">
        <f t="shared" si="109"/>
        <v>114</v>
      </c>
      <c r="E70" s="2682">
        <v>108</v>
      </c>
      <c r="F70" s="2683">
        <v>104</v>
      </c>
      <c r="G70" s="3451">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52">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52">
        <v>2003</v>
      </c>
      <c r="H72" s="2622">
        <v>2</v>
      </c>
      <c r="I72" s="2684"/>
      <c r="J72" s="2684"/>
      <c r="K72" s="2684"/>
      <c r="L72" s="2684"/>
      <c r="X72" s="2676"/>
      <c r="Y72" s="2676"/>
      <c r="Z72" s="2676"/>
    </row>
    <row r="73" spans="1:26" ht="13.5" thickBot="1">
      <c r="A73" s="2618" t="s">
        <v>2619</v>
      </c>
      <c r="B73" s="2686">
        <f t="shared" si="145"/>
        <v>107.25</v>
      </c>
      <c r="C73" s="2686">
        <f t="shared" si="145"/>
        <v>108.75</v>
      </c>
      <c r="D73" s="2686">
        <f t="shared" si="109"/>
        <v>108.75</v>
      </c>
      <c r="E73" s="2686">
        <f t="shared" si="146"/>
        <v>105.75</v>
      </c>
      <c r="F73" s="2686">
        <f t="shared" si="146"/>
        <v>102.5</v>
      </c>
      <c r="G73" s="3453">
        <v>2003</v>
      </c>
      <c r="H73" s="2687">
        <v>1</v>
      </c>
      <c r="I73" s="2684"/>
      <c r="J73" s="2684"/>
      <c r="K73" s="2684"/>
      <c r="L73" s="2684"/>
      <c r="S73" s="2626"/>
      <c r="T73" s="2627"/>
      <c r="U73" s="2627"/>
      <c r="X73" s="2676"/>
      <c r="Y73" s="2676"/>
      <c r="Z73" s="2676"/>
    </row>
    <row r="74" spans="1:26" ht="13.5" thickBot="1">
      <c r="A74" s="2618" t="s">
        <v>2620</v>
      </c>
      <c r="B74" s="2688">
        <v>106</v>
      </c>
      <c r="C74" s="2688">
        <v>107</v>
      </c>
      <c r="D74" s="2688">
        <f t="shared" si="109"/>
        <v>107</v>
      </c>
      <c r="E74" s="2688">
        <v>105</v>
      </c>
      <c r="F74" s="2689">
        <v>102</v>
      </c>
      <c r="G74" s="3451">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52">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52">
        <v>2002</v>
      </c>
      <c r="H76" s="2622">
        <v>2</v>
      </c>
      <c r="I76" s="2684"/>
      <c r="J76" s="2684"/>
      <c r="K76" s="2684"/>
      <c r="L76" s="2684"/>
      <c r="X76" s="2676"/>
      <c r="Y76" s="2676"/>
      <c r="Z76" s="2676"/>
    </row>
    <row r="77" spans="1:26" s="2653" customFormat="1" ht="13.5" thickBot="1">
      <c r="A77" s="2649" t="s">
        <v>2623</v>
      </c>
      <c r="B77" s="2690">
        <f t="shared" si="147"/>
        <v>103</v>
      </c>
      <c r="C77" s="2690">
        <f t="shared" si="147"/>
        <v>104</v>
      </c>
      <c r="D77" s="2690">
        <f t="shared" si="109"/>
        <v>104</v>
      </c>
      <c r="E77" s="2690">
        <f t="shared" si="148"/>
        <v>103.5</v>
      </c>
      <c r="F77" s="2690">
        <f t="shared" si="148"/>
        <v>100.5</v>
      </c>
      <c r="G77" s="3453">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5"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C89" sqref="C89:G9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2938</v>
      </c>
      <c r="B1" s="3055"/>
      <c r="C1" s="3055"/>
      <c r="D1" s="3055"/>
      <c r="E1" s="3055"/>
      <c r="F1" s="3055"/>
    </row>
    <row r="2" spans="1:6" ht="14.25">
      <c r="A2" s="3056" t="s">
        <v>2933</v>
      </c>
      <c r="B2" s="3057" t="e">
        <f ca="1">SUMIF(B7:B14,"&lt;&gt;#ref!",B7:B14)</f>
        <v>#DIV/0!</v>
      </c>
      <c r="C2" s="3056" t="s">
        <v>2934</v>
      </c>
      <c r="D2" s="3055"/>
      <c r="E2" s="3055"/>
      <c r="F2" s="3055"/>
    </row>
    <row r="3" spans="1:6" ht="14.25">
      <c r="A3" s="3056" t="s">
        <v>2966</v>
      </c>
      <c r="B3" s="3057" t="e">
        <f ca="1">ROUND(B2*10000/E3,0)</f>
        <v>#DIV/0!</v>
      </c>
      <c r="C3" s="3056" t="s">
        <v>2072</v>
      </c>
      <c r="D3" s="3056" t="s">
        <v>2935</v>
      </c>
      <c r="E3" s="3057">
        <f ca="1">SUMIF(E7:E14,"&lt;&gt;#ref!",E7:E14)</f>
        <v>0</v>
      </c>
      <c r="F3" s="3055"/>
    </row>
    <row r="4" spans="1:6" ht="14.25">
      <c r="A4" s="3056" t="s">
        <v>2942</v>
      </c>
      <c r="B4" s="3057" t="e">
        <f ca="1">ROUND(B2*10000/E4,0)</f>
        <v>#DIV/0!</v>
      </c>
      <c r="C4" s="3056" t="s">
        <v>2072</v>
      </c>
      <c r="D4" s="3056" t="s">
        <v>2943</v>
      </c>
      <c r="E4" s="3057">
        <f ca="1">SUMIF(F7:F14,"&lt;&gt;#ref!",F7:F14)</f>
        <v>0</v>
      </c>
      <c r="F4" s="3055"/>
    </row>
    <row r="5" spans="1:6" ht="14.25">
      <c r="A5" s="3058"/>
      <c r="B5" s="1865"/>
      <c r="C5" s="1865"/>
      <c r="D5" s="1865"/>
      <c r="E5" s="1865"/>
      <c r="F5" s="3055"/>
    </row>
    <row r="6" spans="1:6" ht="28.5">
      <c r="A6" s="3059" t="s">
        <v>2939</v>
      </c>
      <c r="B6" s="3056" t="s">
        <v>2936</v>
      </c>
      <c r="C6" s="3057"/>
      <c r="D6" s="1865"/>
      <c r="E6" s="3056" t="s">
        <v>2937</v>
      </c>
      <c r="F6" s="3056" t="s">
        <v>2941</v>
      </c>
    </row>
    <row r="7" spans="1:6" ht="14.25">
      <c r="A7" s="259" t="s">
        <v>2940</v>
      </c>
      <c r="B7" s="3060" t="e">
        <f ca="1">SUMIF(INDIRECT("'"&amp;A7&amp;"'"&amp;"!A:A"),"总价",INDIRECT("'"&amp;A7&amp;"'"&amp;"!B:B"))</f>
        <v>#DIV/0!</v>
      </c>
      <c r="C7" s="3056" t="s">
        <v>2934</v>
      </c>
      <c r="D7" s="1865"/>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2934</v>
      </c>
      <c r="D8" s="1865"/>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2934</v>
      </c>
      <c r="D9" s="1865"/>
      <c r="E9" s="3061" t="e">
        <f t="shared" ca="1" si="1"/>
        <v>#REF!</v>
      </c>
      <c r="F9" s="3061" t="e">
        <f t="shared" ca="1" si="2"/>
        <v>#REF!</v>
      </c>
    </row>
    <row r="10" spans="1:6" ht="14.25">
      <c r="A10" s="259"/>
      <c r="B10" s="3060" t="e">
        <f t="shared" ca="1" si="0"/>
        <v>#REF!</v>
      </c>
      <c r="C10" s="3056" t="s">
        <v>2934</v>
      </c>
      <c r="D10" s="1865"/>
      <c r="E10" s="3061" t="e">
        <f t="shared" ca="1" si="1"/>
        <v>#REF!</v>
      </c>
      <c r="F10" s="3061" t="e">
        <f t="shared" ca="1" si="2"/>
        <v>#REF!</v>
      </c>
    </row>
    <row r="11" spans="1:6" ht="14.25">
      <c r="A11" s="259"/>
      <c r="B11" s="3060" t="e">
        <f t="shared" ca="1" si="0"/>
        <v>#REF!</v>
      </c>
      <c r="C11" s="3056" t="s">
        <v>2934</v>
      </c>
      <c r="D11" s="1865"/>
      <c r="E11" s="3061" t="e">
        <f t="shared" ca="1" si="1"/>
        <v>#REF!</v>
      </c>
      <c r="F11" s="3061" t="e">
        <f t="shared" ca="1" si="2"/>
        <v>#REF!</v>
      </c>
    </row>
    <row r="12" spans="1:6" ht="14.25">
      <c r="A12" s="259"/>
      <c r="B12" s="3060" t="e">
        <f t="shared" ca="1" si="0"/>
        <v>#REF!</v>
      </c>
      <c r="C12" s="3056" t="s">
        <v>2934</v>
      </c>
      <c r="D12" s="1865"/>
      <c r="E12" s="3061" t="e">
        <f t="shared" ca="1" si="1"/>
        <v>#REF!</v>
      </c>
      <c r="F12" s="3061" t="e">
        <f t="shared" ca="1" si="2"/>
        <v>#REF!</v>
      </c>
    </row>
    <row r="13" spans="1:6" ht="14.25">
      <c r="A13" s="259"/>
      <c r="B13" s="3060" t="e">
        <f t="shared" ca="1" si="0"/>
        <v>#REF!</v>
      </c>
      <c r="C13" s="3056" t="s">
        <v>2934</v>
      </c>
      <c r="D13" s="1865"/>
      <c r="E13" s="3061" t="e">
        <f t="shared" ca="1" si="1"/>
        <v>#REF!</v>
      </c>
      <c r="F13" s="3061" t="e">
        <f t="shared" ca="1" si="2"/>
        <v>#REF!</v>
      </c>
    </row>
    <row r="14" spans="1:6" ht="14.25">
      <c r="A14" s="3054"/>
      <c r="B14" s="3060" t="e">
        <f t="shared" ca="1" si="0"/>
        <v>#REF!</v>
      </c>
      <c r="C14" s="3056" t="s">
        <v>2934</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t="s">
        <v>2991</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19085</v>
      </c>
      <c r="C2" s="1346"/>
      <c r="D2" s="2039"/>
      <c r="E2" s="2040"/>
      <c r="F2" s="2040"/>
      <c r="G2" s="1576"/>
      <c r="H2" s="1358"/>
      <c r="I2" s="2041"/>
      <c r="J2" s="2041"/>
      <c r="K2" s="2042"/>
      <c r="L2" s="2041"/>
      <c r="M2" s="2041"/>
    </row>
    <row r="3" spans="1:25" ht="18" customHeight="1">
      <c r="A3" s="1630" t="s">
        <v>1684</v>
      </c>
      <c r="B3" s="1387">
        <f ca="1">ROUND(B2*10000/'数据-汇总表'!E3,0)</f>
        <v>1183</v>
      </c>
      <c r="C3" s="1346"/>
      <c r="D3" s="2039"/>
      <c r="E3" s="2040"/>
      <c r="F3" s="2040"/>
      <c r="G3" s="1576"/>
      <c r="H3" s="775" t="s">
        <v>694</v>
      </c>
      <c r="I3" s="2041"/>
      <c r="J3" s="2041"/>
      <c r="K3" s="2042"/>
      <c r="L3" s="2041"/>
      <c r="M3" s="2041"/>
    </row>
    <row r="4" spans="1:25" ht="18" customHeight="1">
      <c r="A4" s="1631" t="s">
        <v>695</v>
      </c>
      <c r="B4" s="1347">
        <f ca="1">ROUND(B2*10000/'数据-汇总表'!D3,0)</f>
        <v>2958</v>
      </c>
      <c r="C4" s="427"/>
      <c r="D4" s="2039"/>
      <c r="E4" s="2040"/>
      <c r="F4" s="2040"/>
      <c r="G4" s="1576"/>
      <c r="H4" s="775"/>
      <c r="I4" s="2041"/>
      <c r="J4" s="2041"/>
      <c r="K4" s="2042"/>
      <c r="L4" s="2041"/>
      <c r="M4" s="2041"/>
    </row>
    <row r="5" spans="1:25" ht="18" customHeight="1" thickBot="1">
      <c r="A5" s="1632"/>
      <c r="B5" s="429">
        <f ca="1">ROUND(B2/('数据-汇总表'!D3/666.67),0)</f>
        <v>197</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6" t="s">
        <v>2457</v>
      </c>
      <c r="C8" s="1809">
        <f ca="1">ROUND(F8*F10*F9*(1-F11)/10000,0)</f>
        <v>6889</v>
      </c>
      <c r="D8" s="1806" t="s">
        <v>2528</v>
      </c>
      <c r="E8" s="61" t="s">
        <v>636</v>
      </c>
      <c r="F8" s="784">
        <f ca="1">INDIRECT("'数据-取费表'!u"&amp;$G$1)</f>
        <v>1.3</v>
      </c>
      <c r="G8" s="1578"/>
      <c r="H8" s="2467" t="s">
        <v>1822</v>
      </c>
      <c r="I8" s="3366" t="s">
        <v>2457</v>
      </c>
      <c r="J8" s="782">
        <f ca="1">ROUND(M8*M10*M9*(1-M11)/10000,0)</f>
        <v>0</v>
      </c>
      <c r="K8" s="340" t="s">
        <v>2528</v>
      </c>
      <c r="L8" s="783" t="s">
        <v>1736</v>
      </c>
      <c r="M8" s="784">
        <f ca="1">INDIRECT("'数据-取费表'!z"&amp;$G$1)</f>
        <v>0</v>
      </c>
    </row>
    <row r="9" spans="1:25" ht="18" customHeight="1">
      <c r="A9" s="2463"/>
      <c r="B9" s="3367"/>
      <c r="C9" s="1810"/>
      <c r="D9" s="1807"/>
      <c r="E9" s="61" t="s">
        <v>637</v>
      </c>
      <c r="F9" s="784">
        <f ca="1">IF(INDIRECT("'数据-取费表'!ah"&amp;$G$1)="",INDIRECT("'数据-取费表'!k"&amp;$G$1),INDIRECT("'数据-取费表'!ah"&amp;$G$1))</f>
        <v>161324.57999999999</v>
      </c>
      <c r="G9" s="1578"/>
      <c r="H9" s="2452"/>
      <c r="I9" s="3367"/>
      <c r="J9" s="787"/>
      <c r="K9" s="788"/>
      <c r="L9" s="783" t="s">
        <v>1737</v>
      </c>
      <c r="M9" s="784">
        <f ca="1">F9</f>
        <v>161324.57999999999</v>
      </c>
    </row>
    <row r="10" spans="1:25" ht="18" customHeight="1">
      <c r="A10" s="2456"/>
      <c r="B10" s="3368"/>
      <c r="C10" s="1810"/>
      <c r="D10" s="1807"/>
      <c r="E10" s="61" t="s">
        <v>638</v>
      </c>
      <c r="F10" s="784">
        <f ca="1">INDIRECT("'数据-取费表'!ai"&amp;$G$1)</f>
        <v>365</v>
      </c>
      <c r="G10" s="1578"/>
      <c r="H10" s="2452"/>
      <c r="I10" s="3368"/>
      <c r="J10" s="787"/>
      <c r="K10" s="788"/>
      <c r="L10" s="783" t="s">
        <v>1738</v>
      </c>
      <c r="M10" s="784">
        <f ca="1">INDIRECT("'数据-取费表'!ai"&amp;$G$1)</f>
        <v>365</v>
      </c>
    </row>
    <row r="11" spans="1:25" ht="18" customHeight="1">
      <c r="A11" s="785"/>
      <c r="B11" s="3369"/>
      <c r="C11" s="1810"/>
      <c r="D11" s="1807"/>
      <c r="E11" s="61" t="s">
        <v>639</v>
      </c>
      <c r="F11" s="793">
        <f ca="1">INDIRECT("'数据-取费表'!w"&amp;$G$1)</f>
        <v>0.1</v>
      </c>
      <c r="G11" s="1578"/>
      <c r="H11" s="2468"/>
      <c r="I11" s="3368"/>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2963</v>
      </c>
      <c r="E12" s="2461" t="s">
        <v>2458</v>
      </c>
      <c r="F12" s="2584" t="s">
        <v>3001</v>
      </c>
      <c r="G12" s="1578"/>
      <c r="H12" s="2524" t="s">
        <v>1823</v>
      </c>
      <c r="I12" s="2529" t="s">
        <v>2453</v>
      </c>
      <c r="J12" s="782">
        <f ca="1">ROUND(IF(M12="押一",J8/12*M13,IF(M12="押二",J8/12*2*M13,IF(M12="押三",J8/12*3*M13,J13*M13))),0)</f>
        <v>0</v>
      </c>
      <c r="K12" s="2464" t="s">
        <v>2963</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44784</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44784</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4338</v>
      </c>
      <c r="K18" s="26" t="s">
        <v>651</v>
      </c>
      <c r="L18" s="1966"/>
      <c r="M18" s="56"/>
    </row>
    <row r="19" spans="1:25" s="2048" customFormat="1" ht="18" customHeight="1">
      <c r="A19" s="802" t="s">
        <v>1849</v>
      </c>
      <c r="B19" s="783" t="s">
        <v>652</v>
      </c>
      <c r="C19" s="53">
        <f ca="1">ROUND(F19*(INDIRECT("'数据-取费表'!k"&amp;$G$1)+INDIRECT("'数据-取费表'!S"&amp;$G$1))/10000,0)</f>
        <v>2420</v>
      </c>
      <c r="D19" s="783" t="s">
        <v>653</v>
      </c>
      <c r="E19" s="783" t="s">
        <v>654</v>
      </c>
      <c r="F19" s="56">
        <f>'数据-取费表'!B35</f>
        <v>150</v>
      </c>
      <c r="G19" s="1579"/>
      <c r="H19" s="802" t="s">
        <v>2063</v>
      </c>
      <c r="I19" s="783" t="s">
        <v>655</v>
      </c>
      <c r="J19" s="53">
        <f ca="1">ROUND(IF(项目基本情况!B11="自然人",J8*M19/(1+'数据-取费表'!C42),J20+J21+J22),0)</f>
        <v>3801</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36137</v>
      </c>
      <c r="D21" s="260" t="s">
        <v>662</v>
      </c>
      <c r="E21" s="1966"/>
      <c r="F21" s="56"/>
      <c r="G21" s="1578"/>
      <c r="H21" s="1814" t="s">
        <v>1847</v>
      </c>
      <c r="I21" s="783" t="s">
        <v>663</v>
      </c>
      <c r="J21" s="53">
        <f ca="1">IF(K21="按租金收入计税",ROUND(J8*M21/(1+'数据-取费表'!C42),1),ROUND(C31*F35*0.7,1))</f>
        <v>3761.9</v>
      </c>
      <c r="K21" s="810" t="s">
        <v>664</v>
      </c>
      <c r="L21" s="783" t="s">
        <v>648</v>
      </c>
      <c r="M21" s="808">
        <f>IF(K21="按租金收入计税",'数据-取费表'!B51,'数据-取费表'!B50)</f>
        <v>1.2E-2</v>
      </c>
    </row>
    <row r="22" spans="1:25" s="2048" customFormat="1" ht="18" customHeight="1">
      <c r="A22" s="802" t="s">
        <v>1875</v>
      </c>
      <c r="B22" s="783" t="s">
        <v>665</v>
      </c>
      <c r="C22" s="53">
        <f ca="1">ROUND(C21*F22,0)</f>
        <v>361</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537</v>
      </c>
      <c r="K24" s="1961" t="s">
        <v>676</v>
      </c>
      <c r="L24" s="783" t="s">
        <v>648</v>
      </c>
      <c r="M24" s="816">
        <f ca="1">INDIRECT("'数据-取费表'!Ak"&amp;$G$1)</f>
        <v>1.2E-2</v>
      </c>
    </row>
    <row r="25" spans="1:25" s="2048" customFormat="1" ht="18" customHeight="1">
      <c r="A25" s="802" t="s">
        <v>1873</v>
      </c>
      <c r="B25" s="783" t="s">
        <v>2431</v>
      </c>
      <c r="C25" s="53">
        <f ca="1">ROUND(IF('数据-取费表'!B22&lt;=1,(C21+C22)*F26*F25/2,(C21+C22)*(POWER((1+F26),F25/2)-1)),0)</f>
        <v>1734</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1.15E-3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1.4E-2</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-4338</v>
      </c>
      <c r="K27" s="1963" t="s">
        <v>699</v>
      </c>
      <c r="L27" s="1965"/>
      <c r="M27" s="819"/>
    </row>
    <row r="28" spans="1:25" ht="18" customHeight="1">
      <c r="A28" s="802" t="s">
        <v>1873</v>
      </c>
      <c r="B28" s="783" t="s">
        <v>2432</v>
      </c>
      <c r="C28" s="53">
        <f ca="1">ROUND((C21+C22)*F28,0)</f>
        <v>3650</v>
      </c>
      <c r="D28" s="811" t="s">
        <v>700</v>
      </c>
      <c r="E28" s="794" t="s">
        <v>701</v>
      </c>
      <c r="F28" s="793">
        <f ca="1">INDIRECT("'数据-取费表'!q"&amp;$G$1)</f>
        <v>0.1</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1E-3</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44784</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1879</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3002</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9"/>
      <c r="J36" s="2063"/>
      <c r="K36" s="2064"/>
      <c r="L36" s="2063"/>
      <c r="M36" s="2063"/>
    </row>
    <row r="37" spans="1:18" ht="18" customHeight="1">
      <c r="A37" s="814"/>
      <c r="B37" s="792"/>
      <c r="C37" s="69"/>
      <c r="D37" s="815"/>
      <c r="E37" s="783" t="s">
        <v>673</v>
      </c>
      <c r="F37" s="784">
        <f ca="1">INDIRECT("'数据-取费表'!r"&amp;$G$1)</f>
        <v>64529.83</v>
      </c>
      <c r="G37" s="2046"/>
      <c r="H37" s="2049"/>
      <c r="I37" s="3459"/>
      <c r="J37" s="2061"/>
      <c r="K37" s="2062"/>
      <c r="L37" s="2061"/>
      <c r="M37" s="2061"/>
    </row>
    <row r="38" spans="1:18" ht="18" customHeight="1">
      <c r="A38" s="802" t="s">
        <v>1875</v>
      </c>
      <c r="B38" s="783" t="s">
        <v>675</v>
      </c>
      <c r="C38" s="53">
        <f ca="1">ROUND(C31*F38,1)</f>
        <v>537.4</v>
      </c>
      <c r="D38" s="1961" t="s">
        <v>690</v>
      </c>
      <c r="E38" s="783" t="s">
        <v>648</v>
      </c>
      <c r="F38" s="816">
        <f ca="1">INDIRECT("'数据-取费表'!Ak"&amp;$G$1)</f>
        <v>1.2E-2</v>
      </c>
      <c r="G38" s="2046"/>
      <c r="H38" s="2061"/>
      <c r="I38" s="2065"/>
      <c r="J38" s="1972"/>
      <c r="K38" s="2066"/>
      <c r="L38" s="2061"/>
      <c r="M38" s="2061"/>
    </row>
    <row r="39" spans="1:18" ht="18" customHeight="1">
      <c r="A39" s="802" t="s">
        <v>1876</v>
      </c>
      <c r="B39" s="783" t="s">
        <v>678</v>
      </c>
      <c r="C39" s="53">
        <f ca="1">ROUND(C15*F39,1)</f>
        <v>51.5</v>
      </c>
      <c r="D39" s="1961" t="s">
        <v>679</v>
      </c>
      <c r="E39" s="783" t="s">
        <v>648</v>
      </c>
      <c r="F39" s="817">
        <f ca="1">INDIRECT("'数据-取费表'!Al"&amp;$G$1)</f>
        <v>1.15E-3</v>
      </c>
      <c r="G39" s="2046"/>
      <c r="H39" s="2061"/>
      <c r="I39" s="2065"/>
      <c r="J39" s="1972"/>
      <c r="K39" s="2066"/>
      <c r="L39" s="2061"/>
      <c r="M39" s="2061"/>
    </row>
    <row r="40" spans="1:18" ht="18" customHeight="1" thickBot="1">
      <c r="A40" s="2523" t="s">
        <v>1877</v>
      </c>
      <c r="B40" s="2509" t="s">
        <v>665</v>
      </c>
      <c r="C40" s="2507">
        <f ca="1">ROUND(C7*F40,1)</f>
        <v>96.6</v>
      </c>
      <c r="D40" s="2508" t="s">
        <v>682</v>
      </c>
      <c r="E40" s="2509" t="s">
        <v>648</v>
      </c>
      <c r="F40" s="2505">
        <f ca="1">INDIRECT("'数据-取费表'!Am"&amp;$G$1)</f>
        <v>1.4E-2</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5019</v>
      </c>
      <c r="D42" s="1963" t="s">
        <v>693</v>
      </c>
      <c r="E42" s="1965"/>
      <c r="F42" s="819"/>
      <c r="G42" s="2046"/>
      <c r="H42" s="2046"/>
      <c r="I42" s="2046"/>
      <c r="J42" s="2046"/>
      <c r="K42" s="2067"/>
      <c r="L42" s="2046"/>
      <c r="M42" s="2046"/>
    </row>
    <row r="43" spans="1:18" ht="18" customHeight="1">
      <c r="A43" s="802" t="s">
        <v>1875</v>
      </c>
      <c r="B43" s="834" t="s">
        <v>710</v>
      </c>
      <c r="C43" s="835">
        <f ca="1">ROUND(C15*F43,0)</f>
        <v>3807</v>
      </c>
      <c r="D43" s="1351" t="s">
        <v>711</v>
      </c>
      <c r="E43" s="3072" t="s">
        <v>2951</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1212</v>
      </c>
      <c r="D44" s="462" t="s">
        <v>713</v>
      </c>
      <c r="E44" s="463"/>
      <c r="F44" s="464"/>
      <c r="G44" s="2046"/>
      <c r="H44" s="2046"/>
      <c r="I44" s="2046"/>
      <c r="J44" s="2046"/>
      <c r="K44" s="2067"/>
      <c r="L44" s="2046"/>
      <c r="M44" s="2046"/>
    </row>
    <row r="45" spans="1:18" ht="18" customHeight="1">
      <c r="A45" s="802" t="s">
        <v>1877</v>
      </c>
      <c r="B45" s="1351" t="s">
        <v>714</v>
      </c>
      <c r="C45" s="2989">
        <f ca="1">ROUND(-PV(F45,F46,C44,0),0)</f>
        <v>19085</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2954</v>
      </c>
      <c r="F46" s="827">
        <f ca="1">IF(INDIRECT("'数据-取费表'!af"&amp;$G$1)=0,INDIRECT("'数据-取费表'!ae"&amp;$G$1),INDIRECT("'数据-取费表'!af"&amp;$G$1))</f>
        <v>31.729999999999997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3004</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44784</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1559</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29.25" thickBot="1">
      <c r="A54" s="2080"/>
      <c r="I54" s="3100" t="s">
        <v>2967</v>
      </c>
      <c r="J54" s="3179">
        <f ca="1">IF(M48="住宅",MAX(J52,L49-'数据-取费表'!B20),MIN(J52,L49-'数据-取费表'!B20))</f>
        <v>0</v>
      </c>
      <c r="K54" s="3460"/>
      <c r="L54" s="3461"/>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5"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3.5"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29.25" thickBot="1">
      <c r="A58" s="2080"/>
      <c r="B58" s="2081"/>
      <c r="C58" s="2081"/>
      <c r="I58" s="3114" t="s">
        <v>2352</v>
      </c>
      <c r="J58" s="3115" t="str">
        <f ca="1">IF(OR(M48="住宅",J52&lt;L49,J57="是"),"——",J52-L49)</f>
        <v>——</v>
      </c>
      <c r="K58" s="3076" t="s">
        <v>2357</v>
      </c>
      <c r="L58" s="1892">
        <f ca="1">IF(L49&lt;J52,"——",IF(L56="比较法",L50,IF(L56="基准地价",L51,L52)))</f>
        <v>1559</v>
      </c>
      <c r="O58" s="2361" t="s">
        <v>2373</v>
      </c>
      <c r="P58" s="2362" t="s">
        <v>2399</v>
      </c>
      <c r="Q58" s="2363">
        <f ca="1">C41+J31</f>
        <v>0</v>
      </c>
      <c r="R58" s="2362" t="s">
        <v>2374</v>
      </c>
    </row>
    <row r="59" spans="1:18" s="2043" customFormat="1" ht="29.25"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19" t="s">
        <v>2361</v>
      </c>
      <c r="J63" s="3120" t="s">
        <v>2362</v>
      </c>
      <c r="K63" s="3120" t="s">
        <v>2363</v>
      </c>
      <c r="L63" s="3120" t="s">
        <v>2344</v>
      </c>
      <c r="M63" s="3121" t="s">
        <v>2932</v>
      </c>
      <c r="O63" s="2364" t="s">
        <v>2382</v>
      </c>
      <c r="P63" s="2362" t="s">
        <v>2390</v>
      </c>
      <c r="Q63" s="2363">
        <f ca="1">L60</f>
        <v>0</v>
      </c>
      <c r="R63" s="2366" t="s">
        <v>2391</v>
      </c>
    </row>
    <row r="64" spans="1:18" s="2043" customFormat="1" ht="15.75"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5" thickBot="1">
      <c r="A65" s="2080"/>
      <c r="B65" s="2081"/>
      <c r="C65" s="2081"/>
      <c r="I65" s="3119" t="s">
        <v>2365</v>
      </c>
      <c r="J65" s="3120">
        <v>50</v>
      </c>
      <c r="K65" s="3120">
        <v>35</v>
      </c>
      <c r="L65" s="3120">
        <v>60</v>
      </c>
      <c r="M65" s="845">
        <v>0</v>
      </c>
      <c r="O65" s="2367" t="s">
        <v>2409</v>
      </c>
      <c r="P65" s="1578"/>
      <c r="Q65" s="1589"/>
      <c r="R65" s="1578"/>
    </row>
    <row r="66" spans="1:18" s="2043" customFormat="1" ht="15.75"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1559</v>
      </c>
      <c r="R69" s="2369" t="s">
        <v>2410</v>
      </c>
    </row>
    <row r="70" spans="1:18" s="2043" customFormat="1" ht="20.25" thickBot="1">
      <c r="A70" s="2080"/>
      <c r="B70" s="2081"/>
      <c r="C70" s="2081"/>
      <c r="K70" s="2070"/>
      <c r="O70" s="2364" t="s">
        <v>2378</v>
      </c>
      <c r="P70" s="2370" t="s">
        <v>2392</v>
      </c>
      <c r="Q70" s="2363">
        <f ca="1">ROUND(Q71-Q72*Q73,0)</f>
        <v>1212</v>
      </c>
      <c r="R70" s="2366"/>
    </row>
    <row r="71" spans="1:18" s="2043" customFormat="1" ht="15.75" thickBot="1">
      <c r="A71" s="2080"/>
      <c r="B71" s="2081"/>
      <c r="C71" s="2081"/>
      <c r="K71" s="2070"/>
      <c r="O71" s="2364" t="s">
        <v>2393</v>
      </c>
      <c r="P71" s="2370" t="s">
        <v>2394</v>
      </c>
      <c r="Q71" s="2363">
        <f ca="1">C42</f>
        <v>5019</v>
      </c>
      <c r="R71" s="2362" t="s">
        <v>2374</v>
      </c>
    </row>
    <row r="72" spans="1:18" s="2043" customFormat="1" ht="15.75" thickBot="1">
      <c r="A72" s="2080"/>
      <c r="B72" s="2081"/>
      <c r="C72" s="2081"/>
      <c r="K72" s="2070"/>
      <c r="O72" s="2364" t="s">
        <v>2395</v>
      </c>
      <c r="P72" s="2370" t="s">
        <v>2396</v>
      </c>
      <c r="Q72" s="2363">
        <f ca="1">C15</f>
        <v>44784</v>
      </c>
      <c r="R72" s="2362" t="s">
        <v>2374</v>
      </c>
    </row>
    <row r="73" spans="1:18" s="2043" customFormat="1" ht="15.75" thickBot="1">
      <c r="A73" s="2080"/>
      <c r="B73" s="2081"/>
      <c r="C73" s="2081"/>
      <c r="K73" s="2070"/>
      <c r="O73" s="2364" t="s">
        <v>2397</v>
      </c>
      <c r="P73" s="2370" t="s">
        <v>2398</v>
      </c>
      <c r="Q73" s="2365">
        <f ca="1">F43</f>
        <v>8.5000000000000006E-2</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workbookViewId="0">
      <selection activeCell="C89" sqref="C89:G96"/>
    </sheetView>
  </sheetViews>
  <sheetFormatPr defaultRowHeight="13.5"/>
  <cols>
    <col min="1" max="1" width="10.5" customWidth="1"/>
    <col min="2" max="2" width="12.875" customWidth="1"/>
    <col min="3" max="3" width="8.75" customWidth="1"/>
  </cols>
  <sheetData>
    <row r="1" spans="1:9" ht="14.25">
      <c r="A1" s="3478" t="s">
        <v>2465</v>
      </c>
      <c r="B1" s="3479"/>
      <c r="C1" s="3480"/>
      <c r="D1" s="3481">
        <f>SUM(I10,I15,I20,I21,I23)</f>
        <v>0</v>
      </c>
      <c r="E1" s="3481"/>
      <c r="F1" s="3481"/>
      <c r="G1" s="3481"/>
      <c r="H1" s="3481"/>
      <c r="I1" s="3482"/>
    </row>
    <row r="2" spans="1:9">
      <c r="A2" s="3468" t="s">
        <v>2466</v>
      </c>
      <c r="B2" s="3469" t="s">
        <v>2467</v>
      </c>
      <c r="C2" s="3469"/>
      <c r="D2" s="2470" t="s">
        <v>2468</v>
      </c>
      <c r="E2" s="2470" t="s">
        <v>2469</v>
      </c>
      <c r="F2" s="2470" t="s">
        <v>2470</v>
      </c>
      <c r="G2" s="2470" t="s">
        <v>2471</v>
      </c>
      <c r="H2" s="2470" t="s">
        <v>2472</v>
      </c>
      <c r="I2" s="2471" t="s">
        <v>2473</v>
      </c>
    </row>
    <row r="3" spans="1:9">
      <c r="A3" s="3468"/>
      <c r="B3" s="3469" t="s">
        <v>2474</v>
      </c>
      <c r="C3" s="3469"/>
      <c r="D3" s="2472"/>
      <c r="E3" s="2470"/>
      <c r="F3" s="2473"/>
      <c r="G3" s="2473"/>
      <c r="H3" s="2474"/>
      <c r="I3" s="2475">
        <f>ROUND(D3*E3*F3*G3*H3/10000,0)</f>
        <v>0</v>
      </c>
    </row>
    <row r="4" spans="1:9">
      <c r="A4" s="3468"/>
      <c r="B4" s="3469" t="s">
        <v>2475</v>
      </c>
      <c r="C4" s="3469"/>
      <c r="D4" s="2472"/>
      <c r="E4" s="2470"/>
      <c r="F4" s="2473"/>
      <c r="G4" s="2473"/>
      <c r="H4" s="2474"/>
      <c r="I4" s="2475">
        <f t="shared" ref="I4:I9" si="0">ROUND(D4*E4*F4*G4*H4/10000,0)</f>
        <v>0</v>
      </c>
    </row>
    <row r="5" spans="1:9">
      <c r="A5" s="3468"/>
      <c r="B5" s="3469" t="s">
        <v>2476</v>
      </c>
      <c r="C5" s="3469"/>
      <c r="D5" s="2472"/>
      <c r="E5" s="2470"/>
      <c r="F5" s="2473"/>
      <c r="G5" s="2473"/>
      <c r="H5" s="2474"/>
      <c r="I5" s="2475">
        <f t="shared" si="0"/>
        <v>0</v>
      </c>
    </row>
    <row r="6" spans="1:9">
      <c r="A6" s="3468"/>
      <c r="B6" s="3469" t="s">
        <v>2477</v>
      </c>
      <c r="C6" s="3469"/>
      <c r="D6" s="2472"/>
      <c r="E6" s="2470"/>
      <c r="F6" s="2473"/>
      <c r="G6" s="2473"/>
      <c r="H6" s="2474"/>
      <c r="I6" s="2475">
        <f t="shared" si="0"/>
        <v>0</v>
      </c>
    </row>
    <row r="7" spans="1:9">
      <c r="A7" s="3468"/>
      <c r="B7" s="3469" t="s">
        <v>2478</v>
      </c>
      <c r="C7" s="3469"/>
      <c r="D7" s="2472"/>
      <c r="E7" s="2470"/>
      <c r="F7" s="2473"/>
      <c r="G7" s="2473"/>
      <c r="H7" s="2474"/>
      <c r="I7" s="2475">
        <f t="shared" si="0"/>
        <v>0</v>
      </c>
    </row>
    <row r="8" spans="1:9">
      <c r="A8" s="3468"/>
      <c r="B8" s="3469" t="s">
        <v>2479</v>
      </c>
      <c r="C8" s="3469"/>
      <c r="D8" s="2472"/>
      <c r="E8" s="2470"/>
      <c r="F8" s="2473"/>
      <c r="G8" s="2473"/>
      <c r="H8" s="2474"/>
      <c r="I8" s="2475">
        <f t="shared" si="0"/>
        <v>0</v>
      </c>
    </row>
    <row r="9" spans="1:9">
      <c r="A9" s="3468"/>
      <c r="B9" s="3469" t="s">
        <v>2480</v>
      </c>
      <c r="C9" s="3469"/>
      <c r="D9" s="2472"/>
      <c r="E9" s="2470"/>
      <c r="F9" s="2473"/>
      <c r="G9" s="2473"/>
      <c r="H9" s="2474"/>
      <c r="I9" s="2475">
        <f t="shared" si="0"/>
        <v>0</v>
      </c>
    </row>
    <row r="10" spans="1:9">
      <c r="A10" s="3468"/>
      <c r="B10" s="3470" t="s">
        <v>2481</v>
      </c>
      <c r="C10" s="3470"/>
      <c r="D10" s="2476">
        <v>527</v>
      </c>
      <c r="E10" s="2476" t="e">
        <f>ROUND(D1*10000/D10/H9,0)</f>
        <v>#DIV/0!</v>
      </c>
      <c r="F10" s="2477"/>
      <c r="G10" s="2477"/>
      <c r="H10" s="2478"/>
      <c r="I10" s="2479">
        <f>SUM(I3:I9)</f>
        <v>0</v>
      </c>
    </row>
    <row r="11" spans="1:9" ht="14.25">
      <c r="A11" s="3468" t="s">
        <v>2482</v>
      </c>
      <c r="B11" s="3469" t="s">
        <v>2483</v>
      </c>
      <c r="C11" s="3469"/>
      <c r="D11" s="2472" t="s">
        <v>2484</v>
      </c>
      <c r="E11" s="2472" t="s">
        <v>2485</v>
      </c>
      <c r="F11" s="2473" t="s">
        <v>2486</v>
      </c>
      <c r="G11" s="2473" t="s">
        <v>2487</v>
      </c>
      <c r="H11" s="2480" t="s">
        <v>2488</v>
      </c>
      <c r="I11" s="2471" t="s">
        <v>2489</v>
      </c>
    </row>
    <row r="12" spans="1:9">
      <c r="A12" s="3468"/>
      <c r="B12" s="3469" t="s">
        <v>2490</v>
      </c>
      <c r="C12" s="3469"/>
      <c r="D12" s="2472"/>
      <c r="E12" s="2472"/>
      <c r="F12" s="2473"/>
      <c r="G12" s="2474"/>
      <c r="H12" s="2481"/>
      <c r="I12" s="2471">
        <f>ROUND(D12*E12*F12*G12/10000,0)</f>
        <v>0</v>
      </c>
    </row>
    <row r="13" spans="1:9">
      <c r="A13" s="3468"/>
      <c r="B13" s="3469" t="s">
        <v>2491</v>
      </c>
      <c r="C13" s="3469"/>
      <c r="D13" s="2472"/>
      <c r="E13" s="2472"/>
      <c r="F13" s="2473"/>
      <c r="G13" s="2474"/>
      <c r="H13" s="2481"/>
      <c r="I13" s="2471">
        <f>ROUND(D13*E13*F13*G13/10000,0)</f>
        <v>0</v>
      </c>
    </row>
    <row r="14" spans="1:9">
      <c r="A14" s="3468"/>
      <c r="B14" s="3469" t="s">
        <v>2492</v>
      </c>
      <c r="C14" s="3469"/>
      <c r="D14" s="2472"/>
      <c r="E14" s="2472"/>
      <c r="F14" s="2473"/>
      <c r="G14" s="2474"/>
      <c r="H14" s="2481"/>
      <c r="I14" s="2471">
        <f>ROUND(D14*E14*F14*G14/10000,0)</f>
        <v>0</v>
      </c>
    </row>
    <row r="15" spans="1:9">
      <c r="A15" s="3468"/>
      <c r="B15" s="3470" t="s">
        <v>2481</v>
      </c>
      <c r="C15" s="3470"/>
      <c r="D15" s="2476"/>
      <c r="E15" s="2476">
        <f>SUM(E12:E14)</f>
        <v>0</v>
      </c>
      <c r="F15" s="2477"/>
      <c r="G15" s="2474"/>
      <c r="H15" s="2481"/>
      <c r="I15" s="2482">
        <f>SUM(I12:I14)</f>
        <v>0</v>
      </c>
    </row>
    <row r="16" spans="1:9" ht="24">
      <c r="A16" s="3468" t="s">
        <v>2493</v>
      </c>
      <c r="B16" s="3469" t="s">
        <v>2494</v>
      </c>
      <c r="C16" s="3469"/>
      <c r="D16" s="2472" t="s">
        <v>2495</v>
      </c>
      <c r="E16" s="2483" t="s">
        <v>2496</v>
      </c>
      <c r="F16" s="2473" t="s">
        <v>2497</v>
      </c>
      <c r="G16" s="2474" t="s">
        <v>2487</v>
      </c>
      <c r="H16" s="2480" t="s">
        <v>2488</v>
      </c>
      <c r="I16" s="2471" t="s">
        <v>2489</v>
      </c>
    </row>
    <row r="17" spans="1:9" ht="14.25">
      <c r="A17" s="3468"/>
      <c r="B17" s="3469" t="s">
        <v>2498</v>
      </c>
      <c r="C17" s="3469"/>
      <c r="D17" s="2472"/>
      <c r="E17" s="2472"/>
      <c r="F17" s="2473"/>
      <c r="G17" s="2474"/>
      <c r="H17" s="2484"/>
      <c r="I17" s="2485">
        <f>ROUND(D17*E17*F17*G17/10000,0)</f>
        <v>0</v>
      </c>
    </row>
    <row r="18" spans="1:9" ht="14.25">
      <c r="A18" s="3468"/>
      <c r="B18" s="3469" t="s">
        <v>2499</v>
      </c>
      <c r="C18" s="3469"/>
      <c r="D18" s="2472"/>
      <c r="E18" s="2472"/>
      <c r="F18" s="2473"/>
      <c r="G18" s="2474"/>
      <c r="H18" s="2484"/>
      <c r="I18" s="2485">
        <f>ROUND(D18*E18*F18*G18/10000,0)</f>
        <v>0</v>
      </c>
    </row>
    <row r="19" spans="1:9" ht="14.25">
      <c r="A19" s="3468"/>
      <c r="B19" s="3469" t="s">
        <v>2500</v>
      </c>
      <c r="C19" s="3469"/>
      <c r="D19" s="2472"/>
      <c r="E19" s="2472"/>
      <c r="F19" s="2473"/>
      <c r="G19" s="2474"/>
      <c r="H19" s="2484"/>
      <c r="I19" s="2485">
        <f>ROUND(D19*E19*F19*G19/10000,0)</f>
        <v>0</v>
      </c>
    </row>
    <row r="20" spans="1:9">
      <c r="A20" s="3468"/>
      <c r="B20" s="3470" t="s">
        <v>2481</v>
      </c>
      <c r="C20" s="3470"/>
      <c r="D20" s="2476">
        <f>SUM(D17:D19)</f>
        <v>0</v>
      </c>
      <c r="E20" s="2476"/>
      <c r="F20" s="2477"/>
      <c r="G20" s="2474"/>
      <c r="H20" s="2481"/>
      <c r="I20" s="2482">
        <f>SUM(I17:I19)</f>
        <v>0</v>
      </c>
    </row>
    <row r="21" spans="1:9">
      <c r="A21" s="3468" t="s">
        <v>2501</v>
      </c>
      <c r="B21" s="3471"/>
      <c r="C21" s="3471"/>
      <c r="D21" s="3471"/>
      <c r="E21" s="3471"/>
      <c r="F21" s="3471"/>
      <c r="G21" s="3471"/>
      <c r="H21" s="2486">
        <v>0.1</v>
      </c>
      <c r="I21" s="2479">
        <f>ROUND(I10*H21,0)</f>
        <v>0</v>
      </c>
    </row>
    <row r="22" spans="1:9" ht="14.25">
      <c r="A22" s="3472" t="s">
        <v>2502</v>
      </c>
      <c r="B22" s="3473"/>
      <c r="C22" s="3474"/>
      <c r="D22" s="2487" t="s">
        <v>2503</v>
      </c>
      <c r="E22" s="2487" t="s">
        <v>2504</v>
      </c>
      <c r="F22" s="2488" t="s">
        <v>2505</v>
      </c>
      <c r="G22" s="2488" t="s">
        <v>2506</v>
      </c>
      <c r="H22" s="2480" t="s">
        <v>2507</v>
      </c>
      <c r="I22" s="2471" t="s">
        <v>2508</v>
      </c>
    </row>
    <row r="23" spans="1:9" ht="14.25" thickBot="1">
      <c r="A23" s="3475"/>
      <c r="B23" s="3476"/>
      <c r="C23" s="3477"/>
      <c r="D23" s="2489"/>
      <c r="E23" s="2489"/>
      <c r="F23" s="2489"/>
      <c r="G23" s="2490"/>
      <c r="H23" s="2491"/>
      <c r="I23" s="2492">
        <f>ROUND(E23*D23*F23*(1-G23)/10000,0)</f>
        <v>0</v>
      </c>
    </row>
    <row r="26" spans="1:9">
      <c r="A26" s="2493" t="s">
        <v>2509</v>
      </c>
      <c r="B26" s="2493"/>
      <c r="C26" s="2493"/>
      <c r="D26" s="2493"/>
      <c r="E26" s="3465">
        <f>C27-C30-C31-C32</f>
        <v>0</v>
      </c>
      <c r="F26" s="3465"/>
      <c r="G26" s="3465"/>
      <c r="H26" s="2993" t="s">
        <v>2836</v>
      </c>
    </row>
    <row r="27" spans="1:9">
      <c r="A27" s="2494">
        <v>1</v>
      </c>
      <c r="B27" s="2495" t="s">
        <v>2510</v>
      </c>
      <c r="C27" s="2495"/>
      <c r="D27" s="2495"/>
      <c r="E27" s="3466"/>
      <c r="F27" s="3466"/>
      <c r="G27" s="3466"/>
    </row>
    <row r="28" spans="1:9">
      <c r="A28" s="2496" t="s">
        <v>2511</v>
      </c>
      <c r="B28" s="2495" t="s">
        <v>2512</v>
      </c>
      <c r="C28" s="2495"/>
      <c r="D28" s="2495"/>
      <c r="E28" s="3466"/>
      <c r="F28" s="3466"/>
      <c r="G28" s="3466"/>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67"/>
      <c r="F32" s="3467"/>
      <c r="G32" s="3467"/>
    </row>
    <row r="33" spans="1:7" hidden="1">
      <c r="A33" s="3462" t="s">
        <v>2520</v>
      </c>
      <c r="B33" s="3463"/>
      <c r="C33" s="3463"/>
      <c r="D33" s="3464"/>
      <c r="E33" s="3465"/>
      <c r="F33" s="3465"/>
      <c r="G33" s="3465"/>
    </row>
    <row r="34" spans="1:7" hidden="1">
      <c r="A34" s="2498">
        <v>1</v>
      </c>
      <c r="B34" s="2495" t="s">
        <v>2521</v>
      </c>
      <c r="C34" s="2495"/>
      <c r="D34" s="2495"/>
      <c r="E34" s="3466"/>
      <c r="F34" s="3466"/>
      <c r="G34" s="3466"/>
    </row>
    <row r="35" spans="1:7" hidden="1">
      <c r="A35" s="2498">
        <v>2</v>
      </c>
      <c r="B35" s="2495" t="s">
        <v>2522</v>
      </c>
      <c r="C35" s="2495"/>
      <c r="D35" s="2495"/>
      <c r="E35" s="3466"/>
      <c r="F35" s="3466"/>
      <c r="G35" s="3466"/>
    </row>
    <row r="36" spans="1:7" hidden="1">
      <c r="A36" s="2498">
        <v>3</v>
      </c>
      <c r="B36" s="2495" t="s">
        <v>2523</v>
      </c>
      <c r="C36" s="2495"/>
      <c r="D36" s="2495"/>
      <c r="E36" s="3466"/>
      <c r="F36" s="3466"/>
      <c r="G36" s="3466"/>
    </row>
    <row r="37" spans="1:7" hidden="1">
      <c r="A37" s="2498">
        <v>4</v>
      </c>
      <c r="B37" s="2495" t="s">
        <v>2524</v>
      </c>
      <c r="C37" s="2495"/>
      <c r="D37" s="2495"/>
      <c r="E37" s="3466"/>
      <c r="F37" s="3466"/>
      <c r="G37" s="3466"/>
    </row>
    <row r="38" spans="1:7" hidden="1">
      <c r="A38" s="3462" t="s">
        <v>2525</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80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0.1</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1" t="s">
        <v>520</v>
      </c>
      <c r="B4" s="512"/>
      <c r="C4" s="3392" t="s">
        <v>521</v>
      </c>
      <c r="D4" s="3393"/>
      <c r="E4" s="3416" t="s">
        <v>522</v>
      </c>
      <c r="F4" s="3417"/>
      <c r="G4" s="3392" t="s">
        <v>523</v>
      </c>
      <c r="H4" s="3393"/>
      <c r="I4" s="3392" t="s">
        <v>524</v>
      </c>
      <c r="J4" s="3393"/>
      <c r="K4" s="852" t="s">
        <v>525</v>
      </c>
      <c r="L4" s="2117"/>
      <c r="M4" s="2118"/>
      <c r="N4" s="2118"/>
      <c r="O4" s="2118"/>
      <c r="P4" s="3394" t="s">
        <v>526</v>
      </c>
      <c r="Q4" s="3395"/>
      <c r="R4" s="3380" t="s">
        <v>522</v>
      </c>
      <c r="S4" s="3381"/>
      <c r="T4" s="3380" t="s">
        <v>523</v>
      </c>
      <c r="U4" s="3381"/>
      <c r="V4" s="3400" t="s">
        <v>524</v>
      </c>
      <c r="W4" s="3400"/>
      <c r="X4" s="1553"/>
      <c r="Y4" s="3380" t="s">
        <v>526</v>
      </c>
      <c r="Z4" s="3381"/>
      <c r="AA4" s="3375" t="s">
        <v>522</v>
      </c>
      <c r="AB4" s="3375" t="s">
        <v>523</v>
      </c>
      <c r="AC4" s="3375" t="s">
        <v>524</v>
      </c>
    </row>
    <row r="5" spans="1:29" ht="15">
      <c r="A5" s="514"/>
      <c r="B5" s="515"/>
      <c r="C5" s="3403" t="s">
        <v>2919</v>
      </c>
      <c r="D5" s="3404"/>
      <c r="E5" s="3418" t="s">
        <v>2920</v>
      </c>
      <c r="F5" s="3419"/>
      <c r="G5" s="3403" t="s">
        <v>2921</v>
      </c>
      <c r="H5" s="3404"/>
      <c r="I5" s="3403" t="s">
        <v>2922</v>
      </c>
      <c r="J5" s="3404"/>
      <c r="K5" s="853"/>
      <c r="L5" s="2117"/>
      <c r="M5" s="2118"/>
      <c r="N5" s="2118"/>
      <c r="O5" s="2118"/>
      <c r="P5" s="3396"/>
      <c r="Q5" s="3397"/>
      <c r="R5" s="3382"/>
      <c r="S5" s="3383"/>
      <c r="T5" s="3382"/>
      <c r="U5" s="3383"/>
      <c r="V5" s="3400"/>
      <c r="W5" s="3400"/>
      <c r="X5" s="1553"/>
      <c r="Y5" s="3382"/>
      <c r="Z5" s="3383"/>
      <c r="AA5" s="3376"/>
      <c r="AB5" s="3376"/>
      <c r="AC5" s="3376"/>
    </row>
    <row r="6" spans="1:29" ht="15.75" thickBot="1">
      <c r="A6" s="516"/>
      <c r="B6" s="517"/>
      <c r="C6" s="3401" t="s">
        <v>2923</v>
      </c>
      <c r="D6" s="3402"/>
      <c r="E6" s="3420" t="s">
        <v>2923</v>
      </c>
      <c r="F6" s="3421"/>
      <c r="G6" s="3401" t="s">
        <v>2923</v>
      </c>
      <c r="H6" s="3402"/>
      <c r="I6" s="3401" t="s">
        <v>2923</v>
      </c>
      <c r="J6" s="3402"/>
      <c r="K6" s="853" t="s">
        <v>527</v>
      </c>
      <c r="L6" s="2117"/>
      <c r="M6" s="2118"/>
      <c r="N6" s="2118"/>
      <c r="O6" s="2118"/>
      <c r="P6" s="3398"/>
      <c r="Q6" s="3399"/>
      <c r="R6" s="3382"/>
      <c r="S6" s="3383"/>
      <c r="T6" s="3384"/>
      <c r="U6" s="3385"/>
      <c r="V6" s="3400"/>
      <c r="W6" s="3400"/>
      <c r="X6" s="1553"/>
      <c r="Y6" s="3384"/>
      <c r="Z6" s="3385"/>
      <c r="AA6" s="3377"/>
      <c r="AB6" s="3377"/>
      <c r="AC6" s="3377"/>
    </row>
    <row r="7" spans="1:29" s="1215" customFormat="1" ht="15.7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78" t="s">
        <v>529</v>
      </c>
      <c r="Q7" s="3387"/>
      <c r="R7" s="1554" t="s">
        <v>13</v>
      </c>
      <c r="S7" s="1555">
        <f t="shared" ref="S7:S15" si="0">F7</f>
        <v>0</v>
      </c>
      <c r="T7" s="1554" t="s">
        <v>13</v>
      </c>
      <c r="U7" s="1555">
        <f t="shared" ref="U7:U15" si="1">H7</f>
        <v>0</v>
      </c>
      <c r="V7" s="1554" t="s">
        <v>13</v>
      </c>
      <c r="W7" s="1555">
        <f t="shared" ref="W7:W15" si="2">J7</f>
        <v>0</v>
      </c>
      <c r="X7" s="1556"/>
      <c r="Y7" s="3378" t="s">
        <v>529</v>
      </c>
      <c r="Z7" s="3379"/>
      <c r="AA7" s="1557" t="e">
        <f>D7/F7</f>
        <v>#DIV/0!</v>
      </c>
      <c r="AB7" s="1557" t="e">
        <f>D7/H7</f>
        <v>#DIV/0!</v>
      </c>
      <c r="AC7" s="1557" t="e">
        <f>D7/J7</f>
        <v>#DIV/0!</v>
      </c>
    </row>
    <row r="8" spans="1:29" s="1215" customFormat="1" ht="15.7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78" t="s">
        <v>532</v>
      </c>
      <c r="Q8" s="3379"/>
      <c r="R8" s="1554" t="s">
        <v>13</v>
      </c>
      <c r="S8" s="1555">
        <f t="shared" si="0"/>
        <v>0</v>
      </c>
      <c r="T8" s="1554" t="s">
        <v>13</v>
      </c>
      <c r="U8" s="1555">
        <f t="shared" si="1"/>
        <v>0</v>
      </c>
      <c r="V8" s="1554" t="s">
        <v>13</v>
      </c>
      <c r="W8" s="1555">
        <f t="shared" si="2"/>
        <v>0</v>
      </c>
      <c r="X8" s="1556"/>
      <c r="Y8" s="3378" t="s">
        <v>532</v>
      </c>
      <c r="Z8" s="3379"/>
      <c r="AA8" s="1557" t="e">
        <f t="shared" ref="AA8:AA46" si="3">D8/F8</f>
        <v>#DIV/0!</v>
      </c>
      <c r="AB8" s="1557" t="e">
        <f t="shared" ref="AB8:AB46" si="4">D8/H8</f>
        <v>#DIV/0!</v>
      </c>
      <c r="AC8" s="1557" t="e">
        <f t="shared" ref="AC8:AC46" si="5">D8/J8</f>
        <v>#DIV/0!</v>
      </c>
    </row>
    <row r="9" spans="1:29" s="1215" customFormat="1" ht="15">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86" t="s">
        <v>534</v>
      </c>
      <c r="Q9" s="1146" t="str">
        <f t="shared" ref="Q9:Q15" si="6">B9</f>
        <v>用途</v>
      </c>
      <c r="R9" s="1554" t="s">
        <v>8</v>
      </c>
      <c r="S9" s="1555">
        <f t="shared" si="0"/>
        <v>100</v>
      </c>
      <c r="T9" s="1554" t="s">
        <v>8</v>
      </c>
      <c r="U9" s="1555">
        <f t="shared" si="1"/>
        <v>100</v>
      </c>
      <c r="V9" s="1554" t="s">
        <v>8</v>
      </c>
      <c r="W9" s="1555">
        <f t="shared" si="2"/>
        <v>100</v>
      </c>
      <c r="X9" s="1556"/>
      <c r="Y9" s="3337"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86"/>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86"/>
      <c r="Q11" s="1146" t="str">
        <f t="shared" si="6"/>
        <v>容积率</v>
      </c>
      <c r="R11" s="1554" t="s">
        <v>11</v>
      </c>
      <c r="S11" s="1555" t="e">
        <f t="shared" si="0"/>
        <v>#N/A</v>
      </c>
      <c r="T11" s="1554" t="s">
        <v>11</v>
      </c>
      <c r="U11" s="1555" t="e">
        <f t="shared" si="1"/>
        <v>#N/A</v>
      </c>
      <c r="V11" s="1554" t="s">
        <v>11</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86"/>
      <c r="Q12" s="1146">
        <f t="shared" si="6"/>
        <v>111</v>
      </c>
      <c r="R12" s="1554" t="s">
        <v>11</v>
      </c>
      <c r="S12" s="1555">
        <f t="shared" si="0"/>
        <v>100</v>
      </c>
      <c r="T12" s="1554" t="s">
        <v>11</v>
      </c>
      <c r="U12" s="1555">
        <f t="shared" si="1"/>
        <v>100</v>
      </c>
      <c r="V12" s="1554" t="s">
        <v>11</v>
      </c>
      <c r="W12" s="1555">
        <f t="shared" si="2"/>
        <v>100</v>
      </c>
      <c r="X12" s="1556"/>
      <c r="Y12" s="3337"/>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86"/>
      <c r="Q13" s="1146">
        <f t="shared" si="6"/>
        <v>111</v>
      </c>
      <c r="R13" s="1554" t="s">
        <v>11</v>
      </c>
      <c r="S13" s="1555">
        <f t="shared" si="0"/>
        <v>100</v>
      </c>
      <c r="T13" s="1554" t="s">
        <v>11</v>
      </c>
      <c r="U13" s="1555">
        <f t="shared" si="1"/>
        <v>100</v>
      </c>
      <c r="V13" s="1554" t="s">
        <v>11</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86"/>
      <c r="Q14" s="1146">
        <f t="shared" si="6"/>
        <v>111</v>
      </c>
      <c r="R14" s="1554" t="s">
        <v>11</v>
      </c>
      <c r="S14" s="1555">
        <f t="shared" si="0"/>
        <v>100</v>
      </c>
      <c r="T14" s="1554" t="s">
        <v>11</v>
      </c>
      <c r="U14" s="1555">
        <f t="shared" si="1"/>
        <v>100</v>
      </c>
      <c r="V14" s="1554" t="s">
        <v>11</v>
      </c>
      <c r="W14" s="1555">
        <f t="shared" si="2"/>
        <v>100</v>
      </c>
      <c r="X14" s="1556"/>
      <c r="Y14" s="3337"/>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88" t="s">
        <v>539</v>
      </c>
      <c r="Q15" s="1558" t="str">
        <f t="shared" si="6"/>
        <v>居住社区成熟度</v>
      </c>
      <c r="R15" s="1559" t="s">
        <v>11</v>
      </c>
      <c r="S15" s="1560">
        <f t="shared" si="0"/>
        <v>100</v>
      </c>
      <c r="T15" s="1559" t="s">
        <v>11</v>
      </c>
      <c r="U15" s="1560">
        <f t="shared" si="1"/>
        <v>100</v>
      </c>
      <c r="V15" s="1559" t="s">
        <v>11</v>
      </c>
      <c r="W15" s="1560">
        <f t="shared" si="2"/>
        <v>100</v>
      </c>
      <c r="X15" s="1553"/>
      <c r="Y15" s="3388"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89"/>
      <c r="Q16" s="1558"/>
      <c r="R16" s="1559"/>
      <c r="S16" s="1560"/>
      <c r="T16" s="1559"/>
      <c r="U16" s="1560"/>
      <c r="V16" s="1559"/>
      <c r="W16" s="1560"/>
      <c r="X16" s="1553"/>
      <c r="Y16" s="3389"/>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89"/>
      <c r="Q17" s="1558" t="str">
        <f>B17</f>
        <v>交通便捷度</v>
      </c>
      <c r="R17" s="1559" t="s">
        <v>11</v>
      </c>
      <c r="S17" s="1560">
        <f>F17</f>
        <v>100</v>
      </c>
      <c r="T17" s="1559" t="s">
        <v>11</v>
      </c>
      <c r="U17" s="1560">
        <f>H17</f>
        <v>100</v>
      </c>
      <c r="V17" s="1559" t="s">
        <v>11</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89"/>
      <c r="Q18" s="1558"/>
      <c r="R18" s="1559"/>
      <c r="S18" s="1560"/>
      <c r="T18" s="1559"/>
      <c r="U18" s="1560"/>
      <c r="V18" s="1559"/>
      <c r="W18" s="1560"/>
      <c r="X18" s="1553"/>
      <c r="Y18" s="3389"/>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89"/>
      <c r="Q19" s="1558" t="str">
        <f>B19</f>
        <v>公共配套设施</v>
      </c>
      <c r="R19" s="1559" t="s">
        <v>11</v>
      </c>
      <c r="S19" s="1560">
        <f>F19</f>
        <v>100</v>
      </c>
      <c r="T19" s="1559" t="s">
        <v>11</v>
      </c>
      <c r="U19" s="1560">
        <f>H19</f>
        <v>100</v>
      </c>
      <c r="V19" s="1559" t="s">
        <v>11</v>
      </c>
      <c r="W19" s="1560">
        <f>J19</f>
        <v>100</v>
      </c>
      <c r="X19" s="1553"/>
      <c r="Y19" s="338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89"/>
      <c r="Q20" s="1558"/>
      <c r="R20" s="1559"/>
      <c r="S20" s="1560"/>
      <c r="T20" s="1559"/>
      <c r="U20" s="1560"/>
      <c r="V20" s="1559"/>
      <c r="W20" s="1560"/>
      <c r="X20" s="1553"/>
      <c r="Y20" s="3389"/>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89"/>
      <c r="Q21" s="2542" t="str">
        <f>B21</f>
        <v>基础设施水平</v>
      </c>
      <c r="R21" s="1559" t="s">
        <v>11</v>
      </c>
      <c r="S21" s="1560">
        <f>F21</f>
        <v>100</v>
      </c>
      <c r="T21" s="1559" t="s">
        <v>11</v>
      </c>
      <c r="U21" s="1560">
        <f>H21</f>
        <v>100</v>
      </c>
      <c r="V21" s="1559" t="s">
        <v>11</v>
      </c>
      <c r="W21" s="1560">
        <f>J21</f>
        <v>100</v>
      </c>
      <c r="X21" s="2544"/>
      <c r="Y21" s="3389"/>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89"/>
      <c r="Q22" s="2542"/>
      <c r="R22" s="1559"/>
      <c r="S22" s="1560"/>
      <c r="T22" s="1559"/>
      <c r="U22" s="1560"/>
      <c r="V22" s="1559"/>
      <c r="W22" s="1560"/>
      <c r="X22" s="2544"/>
      <c r="Y22" s="3389"/>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89"/>
      <c r="Q23" s="1558" t="str">
        <f>B23</f>
        <v>自然及人文环境</v>
      </c>
      <c r="R23" s="1559" t="s">
        <v>11</v>
      </c>
      <c r="S23" s="1560">
        <f>F23</f>
        <v>100</v>
      </c>
      <c r="T23" s="1559" t="s">
        <v>11</v>
      </c>
      <c r="U23" s="1560">
        <f>H23</f>
        <v>100</v>
      </c>
      <c r="V23" s="1559" t="s">
        <v>11</v>
      </c>
      <c r="W23" s="1560">
        <f>J23</f>
        <v>100</v>
      </c>
      <c r="X23" s="1553"/>
      <c r="Y23" s="338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89"/>
      <c r="Q24" s="1558"/>
      <c r="R24" s="1559"/>
      <c r="S24" s="1560"/>
      <c r="T24" s="1559"/>
      <c r="U24" s="1560"/>
      <c r="V24" s="1559"/>
      <c r="W24" s="1560"/>
      <c r="X24" s="1553"/>
      <c r="Y24" s="3389"/>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89"/>
      <c r="Q25" s="1558" t="str">
        <f t="shared" ref="Q25:Q46" si="11">B25</f>
        <v>楼层-1</v>
      </c>
      <c r="R25" s="1559" t="s">
        <v>11</v>
      </c>
      <c r="S25" s="1560">
        <f>F25</f>
        <v>100</v>
      </c>
      <c r="T25" s="1559" t="s">
        <v>11</v>
      </c>
      <c r="U25" s="1560">
        <f>H25</f>
        <v>100</v>
      </c>
      <c r="V25" s="1559" t="s">
        <v>11</v>
      </c>
      <c r="W25" s="1560">
        <f>J25</f>
        <v>100</v>
      </c>
      <c r="X25" s="1553"/>
      <c r="Y25" s="3389"/>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89"/>
      <c r="Q26" s="1558" t="str">
        <f t="shared" si="11"/>
        <v>朝向</v>
      </c>
      <c r="R26" s="1559" t="s">
        <v>11</v>
      </c>
      <c r="S26" s="1560">
        <f>F26</f>
        <v>100</v>
      </c>
      <c r="T26" s="1559" t="s">
        <v>11</v>
      </c>
      <c r="U26" s="1560">
        <f>H26</f>
        <v>100</v>
      </c>
      <c r="V26" s="1559" t="s">
        <v>11</v>
      </c>
      <c r="W26" s="1560">
        <f>J26</f>
        <v>100</v>
      </c>
      <c r="X26" s="1553"/>
      <c r="Y26" s="3389"/>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89"/>
      <c r="Q27" s="1146" t="str">
        <f t="shared" si="11"/>
        <v>道路级别</v>
      </c>
      <c r="R27" s="1554" t="s">
        <v>11</v>
      </c>
      <c r="S27" s="1555">
        <f>F27</f>
        <v>100</v>
      </c>
      <c r="T27" s="1554" t="s">
        <v>11</v>
      </c>
      <c r="U27" s="1555">
        <f>H27</f>
        <v>100</v>
      </c>
      <c r="V27" s="1554" t="s">
        <v>11</v>
      </c>
      <c r="W27" s="1555">
        <f>J27</f>
        <v>100</v>
      </c>
      <c r="X27" s="1556"/>
      <c r="Y27" s="3389"/>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8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9"/>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89"/>
      <c r="Q29" s="1558">
        <f t="shared" si="11"/>
        <v>111</v>
      </c>
      <c r="R29" s="1559" t="s">
        <v>11</v>
      </c>
      <c r="S29" s="1560">
        <f t="shared" si="12"/>
        <v>100</v>
      </c>
      <c r="T29" s="1559" t="s">
        <v>11</v>
      </c>
      <c r="U29" s="1560">
        <f t="shared" si="13"/>
        <v>100</v>
      </c>
      <c r="V29" s="1559" t="s">
        <v>11</v>
      </c>
      <c r="W29" s="1560">
        <f t="shared" si="14"/>
        <v>100</v>
      </c>
      <c r="X29" s="1553"/>
      <c r="Y29" s="338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89"/>
      <c r="Q30" s="1558">
        <f t="shared" si="11"/>
        <v>111</v>
      </c>
      <c r="R30" s="1559" t="s">
        <v>11</v>
      </c>
      <c r="S30" s="1560">
        <f t="shared" si="12"/>
        <v>100</v>
      </c>
      <c r="T30" s="1559" t="s">
        <v>11</v>
      </c>
      <c r="U30" s="1560">
        <f t="shared" si="13"/>
        <v>100</v>
      </c>
      <c r="V30" s="1559" t="s">
        <v>11</v>
      </c>
      <c r="W30" s="1560">
        <f t="shared" si="14"/>
        <v>100</v>
      </c>
      <c r="X30" s="1553"/>
      <c r="Y30" s="3389"/>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89"/>
      <c r="Q31" s="1558">
        <f t="shared" si="11"/>
        <v>111</v>
      </c>
      <c r="R31" s="1559" t="s">
        <v>11</v>
      </c>
      <c r="S31" s="1560">
        <f t="shared" si="12"/>
        <v>100</v>
      </c>
      <c r="T31" s="1559" t="s">
        <v>11</v>
      </c>
      <c r="U31" s="1560">
        <f t="shared" si="13"/>
        <v>100</v>
      </c>
      <c r="V31" s="1559" t="s">
        <v>11</v>
      </c>
      <c r="W31" s="1560">
        <f t="shared" si="14"/>
        <v>100</v>
      </c>
      <c r="X31" s="1553"/>
      <c r="Y31" s="3389"/>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90" t="s">
        <v>549</v>
      </c>
      <c r="Q32" s="1558" t="str">
        <f t="shared" si="11"/>
        <v>建筑类型</v>
      </c>
      <c r="R32" s="1559" t="s">
        <v>11</v>
      </c>
      <c r="S32" s="1560">
        <f t="shared" si="12"/>
        <v>100</v>
      </c>
      <c r="T32" s="1559" t="s">
        <v>11</v>
      </c>
      <c r="U32" s="1560">
        <f t="shared" si="13"/>
        <v>100</v>
      </c>
      <c r="V32" s="1559" t="s">
        <v>11</v>
      </c>
      <c r="W32" s="1560">
        <f t="shared" si="14"/>
        <v>100</v>
      </c>
      <c r="X32" s="1553"/>
      <c r="Y32" s="3391"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91"/>
      <c r="Q33" s="1590" t="str">
        <f t="shared" si="11"/>
        <v>项目建筑规模</v>
      </c>
      <c r="R33" s="1563" t="s">
        <v>11</v>
      </c>
      <c r="S33" s="1564" t="e">
        <f t="shared" si="12"/>
        <v>#N/A</v>
      </c>
      <c r="T33" s="1563" t="s">
        <v>11</v>
      </c>
      <c r="U33" s="1564" t="e">
        <f t="shared" si="13"/>
        <v>#N/A</v>
      </c>
      <c r="V33" s="1563" t="s">
        <v>11</v>
      </c>
      <c r="W33" s="1564" t="e">
        <f t="shared" si="14"/>
        <v>#N/A</v>
      </c>
      <c r="X33" s="1565"/>
      <c r="Y33" s="3391"/>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91"/>
      <c r="Q34" s="1558" t="str">
        <f t="shared" si="11"/>
        <v>建筑结构</v>
      </c>
      <c r="R34" s="1559" t="s">
        <v>11</v>
      </c>
      <c r="S34" s="1560">
        <f t="shared" si="12"/>
        <v>100</v>
      </c>
      <c r="T34" s="1559" t="s">
        <v>11</v>
      </c>
      <c r="U34" s="1560">
        <f t="shared" si="13"/>
        <v>100</v>
      </c>
      <c r="V34" s="1559" t="s">
        <v>11</v>
      </c>
      <c r="W34" s="1560">
        <f t="shared" si="14"/>
        <v>100</v>
      </c>
      <c r="X34" s="1553"/>
      <c r="Y34" s="3391"/>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91"/>
      <c r="Q35" s="1558" t="str">
        <f t="shared" si="11"/>
        <v>建筑品质</v>
      </c>
      <c r="R35" s="1559" t="s">
        <v>11</v>
      </c>
      <c r="S35" s="1560">
        <f t="shared" si="12"/>
        <v>100</v>
      </c>
      <c r="T35" s="1559" t="s">
        <v>11</v>
      </c>
      <c r="U35" s="1560">
        <f t="shared" si="13"/>
        <v>100</v>
      </c>
      <c r="V35" s="1559" t="s">
        <v>11</v>
      </c>
      <c r="W35" s="1560">
        <f t="shared" si="14"/>
        <v>100</v>
      </c>
      <c r="X35" s="1553"/>
      <c r="Y35" s="3391"/>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91"/>
      <c r="Q36" s="1558" t="str">
        <f t="shared" si="11"/>
        <v>公共部分装修</v>
      </c>
      <c r="R36" s="1559" t="s">
        <v>11</v>
      </c>
      <c r="S36" s="1560">
        <f t="shared" si="12"/>
        <v>100</v>
      </c>
      <c r="T36" s="1559" t="s">
        <v>11</v>
      </c>
      <c r="U36" s="1560">
        <f t="shared" si="13"/>
        <v>100</v>
      </c>
      <c r="V36" s="1559" t="s">
        <v>11</v>
      </c>
      <c r="W36" s="1560">
        <f t="shared" si="14"/>
        <v>100</v>
      </c>
      <c r="X36" s="1553"/>
      <c r="Y36" s="3391"/>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91"/>
      <c r="Q37" s="1146" t="str">
        <f t="shared" si="11"/>
        <v>成新度</v>
      </c>
      <c r="R37" s="1554" t="s">
        <v>11</v>
      </c>
      <c r="S37" s="1555" t="e">
        <f t="shared" si="12"/>
        <v>#N/A</v>
      </c>
      <c r="T37" s="1554" t="s">
        <v>11</v>
      </c>
      <c r="U37" s="1555" t="e">
        <f t="shared" si="13"/>
        <v>#N/A</v>
      </c>
      <c r="V37" s="1554" t="s">
        <v>11</v>
      </c>
      <c r="W37" s="1555" t="e">
        <f t="shared" si="14"/>
        <v>#N/A</v>
      </c>
      <c r="X37" s="1556"/>
      <c r="Y37" s="3391"/>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91" t="s">
        <v>549</v>
      </c>
      <c r="Q38" s="1558" t="str">
        <f t="shared" si="11"/>
        <v>物业管理</v>
      </c>
      <c r="R38" s="1559" t="s">
        <v>11</v>
      </c>
      <c r="S38" s="1560">
        <f t="shared" si="12"/>
        <v>100</v>
      </c>
      <c r="T38" s="1559" t="s">
        <v>11</v>
      </c>
      <c r="U38" s="1560">
        <f t="shared" si="13"/>
        <v>100</v>
      </c>
      <c r="V38" s="1559" t="s">
        <v>11</v>
      </c>
      <c r="W38" s="1560">
        <f t="shared" si="14"/>
        <v>100</v>
      </c>
      <c r="X38" s="1553"/>
      <c r="Y38" s="3391"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91"/>
      <c r="Q39" s="1558" t="str">
        <f t="shared" si="11"/>
        <v>市政基础设施</v>
      </c>
      <c r="R39" s="1559" t="s">
        <v>11</v>
      </c>
      <c r="S39" s="1560">
        <f t="shared" si="12"/>
        <v>100</v>
      </c>
      <c r="T39" s="1559" t="s">
        <v>11</v>
      </c>
      <c r="U39" s="1560">
        <f t="shared" si="13"/>
        <v>100</v>
      </c>
      <c r="V39" s="1559" t="s">
        <v>11</v>
      </c>
      <c r="W39" s="1560">
        <f t="shared" si="14"/>
        <v>100</v>
      </c>
      <c r="X39" s="1553"/>
      <c r="Y39" s="3391"/>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91"/>
      <c r="Q40" s="1558" t="str">
        <f t="shared" si="11"/>
        <v>房型</v>
      </c>
      <c r="R40" s="1559" t="s">
        <v>11</v>
      </c>
      <c r="S40" s="1560">
        <f t="shared" si="12"/>
        <v>100</v>
      </c>
      <c r="T40" s="1559" t="s">
        <v>11</v>
      </c>
      <c r="U40" s="1560">
        <f t="shared" si="13"/>
        <v>100</v>
      </c>
      <c r="V40" s="1559" t="s">
        <v>11</v>
      </c>
      <c r="W40" s="1560">
        <f t="shared" si="14"/>
        <v>100</v>
      </c>
      <c r="X40" s="1553"/>
      <c r="Y40" s="3391"/>
      <c r="Z40" s="1561" t="str">
        <f t="shared" si="15"/>
        <v>房型</v>
      </c>
      <c r="AA40" s="1562">
        <f t="shared" si="3"/>
        <v>1</v>
      </c>
      <c r="AB40" s="1562">
        <f t="shared" si="4"/>
        <v>1</v>
      </c>
      <c r="AC40" s="1562">
        <f t="shared" si="5"/>
        <v>1</v>
      </c>
    </row>
    <row r="41" spans="1:29" s="1334"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91"/>
      <c r="Q41" s="1590" t="str">
        <f t="shared" si="11"/>
        <v>单套/主力户型建筑面积</v>
      </c>
      <c r="R41" s="1563" t="s">
        <v>11</v>
      </c>
      <c r="S41" s="1564">
        <f t="shared" si="12"/>
        <v>100</v>
      </c>
      <c r="T41" s="1563" t="s">
        <v>11</v>
      </c>
      <c r="U41" s="1564">
        <f t="shared" si="13"/>
        <v>100</v>
      </c>
      <c r="V41" s="1563" t="s">
        <v>11</v>
      </c>
      <c r="W41" s="1564">
        <f t="shared" si="14"/>
        <v>100</v>
      </c>
      <c r="X41" s="1565"/>
      <c r="Y41" s="3391"/>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91"/>
      <c r="Q42" s="1558" t="str">
        <f t="shared" si="11"/>
        <v>内部装修</v>
      </c>
      <c r="R42" s="1559" t="s">
        <v>11</v>
      </c>
      <c r="S42" s="1560">
        <f t="shared" si="12"/>
        <v>100</v>
      </c>
      <c r="T42" s="1559" t="s">
        <v>11</v>
      </c>
      <c r="U42" s="1560">
        <f t="shared" si="13"/>
        <v>100</v>
      </c>
      <c r="V42" s="1559" t="s">
        <v>11</v>
      </c>
      <c r="W42" s="1560">
        <f t="shared" si="14"/>
        <v>100</v>
      </c>
      <c r="X42" s="1553"/>
      <c r="Y42" s="3391"/>
      <c r="Z42" s="1561" t="str">
        <f t="shared" si="15"/>
        <v>内部装修</v>
      </c>
      <c r="AA42" s="1562">
        <f t="shared" si="3"/>
        <v>1</v>
      </c>
      <c r="AB42" s="1562">
        <f t="shared" si="4"/>
        <v>1</v>
      </c>
      <c r="AC42" s="1562">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91"/>
      <c r="Q43" s="1558" t="str">
        <f t="shared" si="11"/>
        <v>内部装修维护情况</v>
      </c>
      <c r="R43" s="1559" t="s">
        <v>11</v>
      </c>
      <c r="S43" s="1560">
        <f t="shared" si="12"/>
        <v>100</v>
      </c>
      <c r="T43" s="1559" t="s">
        <v>11</v>
      </c>
      <c r="U43" s="1560">
        <f t="shared" si="13"/>
        <v>100</v>
      </c>
      <c r="V43" s="1559" t="s">
        <v>11</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91"/>
      <c r="Q44" s="1146">
        <f t="shared" si="11"/>
        <v>111</v>
      </c>
      <c r="R44" s="1554" t="s">
        <v>11</v>
      </c>
      <c r="S44" s="1555">
        <f t="shared" si="12"/>
        <v>100</v>
      </c>
      <c r="T44" s="1554" t="s">
        <v>11</v>
      </c>
      <c r="U44" s="1555">
        <f t="shared" si="13"/>
        <v>100</v>
      </c>
      <c r="V44" s="1554" t="s">
        <v>11</v>
      </c>
      <c r="W44" s="1555">
        <f t="shared" si="14"/>
        <v>100</v>
      </c>
      <c r="X44" s="1556"/>
      <c r="Y44" s="339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91"/>
      <c r="Q45" s="1558">
        <f t="shared" si="11"/>
        <v>111</v>
      </c>
      <c r="R45" s="1559" t="s">
        <v>11</v>
      </c>
      <c r="S45" s="1560">
        <f t="shared" si="12"/>
        <v>100</v>
      </c>
      <c r="T45" s="1559" t="s">
        <v>11</v>
      </c>
      <c r="U45" s="1560">
        <f t="shared" si="13"/>
        <v>100</v>
      </c>
      <c r="V45" s="1559" t="s">
        <v>11</v>
      </c>
      <c r="W45" s="1560">
        <f t="shared" si="14"/>
        <v>100</v>
      </c>
      <c r="X45" s="1553"/>
      <c r="Y45" s="3391"/>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5"/>
      <c r="Q46" s="1558">
        <f t="shared" si="11"/>
        <v>111</v>
      </c>
      <c r="R46" s="1559" t="s">
        <v>10</v>
      </c>
      <c r="S46" s="1560">
        <f t="shared" si="12"/>
        <v>100</v>
      </c>
      <c r="T46" s="1559" t="s">
        <v>10</v>
      </c>
      <c r="U46" s="1560">
        <f t="shared" si="13"/>
        <v>100</v>
      </c>
      <c r="V46" s="1559" t="s">
        <v>10</v>
      </c>
      <c r="W46" s="1560">
        <f t="shared" si="14"/>
        <v>100</v>
      </c>
      <c r="X46" s="1553"/>
      <c r="Y46" s="3485"/>
      <c r="Z46" s="1561">
        <f t="shared" si="15"/>
        <v>111</v>
      </c>
      <c r="AA46" s="1562">
        <f t="shared" si="3"/>
        <v>1</v>
      </c>
      <c r="AB46" s="1562">
        <f t="shared" si="4"/>
        <v>1</v>
      </c>
      <c r="AC46" s="1562">
        <f t="shared" si="5"/>
        <v>1</v>
      </c>
    </row>
    <row r="47" spans="1:29" ht="15">
      <c r="A47" s="606" t="s">
        <v>735</v>
      </c>
      <c r="B47" s="886"/>
      <c r="C47" s="2590" t="s">
        <v>9</v>
      </c>
      <c r="D47" s="2591"/>
      <c r="E47" s="2592"/>
      <c r="F47" s="2593"/>
      <c r="G47" s="2594"/>
      <c r="H47" s="2595"/>
      <c r="I47" s="2592"/>
      <c r="J47" s="2595"/>
      <c r="K47" s="1591"/>
      <c r="L47" s="2128"/>
      <c r="M47" s="2129"/>
      <c r="N47" s="2118"/>
      <c r="O47" s="2129"/>
      <c r="P47" s="3386" t="str">
        <f>A47</f>
        <v>成交单价（元/平方米）</v>
      </c>
      <c r="Q47" s="3386"/>
      <c r="R47" s="3484">
        <f>E47</f>
        <v>0</v>
      </c>
      <c r="S47" s="3484"/>
      <c r="T47" s="3484">
        <f>G47</f>
        <v>0</v>
      </c>
      <c r="U47" s="3484"/>
      <c r="V47" s="3484">
        <f>I47</f>
        <v>0</v>
      </c>
      <c r="W47" s="3484"/>
      <c r="X47" s="1545"/>
      <c r="Y47" s="1567"/>
      <c r="Z47" s="1545"/>
      <c r="AA47" s="1545"/>
      <c r="AB47" s="1545"/>
      <c r="AC47" s="1545"/>
    </row>
    <row r="48" spans="1:29" ht="15.7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86" t="str">
        <f>A48</f>
        <v>比较价格（元/平方米）</v>
      </c>
      <c r="Q48" s="3386"/>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0" t="s">
        <v>2925</v>
      </c>
      <c r="B49" s="621"/>
      <c r="C49" s="2599" t="e">
        <f>R49</f>
        <v>#DIV/0!</v>
      </c>
      <c r="D49" s="2599"/>
      <c r="E49" s="2599"/>
      <c r="F49" s="2599"/>
      <c r="G49" s="2599"/>
      <c r="H49" s="2599"/>
      <c r="I49" s="2599"/>
      <c r="J49" s="2599"/>
      <c r="K49" s="1593"/>
      <c r="L49" s="2128"/>
      <c r="M49" s="2129"/>
      <c r="N49" s="2129"/>
      <c r="O49" s="2129"/>
      <c r="P49" s="3407" t="str">
        <f>A49</f>
        <v>估价对象XX用房的比较价格（楼面单价，元/平方米）</v>
      </c>
      <c r="Q49" s="3408"/>
      <c r="R49" s="3483" t="e">
        <f>IF(F1="售价",ROUND(AVERAGE(R48:V48),0),ROUND(AVERAGE(R48:V48),1))</f>
        <v>#DIV/0!</v>
      </c>
      <c r="S49" s="3483"/>
      <c r="T49" s="3483"/>
      <c r="U49" s="3483"/>
      <c r="V49" s="3483"/>
      <c r="W49" s="3483"/>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5">
      <c r="A4" s="511" t="s">
        <v>520</v>
      </c>
      <c r="B4" s="512"/>
      <c r="C4" s="3392" t="s">
        <v>521</v>
      </c>
      <c r="D4" s="3393"/>
      <c r="E4" s="3416" t="s">
        <v>522</v>
      </c>
      <c r="F4" s="3417"/>
      <c r="G4" s="3392" t="s">
        <v>523</v>
      </c>
      <c r="H4" s="3393"/>
      <c r="I4" s="3392" t="s">
        <v>524</v>
      </c>
      <c r="J4" s="3393"/>
      <c r="K4" s="513" t="s">
        <v>525</v>
      </c>
      <c r="L4" s="2117"/>
      <c r="M4" s="2118"/>
      <c r="N4" s="2118"/>
      <c r="O4" s="2118"/>
      <c r="P4" s="3394" t="s">
        <v>526</v>
      </c>
      <c r="Q4" s="3395"/>
      <c r="R4" s="3380" t="s">
        <v>522</v>
      </c>
      <c r="S4" s="3381"/>
      <c r="T4" s="3380" t="s">
        <v>523</v>
      </c>
      <c r="U4" s="3381"/>
      <c r="V4" s="3400" t="s">
        <v>524</v>
      </c>
      <c r="W4" s="3400"/>
      <c r="X4" s="1553"/>
      <c r="Y4" s="3380" t="s">
        <v>526</v>
      </c>
      <c r="Z4" s="3381"/>
      <c r="AA4" s="3375" t="s">
        <v>522</v>
      </c>
      <c r="AB4" s="3400" t="s">
        <v>523</v>
      </c>
      <c r="AC4" s="3375" t="s">
        <v>524</v>
      </c>
    </row>
    <row r="5" spans="1:29" ht="15">
      <c r="A5" s="514"/>
      <c r="B5" s="515"/>
      <c r="C5" s="3403" t="s">
        <v>2919</v>
      </c>
      <c r="D5" s="3404"/>
      <c r="E5" s="3418" t="s">
        <v>2920</v>
      </c>
      <c r="F5" s="3419"/>
      <c r="G5" s="3403" t="s">
        <v>2921</v>
      </c>
      <c r="H5" s="3404"/>
      <c r="I5" s="3403" t="s">
        <v>2922</v>
      </c>
      <c r="J5" s="3404"/>
      <c r="K5" s="513"/>
      <c r="L5" s="2117"/>
      <c r="M5" s="2118"/>
      <c r="N5" s="2118"/>
      <c r="O5" s="2118"/>
      <c r="P5" s="3396"/>
      <c r="Q5" s="3397"/>
      <c r="R5" s="3382"/>
      <c r="S5" s="3383"/>
      <c r="T5" s="3382"/>
      <c r="U5" s="3383"/>
      <c r="V5" s="3400"/>
      <c r="W5" s="3400"/>
      <c r="X5" s="1553"/>
      <c r="Y5" s="3382"/>
      <c r="Z5" s="3383"/>
      <c r="AA5" s="3376"/>
      <c r="AB5" s="3400"/>
      <c r="AC5" s="3376"/>
    </row>
    <row r="6" spans="1:29" ht="15.75" thickBot="1">
      <c r="A6" s="516"/>
      <c r="B6" s="517"/>
      <c r="C6" s="3401" t="s">
        <v>2923</v>
      </c>
      <c r="D6" s="3402"/>
      <c r="E6" s="3420" t="s">
        <v>2923</v>
      </c>
      <c r="F6" s="3421"/>
      <c r="G6" s="3401" t="s">
        <v>2923</v>
      </c>
      <c r="H6" s="3402"/>
      <c r="I6" s="3401" t="s">
        <v>2923</v>
      </c>
      <c r="J6" s="3402"/>
      <c r="K6" s="513" t="s">
        <v>527</v>
      </c>
      <c r="L6" s="2117"/>
      <c r="M6" s="2118"/>
      <c r="N6" s="2118"/>
      <c r="O6" s="2118"/>
      <c r="P6" s="3398"/>
      <c r="Q6" s="3399"/>
      <c r="R6" s="3382"/>
      <c r="S6" s="3383"/>
      <c r="T6" s="3384"/>
      <c r="U6" s="3385"/>
      <c r="V6" s="3400"/>
      <c r="W6" s="3400"/>
      <c r="X6" s="1553"/>
      <c r="Y6" s="3384"/>
      <c r="Z6" s="3385"/>
      <c r="AA6" s="3377"/>
      <c r="AB6" s="3400"/>
      <c r="AC6" s="3377"/>
    </row>
    <row r="7" spans="1:29" s="1215" customFormat="1" ht="15.7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78" t="s">
        <v>529</v>
      </c>
      <c r="Q7" s="3387"/>
      <c r="R7" s="1554" t="s">
        <v>8</v>
      </c>
      <c r="S7" s="1555">
        <f t="shared" ref="S7:S15" si="0">F7</f>
        <v>0</v>
      </c>
      <c r="T7" s="1554" t="s">
        <v>8</v>
      </c>
      <c r="U7" s="1555">
        <f t="shared" ref="U7:U15" si="1">H7</f>
        <v>0</v>
      </c>
      <c r="V7" s="1554" t="s">
        <v>8</v>
      </c>
      <c r="W7" s="1555">
        <f t="shared" ref="W7:W15" si="2">J7</f>
        <v>0</v>
      </c>
      <c r="X7" s="1556"/>
      <c r="Y7" s="3378" t="s">
        <v>529</v>
      </c>
      <c r="Z7" s="3379"/>
      <c r="AA7" s="1557" t="e">
        <f>D7/F7</f>
        <v>#DIV/0!</v>
      </c>
      <c r="AB7" s="1557" t="e">
        <f>D7/H7</f>
        <v>#DIV/0!</v>
      </c>
      <c r="AC7" s="1557" t="e">
        <f>D7/J7</f>
        <v>#DIV/0!</v>
      </c>
    </row>
    <row r="8" spans="1:29" s="1215"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78" t="s">
        <v>532</v>
      </c>
      <c r="Q8" s="3379"/>
      <c r="R8" s="1554" t="s">
        <v>8</v>
      </c>
      <c r="S8" s="1555">
        <f t="shared" si="0"/>
        <v>0</v>
      </c>
      <c r="T8" s="1554" t="s">
        <v>8</v>
      </c>
      <c r="U8" s="1555">
        <f t="shared" si="1"/>
        <v>0</v>
      </c>
      <c r="V8" s="1554" t="s">
        <v>8</v>
      </c>
      <c r="W8" s="1555">
        <f t="shared" si="2"/>
        <v>0</v>
      </c>
      <c r="X8" s="1556"/>
      <c r="Y8" s="3378" t="s">
        <v>532</v>
      </c>
      <c r="Z8" s="3379"/>
      <c r="AA8" s="1557" t="e">
        <f t="shared" ref="AA8:AA46" si="3">D8/F8</f>
        <v>#DIV/0!</v>
      </c>
      <c r="AB8" s="1557" t="e">
        <f t="shared" ref="AB8:AB46" si="4">D8/H8</f>
        <v>#DIV/0!</v>
      </c>
      <c r="AC8" s="1557" t="e">
        <f t="shared" ref="AC8:AC46" si="5">D8/J8</f>
        <v>#DIV/0!</v>
      </c>
    </row>
    <row r="9" spans="1:29" s="1215" customFormat="1" ht="15">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86" t="s">
        <v>534</v>
      </c>
      <c r="Q9" s="1146" t="str">
        <f t="shared" ref="Q9:Q15" si="6">B9</f>
        <v>用途</v>
      </c>
      <c r="R9" s="1554" t="s">
        <v>8</v>
      </c>
      <c r="S9" s="1555">
        <f t="shared" si="0"/>
        <v>100</v>
      </c>
      <c r="T9" s="1554" t="s">
        <v>8</v>
      </c>
      <c r="U9" s="1555">
        <f t="shared" si="1"/>
        <v>100</v>
      </c>
      <c r="V9" s="1554" t="s">
        <v>8</v>
      </c>
      <c r="W9" s="1555">
        <f t="shared" si="2"/>
        <v>100</v>
      </c>
      <c r="X9" s="1556"/>
      <c r="Y9" s="3337"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86"/>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86"/>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86"/>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86"/>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86"/>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88" t="s">
        <v>539</v>
      </c>
      <c r="Q15" s="1558" t="str">
        <f t="shared" si="6"/>
        <v>商业繁华度</v>
      </c>
      <c r="R15" s="1559" t="s">
        <v>8</v>
      </c>
      <c r="S15" s="1560">
        <f t="shared" si="0"/>
        <v>100</v>
      </c>
      <c r="T15" s="1559" t="s">
        <v>8</v>
      </c>
      <c r="U15" s="1560">
        <f t="shared" si="1"/>
        <v>100</v>
      </c>
      <c r="V15" s="1559" t="s">
        <v>8</v>
      </c>
      <c r="W15" s="1560">
        <f t="shared" si="2"/>
        <v>100</v>
      </c>
      <c r="X15" s="1553"/>
      <c r="Y15" s="3388"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9"/>
      <c r="Q16" s="1558"/>
      <c r="R16" s="1559"/>
      <c r="S16" s="1560"/>
      <c r="T16" s="1559"/>
      <c r="U16" s="1560"/>
      <c r="V16" s="1559"/>
      <c r="W16" s="1560"/>
      <c r="X16" s="1553"/>
      <c r="Y16" s="3389"/>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9"/>
      <c r="Q18" s="1558"/>
      <c r="R18" s="1559"/>
      <c r="S18" s="1560"/>
      <c r="T18" s="1559"/>
      <c r="U18" s="1560"/>
      <c r="V18" s="1559"/>
      <c r="W18" s="1560"/>
      <c r="X18" s="1553"/>
      <c r="Y18" s="3389"/>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89"/>
      <c r="Q20" s="1558"/>
      <c r="R20" s="1559"/>
      <c r="S20" s="1560"/>
      <c r="T20" s="1559"/>
      <c r="U20" s="1560"/>
      <c r="V20" s="1559"/>
      <c r="W20" s="1560"/>
      <c r="X20" s="1553"/>
      <c r="Y20" s="3389"/>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89"/>
      <c r="Q21" s="2542" t="str">
        <f>B21</f>
        <v>基础设施水平</v>
      </c>
      <c r="R21" s="1559" t="s">
        <v>8</v>
      </c>
      <c r="S21" s="1560">
        <f>F21</f>
        <v>100</v>
      </c>
      <c r="T21" s="1559" t="s">
        <v>8</v>
      </c>
      <c r="U21" s="1560">
        <f>H21</f>
        <v>100</v>
      </c>
      <c r="V21" s="1559" t="s">
        <v>8</v>
      </c>
      <c r="W21" s="1560">
        <f>J21</f>
        <v>100</v>
      </c>
      <c r="X21" s="2544"/>
      <c r="Y21" s="3389"/>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89"/>
      <c r="Q22" s="2542"/>
      <c r="R22" s="1559"/>
      <c r="S22" s="1560"/>
      <c r="T22" s="1559"/>
      <c r="U22" s="1560"/>
      <c r="V22" s="1559"/>
      <c r="W22" s="1560"/>
      <c r="X22" s="2544"/>
      <c r="Y22" s="3389"/>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89"/>
      <c r="Q23" s="1558" t="str">
        <f>B23</f>
        <v>自然及人文环境</v>
      </c>
      <c r="R23" s="1559" t="s">
        <v>8</v>
      </c>
      <c r="S23" s="1560">
        <f>F23</f>
        <v>100</v>
      </c>
      <c r="T23" s="1559" t="s">
        <v>8</v>
      </c>
      <c r="U23" s="1560">
        <f>H23</f>
        <v>100</v>
      </c>
      <c r="V23" s="1559" t="s">
        <v>8</v>
      </c>
      <c r="W23" s="1560">
        <f>J23</f>
        <v>100</v>
      </c>
      <c r="X23" s="1553"/>
      <c r="Y23" s="338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89"/>
      <c r="Q24" s="1558"/>
      <c r="R24" s="1559"/>
      <c r="S24" s="1560"/>
      <c r="T24" s="1559"/>
      <c r="U24" s="1560"/>
      <c r="V24" s="1559"/>
      <c r="W24" s="1560"/>
      <c r="X24" s="1553"/>
      <c r="Y24" s="3389"/>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89"/>
      <c r="Q25" s="1558" t="str">
        <f t="shared" ref="Q25:Q46" si="11">B25</f>
        <v>临街状况</v>
      </c>
      <c r="R25" s="1559" t="s">
        <v>8</v>
      </c>
      <c r="S25" s="1560">
        <f>F25</f>
        <v>100</v>
      </c>
      <c r="T25" s="1559" t="s">
        <v>8</v>
      </c>
      <c r="U25" s="1560">
        <f>H25</f>
        <v>100</v>
      </c>
      <c r="V25" s="1559" t="s">
        <v>8</v>
      </c>
      <c r="W25" s="1560">
        <f>J25</f>
        <v>100</v>
      </c>
      <c r="X25" s="1553"/>
      <c r="Y25" s="3389"/>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89"/>
      <c r="Q26" s="1558" t="str">
        <f t="shared" si="11"/>
        <v>平面位置/可视性</v>
      </c>
      <c r="R26" s="1559" t="s">
        <v>8</v>
      </c>
      <c r="S26" s="1560">
        <f>F26</f>
        <v>100</v>
      </c>
      <c r="T26" s="1559" t="s">
        <v>8</v>
      </c>
      <c r="U26" s="1560">
        <f>H26</f>
        <v>100</v>
      </c>
      <c r="V26" s="1559" t="s">
        <v>8</v>
      </c>
      <c r="W26" s="1560">
        <f>J26</f>
        <v>100</v>
      </c>
      <c r="X26" s="1553"/>
      <c r="Y26" s="3389"/>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89"/>
      <c r="Q27" s="1146" t="str">
        <f t="shared" si="11"/>
        <v>人流量</v>
      </c>
      <c r="R27" s="1554" t="s">
        <v>8</v>
      </c>
      <c r="S27" s="1555">
        <f>F27</f>
        <v>100</v>
      </c>
      <c r="T27" s="1554" t="s">
        <v>8</v>
      </c>
      <c r="U27" s="1555">
        <f>H27</f>
        <v>100</v>
      </c>
      <c r="V27" s="1554" t="s">
        <v>8</v>
      </c>
      <c r="W27" s="1555">
        <f>J27</f>
        <v>100</v>
      </c>
      <c r="X27" s="1556"/>
      <c r="Y27" s="3389"/>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8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9"/>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89"/>
      <c r="Q29" s="1558">
        <f t="shared" si="11"/>
        <v>111</v>
      </c>
      <c r="R29" s="1559" t="s">
        <v>8</v>
      </c>
      <c r="S29" s="1560">
        <f t="shared" si="12"/>
        <v>100</v>
      </c>
      <c r="T29" s="1559" t="s">
        <v>8</v>
      </c>
      <c r="U29" s="1560">
        <f t="shared" si="13"/>
        <v>100</v>
      </c>
      <c r="V29" s="1559" t="s">
        <v>8</v>
      </c>
      <c r="W29" s="1560">
        <f t="shared" si="14"/>
        <v>100</v>
      </c>
      <c r="X29" s="1553"/>
      <c r="Y29" s="338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90" t="s">
        <v>549</v>
      </c>
      <c r="Q32" s="1558" t="str">
        <f t="shared" si="11"/>
        <v>商业类型</v>
      </c>
      <c r="R32" s="1559" t="s">
        <v>8</v>
      </c>
      <c r="S32" s="1560">
        <f t="shared" si="12"/>
        <v>100</v>
      </c>
      <c r="T32" s="1559" t="s">
        <v>8</v>
      </c>
      <c r="U32" s="1560">
        <f t="shared" si="13"/>
        <v>100</v>
      </c>
      <c r="V32" s="1559" t="s">
        <v>8</v>
      </c>
      <c r="W32" s="1560">
        <f t="shared" si="14"/>
        <v>100</v>
      </c>
      <c r="X32" s="1553"/>
      <c r="Y32" s="3391"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91"/>
      <c r="Q33" s="1590" t="str">
        <f t="shared" si="11"/>
        <v>项目建筑规模</v>
      </c>
      <c r="R33" s="1563" t="s">
        <v>8</v>
      </c>
      <c r="S33" s="1564" t="e">
        <f t="shared" si="12"/>
        <v>#N/A</v>
      </c>
      <c r="T33" s="1563" t="s">
        <v>8</v>
      </c>
      <c r="U33" s="1564" t="e">
        <f t="shared" si="13"/>
        <v>#N/A</v>
      </c>
      <c r="V33" s="1563" t="s">
        <v>8</v>
      </c>
      <c r="W33" s="1564" t="e">
        <f t="shared" si="14"/>
        <v>#N/A</v>
      </c>
      <c r="X33" s="1565"/>
      <c r="Y33" s="3391"/>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91"/>
      <c r="Q34" s="1558" t="str">
        <f t="shared" si="11"/>
        <v>建筑结构</v>
      </c>
      <c r="R34" s="1559" t="s">
        <v>8</v>
      </c>
      <c r="S34" s="1560">
        <f t="shared" si="12"/>
        <v>100</v>
      </c>
      <c r="T34" s="1559" t="s">
        <v>8</v>
      </c>
      <c r="U34" s="1560">
        <f t="shared" si="13"/>
        <v>100</v>
      </c>
      <c r="V34" s="1559" t="s">
        <v>8</v>
      </c>
      <c r="W34" s="1560">
        <f t="shared" si="14"/>
        <v>100</v>
      </c>
      <c r="X34" s="1553"/>
      <c r="Y34" s="3391"/>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91"/>
      <c r="Q35" s="1558" t="str">
        <f t="shared" si="11"/>
        <v>公共部分装修</v>
      </c>
      <c r="R35" s="1559" t="s">
        <v>8</v>
      </c>
      <c r="S35" s="1560">
        <f t="shared" si="12"/>
        <v>100</v>
      </c>
      <c r="T35" s="1559" t="s">
        <v>8</v>
      </c>
      <c r="U35" s="1560">
        <f t="shared" si="13"/>
        <v>100</v>
      </c>
      <c r="V35" s="1559" t="s">
        <v>8</v>
      </c>
      <c r="W35" s="1560">
        <f t="shared" si="14"/>
        <v>100</v>
      </c>
      <c r="X35" s="1553"/>
      <c r="Y35" s="3391"/>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91"/>
      <c r="Q36" s="1558" t="str">
        <f t="shared" si="11"/>
        <v>成新度</v>
      </c>
      <c r="R36" s="1559" t="s">
        <v>8</v>
      </c>
      <c r="S36" s="1560" t="e">
        <f t="shared" si="12"/>
        <v>#N/A</v>
      </c>
      <c r="T36" s="1559" t="s">
        <v>8</v>
      </c>
      <c r="U36" s="1560" t="e">
        <f t="shared" si="13"/>
        <v>#N/A</v>
      </c>
      <c r="V36" s="1559" t="s">
        <v>8</v>
      </c>
      <c r="W36" s="1560" t="e">
        <f t="shared" si="14"/>
        <v>#N/A</v>
      </c>
      <c r="X36" s="1553"/>
      <c r="Y36" s="3391"/>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91"/>
      <c r="Q37" s="1146" t="str">
        <f t="shared" si="11"/>
        <v>市政基础设施</v>
      </c>
      <c r="R37" s="1554" t="s">
        <v>8</v>
      </c>
      <c r="S37" s="1555">
        <f t="shared" si="12"/>
        <v>100</v>
      </c>
      <c r="T37" s="1554" t="s">
        <v>8</v>
      </c>
      <c r="U37" s="1555">
        <f t="shared" si="13"/>
        <v>100</v>
      </c>
      <c r="V37" s="1554" t="s">
        <v>8</v>
      </c>
      <c r="W37" s="1555">
        <f t="shared" si="14"/>
        <v>100</v>
      </c>
      <c r="X37" s="1556"/>
      <c r="Y37" s="3391"/>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91" t="s">
        <v>765</v>
      </c>
      <c r="Q38" s="1558" t="str">
        <f t="shared" si="11"/>
        <v>业态</v>
      </c>
      <c r="R38" s="1559" t="s">
        <v>8</v>
      </c>
      <c r="S38" s="1560">
        <f t="shared" si="12"/>
        <v>100</v>
      </c>
      <c r="T38" s="1559" t="s">
        <v>8</v>
      </c>
      <c r="U38" s="1560">
        <f t="shared" si="13"/>
        <v>100</v>
      </c>
      <c r="V38" s="1559" t="s">
        <v>8</v>
      </c>
      <c r="W38" s="1560">
        <f t="shared" si="14"/>
        <v>100</v>
      </c>
      <c r="X38" s="1553"/>
      <c r="Y38" s="3391"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1"/>
      <c r="Q39" s="1558" t="str">
        <f t="shared" si="11"/>
        <v>层高</v>
      </c>
      <c r="R39" s="1559" t="s">
        <v>8</v>
      </c>
      <c r="S39" s="1560">
        <f t="shared" si="12"/>
        <v>100</v>
      </c>
      <c r="T39" s="1559" t="s">
        <v>8</v>
      </c>
      <c r="U39" s="1560">
        <f t="shared" si="13"/>
        <v>100</v>
      </c>
      <c r="V39" s="1559" t="s">
        <v>8</v>
      </c>
      <c r="W39" s="1560">
        <f t="shared" si="14"/>
        <v>100</v>
      </c>
      <c r="X39" s="1553"/>
      <c r="Y39" s="3391"/>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91"/>
      <c r="Q40" s="1558" t="str">
        <f t="shared" si="11"/>
        <v>单套建筑面积</v>
      </c>
      <c r="R40" s="1559" t="s">
        <v>8</v>
      </c>
      <c r="S40" s="1560">
        <f t="shared" si="12"/>
        <v>100</v>
      </c>
      <c r="T40" s="1559" t="s">
        <v>8</v>
      </c>
      <c r="U40" s="1560">
        <f t="shared" si="13"/>
        <v>100</v>
      </c>
      <c r="V40" s="1559" t="s">
        <v>8</v>
      </c>
      <c r="W40" s="1560">
        <f t="shared" si="14"/>
        <v>100</v>
      </c>
      <c r="X40" s="1553"/>
      <c r="Y40" s="3391"/>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91"/>
      <c r="Q41" s="1590" t="str">
        <f t="shared" si="11"/>
        <v>进深比</v>
      </c>
      <c r="R41" s="1563" t="s">
        <v>8</v>
      </c>
      <c r="S41" s="1564">
        <f t="shared" si="12"/>
        <v>100</v>
      </c>
      <c r="T41" s="1563" t="s">
        <v>8</v>
      </c>
      <c r="U41" s="1564">
        <f t="shared" si="13"/>
        <v>100</v>
      </c>
      <c r="V41" s="1563" t="s">
        <v>8</v>
      </c>
      <c r="W41" s="1564">
        <f t="shared" si="14"/>
        <v>100</v>
      </c>
      <c r="X41" s="1565"/>
      <c r="Y41" s="3391"/>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91"/>
      <c r="Q42" s="1558" t="str">
        <f t="shared" si="11"/>
        <v>内部装修</v>
      </c>
      <c r="R42" s="1559" t="s">
        <v>8</v>
      </c>
      <c r="S42" s="1560">
        <f t="shared" si="12"/>
        <v>100</v>
      </c>
      <c r="T42" s="1559" t="s">
        <v>8</v>
      </c>
      <c r="U42" s="1560">
        <f t="shared" si="13"/>
        <v>100</v>
      </c>
      <c r="V42" s="1559" t="s">
        <v>8</v>
      </c>
      <c r="W42" s="1560">
        <f t="shared" si="14"/>
        <v>100</v>
      </c>
      <c r="X42" s="1553"/>
      <c r="Y42" s="3391"/>
      <c r="Z42" s="1561" t="str">
        <f t="shared" si="15"/>
        <v>内部装修</v>
      </c>
      <c r="AA42" s="1562">
        <f t="shared" si="3"/>
        <v>1</v>
      </c>
      <c r="AB42" s="1562">
        <f t="shared" si="4"/>
        <v>1</v>
      </c>
      <c r="AC42" s="1562">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91"/>
      <c r="Q43" s="1558" t="str">
        <f t="shared" si="11"/>
        <v>内部装修维护情况</v>
      </c>
      <c r="R43" s="1559" t="s">
        <v>8</v>
      </c>
      <c r="S43" s="1560">
        <f t="shared" si="12"/>
        <v>100</v>
      </c>
      <c r="T43" s="1559" t="s">
        <v>8</v>
      </c>
      <c r="U43" s="1560">
        <f t="shared" si="13"/>
        <v>100</v>
      </c>
      <c r="V43" s="1559" t="s">
        <v>8</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91"/>
      <c r="Q44" s="1146">
        <f t="shared" si="11"/>
        <v>111</v>
      </c>
      <c r="R44" s="1554" t="s">
        <v>8</v>
      </c>
      <c r="S44" s="1555">
        <f t="shared" si="12"/>
        <v>100</v>
      </c>
      <c r="T44" s="1554" t="s">
        <v>8</v>
      </c>
      <c r="U44" s="1555">
        <f t="shared" si="13"/>
        <v>100</v>
      </c>
      <c r="V44" s="1554" t="s">
        <v>8</v>
      </c>
      <c r="W44" s="1555">
        <f t="shared" si="14"/>
        <v>100</v>
      </c>
      <c r="X44" s="1556"/>
      <c r="Y44" s="339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91"/>
      <c r="Q45" s="1558">
        <f t="shared" si="11"/>
        <v>111</v>
      </c>
      <c r="R45" s="1559" t="s">
        <v>8</v>
      </c>
      <c r="S45" s="1560">
        <f t="shared" si="12"/>
        <v>100</v>
      </c>
      <c r="T45" s="1559" t="s">
        <v>8</v>
      </c>
      <c r="U45" s="1560">
        <f t="shared" si="13"/>
        <v>100</v>
      </c>
      <c r="V45" s="1559" t="s">
        <v>8</v>
      </c>
      <c r="W45" s="1560">
        <f t="shared" si="14"/>
        <v>100</v>
      </c>
      <c r="X45" s="1553"/>
      <c r="Y45" s="3391"/>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5"/>
      <c r="Q46" s="1558">
        <f t="shared" si="11"/>
        <v>111</v>
      </c>
      <c r="R46" s="1559" t="s">
        <v>8</v>
      </c>
      <c r="S46" s="1560">
        <f t="shared" si="12"/>
        <v>100</v>
      </c>
      <c r="T46" s="1559" t="s">
        <v>8</v>
      </c>
      <c r="U46" s="1560">
        <f t="shared" si="13"/>
        <v>100</v>
      </c>
      <c r="V46" s="1559" t="s">
        <v>8</v>
      </c>
      <c r="W46" s="1560">
        <f t="shared" si="14"/>
        <v>100</v>
      </c>
      <c r="X46" s="1553"/>
      <c r="Y46" s="3485"/>
      <c r="Z46" s="1561">
        <f t="shared" si="15"/>
        <v>111</v>
      </c>
      <c r="AA46" s="1562">
        <f t="shared" si="3"/>
        <v>1</v>
      </c>
      <c r="AB46" s="1562">
        <f t="shared" si="4"/>
        <v>1</v>
      </c>
      <c r="AC46" s="1562">
        <f t="shared" si="5"/>
        <v>1</v>
      </c>
    </row>
    <row r="47" spans="1:29" ht="15">
      <c r="A47" s="606" t="s">
        <v>735</v>
      </c>
      <c r="B47" s="886"/>
      <c r="C47" s="2590" t="s">
        <v>1</v>
      </c>
      <c r="D47" s="2591"/>
      <c r="E47" s="2592"/>
      <c r="F47" s="2593"/>
      <c r="G47" s="2594"/>
      <c r="H47" s="2595"/>
      <c r="I47" s="2592"/>
      <c r="J47" s="2595"/>
      <c r="K47" s="1596"/>
      <c r="L47" s="2128"/>
      <c r="M47" s="2129"/>
      <c r="N47" s="2118"/>
      <c r="O47" s="2129"/>
      <c r="P47" s="3386" t="str">
        <f>A47</f>
        <v>成交单价（元/平方米）</v>
      </c>
      <c r="Q47" s="3386"/>
      <c r="R47" s="3484">
        <f>E47</f>
        <v>0</v>
      </c>
      <c r="S47" s="3484"/>
      <c r="T47" s="3484">
        <f>G47</f>
        <v>0</v>
      </c>
      <c r="U47" s="3484"/>
      <c r="V47" s="3484">
        <f>I47</f>
        <v>0</v>
      </c>
      <c r="W47" s="3484"/>
      <c r="X47" s="1545"/>
      <c r="Y47" s="1567"/>
      <c r="Z47" s="1545"/>
      <c r="AA47" s="1545"/>
      <c r="AB47" s="1545"/>
      <c r="AC47" s="1545"/>
    </row>
    <row r="48" spans="1:29" ht="15.7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86" t="str">
        <f>A48</f>
        <v>比较价格（元/平方米）</v>
      </c>
      <c r="Q48" s="3386"/>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0" t="s">
        <v>2925</v>
      </c>
      <c r="B49" s="621"/>
      <c r="C49" s="2599" t="e">
        <f>R49</f>
        <v>#DIV/0!</v>
      </c>
      <c r="D49" s="2599"/>
      <c r="E49" s="2599"/>
      <c r="F49" s="2599"/>
      <c r="G49" s="2599"/>
      <c r="H49" s="2599"/>
      <c r="I49" s="2599"/>
      <c r="J49" s="2599"/>
      <c r="K49" s="1598"/>
      <c r="L49" s="2128"/>
      <c r="M49" s="2129"/>
      <c r="N49" s="2118"/>
      <c r="O49" s="2129"/>
      <c r="P49" s="3407" t="str">
        <f>A49</f>
        <v>估价对象XX用房的比较价格（楼面单价，元/平方米）</v>
      </c>
      <c r="Q49" s="3408"/>
      <c r="R49" s="3483" t="e">
        <f>IF(F1="售价",ROUND(AVERAGE(R48:V48),0),ROUND(AVERAGE(R48:V48),1))</f>
        <v>#DIV/0!</v>
      </c>
      <c r="S49" s="3483"/>
      <c r="T49" s="3483"/>
      <c r="U49" s="3483"/>
      <c r="V49" s="3483"/>
      <c r="W49" s="3483"/>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1" t="s">
        <v>520</v>
      </c>
      <c r="B4" s="512"/>
      <c r="C4" s="3392" t="s">
        <v>521</v>
      </c>
      <c r="D4" s="3393"/>
      <c r="E4" s="3416" t="s">
        <v>522</v>
      </c>
      <c r="F4" s="3417"/>
      <c r="G4" s="3392" t="s">
        <v>523</v>
      </c>
      <c r="H4" s="3393"/>
      <c r="I4" s="3392" t="s">
        <v>524</v>
      </c>
      <c r="J4" s="3393"/>
      <c r="K4" s="513" t="s">
        <v>525</v>
      </c>
      <c r="L4" s="2117"/>
      <c r="M4" s="2118"/>
      <c r="N4" s="2118"/>
      <c r="O4" s="2118"/>
      <c r="P4" s="3486" t="s">
        <v>526</v>
      </c>
      <c r="Q4" s="3395"/>
      <c r="R4" s="3380" t="s">
        <v>522</v>
      </c>
      <c r="S4" s="3381"/>
      <c r="T4" s="3380" t="s">
        <v>523</v>
      </c>
      <c r="U4" s="3381"/>
      <c r="V4" s="3400" t="s">
        <v>524</v>
      </c>
      <c r="W4" s="3400"/>
      <c r="X4" s="1553"/>
      <c r="Y4" s="3380" t="s">
        <v>526</v>
      </c>
      <c r="Z4" s="3381"/>
      <c r="AA4" s="3375" t="s">
        <v>522</v>
      </c>
      <c r="AB4" s="3375" t="s">
        <v>523</v>
      </c>
      <c r="AC4" s="3375" t="s">
        <v>524</v>
      </c>
    </row>
    <row r="5" spans="1:29" ht="15">
      <c r="A5" s="514"/>
      <c r="B5" s="515"/>
      <c r="C5" s="3403" t="s">
        <v>2919</v>
      </c>
      <c r="D5" s="3404"/>
      <c r="E5" s="3418" t="s">
        <v>2920</v>
      </c>
      <c r="F5" s="3419"/>
      <c r="G5" s="3403" t="s">
        <v>2921</v>
      </c>
      <c r="H5" s="3404"/>
      <c r="I5" s="3403" t="s">
        <v>2922</v>
      </c>
      <c r="J5" s="3404"/>
      <c r="K5" s="513"/>
      <c r="L5" s="2117"/>
      <c r="M5" s="2118"/>
      <c r="N5" s="2118"/>
      <c r="O5" s="2118"/>
      <c r="P5" s="3487"/>
      <c r="Q5" s="3397"/>
      <c r="R5" s="3382"/>
      <c r="S5" s="3383"/>
      <c r="T5" s="3382"/>
      <c r="U5" s="3383"/>
      <c r="V5" s="3400"/>
      <c r="W5" s="3400"/>
      <c r="X5" s="1553"/>
      <c r="Y5" s="3382"/>
      <c r="Z5" s="3383"/>
      <c r="AA5" s="3376"/>
      <c r="AB5" s="3376"/>
      <c r="AC5" s="3376"/>
    </row>
    <row r="6" spans="1:29" ht="15.75" thickBot="1">
      <c r="A6" s="516"/>
      <c r="B6" s="517"/>
      <c r="C6" s="3401" t="s">
        <v>2923</v>
      </c>
      <c r="D6" s="3402"/>
      <c r="E6" s="3420" t="s">
        <v>2923</v>
      </c>
      <c r="F6" s="3421"/>
      <c r="G6" s="3401" t="s">
        <v>2923</v>
      </c>
      <c r="H6" s="3402"/>
      <c r="I6" s="3401" t="s">
        <v>2923</v>
      </c>
      <c r="J6" s="3402"/>
      <c r="K6" s="513" t="s">
        <v>527</v>
      </c>
      <c r="L6" s="2117"/>
      <c r="M6" s="2118"/>
      <c r="N6" s="2118"/>
      <c r="O6" s="2118"/>
      <c r="P6" s="3488"/>
      <c r="Q6" s="3399"/>
      <c r="R6" s="3382"/>
      <c r="S6" s="3383"/>
      <c r="T6" s="3384"/>
      <c r="U6" s="3385"/>
      <c r="V6" s="3400"/>
      <c r="W6" s="3400"/>
      <c r="X6" s="1553"/>
      <c r="Y6" s="3384"/>
      <c r="Z6" s="3385"/>
      <c r="AA6" s="3377"/>
      <c r="AB6" s="3377"/>
      <c r="AC6" s="3377"/>
    </row>
    <row r="7" spans="1:29" s="1215" customFormat="1" ht="15.7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87" t="s">
        <v>529</v>
      </c>
      <c r="Q7" s="3387"/>
      <c r="R7" s="1554" t="s">
        <v>8</v>
      </c>
      <c r="S7" s="1555">
        <f t="shared" ref="S7:S15" si="0">F7</f>
        <v>0</v>
      </c>
      <c r="T7" s="1554" t="s">
        <v>8</v>
      </c>
      <c r="U7" s="1555">
        <f t="shared" ref="U7:U15" si="1">H7</f>
        <v>0</v>
      </c>
      <c r="V7" s="1554" t="s">
        <v>8</v>
      </c>
      <c r="W7" s="1555">
        <f t="shared" ref="W7:W15" si="2">J7</f>
        <v>0</v>
      </c>
      <c r="X7" s="1556"/>
      <c r="Y7" s="3378" t="s">
        <v>529</v>
      </c>
      <c r="Z7" s="3379"/>
      <c r="AA7" s="1557" t="e">
        <f>D7/F7</f>
        <v>#DIV/0!</v>
      </c>
      <c r="AB7" s="1557" t="e">
        <f>D7/H7</f>
        <v>#DIV/0!</v>
      </c>
      <c r="AC7" s="1557" t="e">
        <f>D7/J7</f>
        <v>#DIV/0!</v>
      </c>
    </row>
    <row r="8" spans="1:29" s="1215"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87" t="s">
        <v>532</v>
      </c>
      <c r="Q8" s="3379"/>
      <c r="R8" s="1554" t="s">
        <v>8</v>
      </c>
      <c r="S8" s="1555">
        <f t="shared" si="0"/>
        <v>0</v>
      </c>
      <c r="T8" s="1554" t="s">
        <v>8</v>
      </c>
      <c r="U8" s="1555">
        <f t="shared" si="1"/>
        <v>0</v>
      </c>
      <c r="V8" s="1554" t="s">
        <v>8</v>
      </c>
      <c r="W8" s="1555">
        <f t="shared" si="2"/>
        <v>0</v>
      </c>
      <c r="X8" s="1556"/>
      <c r="Y8" s="3378" t="s">
        <v>532</v>
      </c>
      <c r="Z8" s="3379"/>
      <c r="AA8" s="1557" t="e">
        <f t="shared" ref="AA8:AA47" si="3">D8/F8</f>
        <v>#DIV/0!</v>
      </c>
      <c r="AB8" s="1557" t="e">
        <f t="shared" ref="AB8:AB47" si="4">D8/H8</f>
        <v>#DIV/0!</v>
      </c>
      <c r="AC8" s="1557" t="e">
        <f t="shared" ref="AC8:AC47" si="5">D8/J8</f>
        <v>#DIV/0!</v>
      </c>
    </row>
    <row r="9" spans="1:29" s="1215" customFormat="1" ht="15">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86" t="s">
        <v>534</v>
      </c>
      <c r="Q9" s="1146" t="str">
        <f t="shared" ref="Q9:Q15" si="6">B9</f>
        <v>用途</v>
      </c>
      <c r="R9" s="1554" t="s">
        <v>8</v>
      </c>
      <c r="S9" s="1555">
        <f t="shared" si="0"/>
        <v>100</v>
      </c>
      <c r="T9" s="1554" t="s">
        <v>8</v>
      </c>
      <c r="U9" s="1555">
        <f t="shared" si="1"/>
        <v>100</v>
      </c>
      <c r="V9" s="1554" t="s">
        <v>8</v>
      </c>
      <c r="W9" s="1555">
        <f t="shared" si="2"/>
        <v>100</v>
      </c>
      <c r="X9" s="1556"/>
      <c r="Y9" s="3337"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86"/>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86"/>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86"/>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86"/>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86"/>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88" t="s">
        <v>539</v>
      </c>
      <c r="Q15" s="1558" t="str">
        <f t="shared" si="6"/>
        <v>办公集聚程度</v>
      </c>
      <c r="R15" s="1559" t="s">
        <v>8</v>
      </c>
      <c r="S15" s="1560">
        <f t="shared" si="0"/>
        <v>100</v>
      </c>
      <c r="T15" s="1559" t="s">
        <v>8</v>
      </c>
      <c r="U15" s="1560">
        <f t="shared" si="1"/>
        <v>100</v>
      </c>
      <c r="V15" s="1559" t="s">
        <v>8</v>
      </c>
      <c r="W15" s="1560">
        <f t="shared" si="2"/>
        <v>100</v>
      </c>
      <c r="X15" s="1553"/>
      <c r="Y15" s="3388"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89"/>
      <c r="Q16" s="1558"/>
      <c r="R16" s="1559"/>
      <c r="S16" s="1560"/>
      <c r="T16" s="1559"/>
      <c r="U16" s="1560"/>
      <c r="V16" s="1559"/>
      <c r="W16" s="1560"/>
      <c r="X16" s="1553"/>
      <c r="Y16" s="3389"/>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89"/>
      <c r="Q18" s="1558"/>
      <c r="R18" s="1559"/>
      <c r="S18" s="1560"/>
      <c r="T18" s="1559"/>
      <c r="U18" s="1560"/>
      <c r="V18" s="1559"/>
      <c r="W18" s="1560"/>
      <c r="X18" s="1553"/>
      <c r="Y18" s="3389"/>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89"/>
      <c r="Q20" s="1558"/>
      <c r="R20" s="1559"/>
      <c r="S20" s="1560"/>
      <c r="T20" s="1559"/>
      <c r="U20" s="1560"/>
      <c r="V20" s="1559"/>
      <c r="W20" s="1560"/>
      <c r="X20" s="1553"/>
      <c r="Y20" s="3389"/>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89"/>
      <c r="Q21" s="2542" t="str">
        <f>B21</f>
        <v>基础设施水平</v>
      </c>
      <c r="R21" s="1559" t="s">
        <v>8</v>
      </c>
      <c r="S21" s="1560">
        <f>F21</f>
        <v>100</v>
      </c>
      <c r="T21" s="1559" t="s">
        <v>8</v>
      </c>
      <c r="U21" s="1560">
        <f>H21</f>
        <v>100</v>
      </c>
      <c r="V21" s="1559" t="s">
        <v>8</v>
      </c>
      <c r="W21" s="1560">
        <f>J21</f>
        <v>100</v>
      </c>
      <c r="X21" s="2544"/>
      <c r="Y21" s="3389"/>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89"/>
      <c r="Q22" s="2542"/>
      <c r="R22" s="1559"/>
      <c r="S22" s="1560"/>
      <c r="T22" s="1559"/>
      <c r="U22" s="1560"/>
      <c r="V22" s="1559"/>
      <c r="W22" s="1560"/>
      <c r="X22" s="2544"/>
      <c r="Y22" s="3389"/>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89"/>
      <c r="Q24" s="1558"/>
      <c r="R24" s="1559"/>
      <c r="S24" s="1560"/>
      <c r="T24" s="1559"/>
      <c r="U24" s="1560"/>
      <c r="V24" s="1559"/>
      <c r="W24" s="1560"/>
      <c r="X24" s="1553"/>
      <c r="Y24" s="3389"/>
      <c r="Z24" s="1561"/>
      <c r="AA24" s="1562">
        <v>1</v>
      </c>
      <c r="AB24" s="1562">
        <v>1</v>
      </c>
      <c r="AC24" s="1562">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89"/>
      <c r="Q25" s="1558" t="str">
        <f>B25</f>
        <v>毗邻道路的类型与等级</v>
      </c>
      <c r="R25" s="1559" t="s">
        <v>8</v>
      </c>
      <c r="S25" s="1560">
        <f>F25</f>
        <v>100</v>
      </c>
      <c r="T25" s="1559" t="s">
        <v>8</v>
      </c>
      <c r="U25" s="1560">
        <f>H25</f>
        <v>100</v>
      </c>
      <c r="V25" s="1559" t="s">
        <v>8</v>
      </c>
      <c r="W25" s="1560">
        <f>J25</f>
        <v>100</v>
      </c>
      <c r="X25" s="1553"/>
      <c r="Y25" s="3389"/>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89"/>
      <c r="Q26" s="1558"/>
      <c r="R26" s="1559"/>
      <c r="S26" s="1560"/>
      <c r="T26" s="1559"/>
      <c r="U26" s="1560"/>
      <c r="V26" s="1559"/>
      <c r="W26" s="1560"/>
      <c r="X26" s="1553"/>
      <c r="Y26" s="3389"/>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89"/>
      <c r="Q27" s="1558" t="str">
        <f t="shared" ref="Q27:Q47" si="11">B27</f>
        <v>楼层</v>
      </c>
      <c r="R27" s="1559" t="s">
        <v>8</v>
      </c>
      <c r="S27" s="1560">
        <f>F27</f>
        <v>100</v>
      </c>
      <c r="T27" s="1559" t="s">
        <v>8</v>
      </c>
      <c r="U27" s="1560">
        <f>H27</f>
        <v>100</v>
      </c>
      <c r="V27" s="1559" t="s">
        <v>8</v>
      </c>
      <c r="W27" s="1560">
        <f>J27</f>
        <v>100</v>
      </c>
      <c r="X27" s="1553"/>
      <c r="Y27" s="3389"/>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89"/>
      <c r="Q28" s="1146" t="str">
        <f t="shared" si="11"/>
        <v>朝向</v>
      </c>
      <c r="R28" s="1554" t="s">
        <v>8</v>
      </c>
      <c r="S28" s="1555">
        <f>F28</f>
        <v>100</v>
      </c>
      <c r="T28" s="1554" t="s">
        <v>8</v>
      </c>
      <c r="U28" s="1555">
        <f>H28</f>
        <v>100</v>
      </c>
      <c r="V28" s="1554" t="s">
        <v>8</v>
      </c>
      <c r="W28" s="1555">
        <f>J28</f>
        <v>100</v>
      </c>
      <c r="X28" s="1556"/>
      <c r="Y28" s="3389"/>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89"/>
      <c r="Q29" s="1558">
        <f t="shared" si="11"/>
        <v>111</v>
      </c>
      <c r="R29" s="1559" t="s">
        <v>8</v>
      </c>
      <c r="S29" s="1560">
        <f t="shared" ref="S29:S47" si="12">F29</f>
        <v>100</v>
      </c>
      <c r="T29" s="1559" t="s">
        <v>8</v>
      </c>
      <c r="U29" s="1560">
        <f t="shared" ref="U29:U47" si="13">H29</f>
        <v>100</v>
      </c>
      <c r="V29" s="1559" t="s">
        <v>8</v>
      </c>
      <c r="W29" s="1560">
        <f t="shared" ref="W29:W47" si="14">J29</f>
        <v>100</v>
      </c>
      <c r="X29" s="1553"/>
      <c r="Y29" s="3389"/>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89"/>
      <c r="Q32" s="1558">
        <f t="shared" si="11"/>
        <v>111</v>
      </c>
      <c r="R32" s="1559" t="s">
        <v>8</v>
      </c>
      <c r="S32" s="1560">
        <f t="shared" si="12"/>
        <v>100</v>
      </c>
      <c r="T32" s="1559" t="s">
        <v>8</v>
      </c>
      <c r="U32" s="1560">
        <f t="shared" si="13"/>
        <v>100</v>
      </c>
      <c r="V32" s="1559" t="s">
        <v>8</v>
      </c>
      <c r="W32" s="1560">
        <f t="shared" si="14"/>
        <v>100</v>
      </c>
      <c r="X32" s="1553"/>
      <c r="Y32" s="3389"/>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90" t="s">
        <v>549</v>
      </c>
      <c r="Q33" s="1558" t="str">
        <f t="shared" si="11"/>
        <v>建筑类型</v>
      </c>
      <c r="R33" s="1559" t="s">
        <v>8</v>
      </c>
      <c r="S33" s="1560">
        <f t="shared" si="12"/>
        <v>100</v>
      </c>
      <c r="T33" s="1559" t="s">
        <v>8</v>
      </c>
      <c r="U33" s="1560">
        <f t="shared" si="13"/>
        <v>100</v>
      </c>
      <c r="V33" s="1559" t="s">
        <v>8</v>
      </c>
      <c r="W33" s="1560">
        <f t="shared" si="14"/>
        <v>100</v>
      </c>
      <c r="X33" s="1553"/>
      <c r="Y33" s="3391"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91"/>
      <c r="Q34" s="1590" t="str">
        <f t="shared" si="11"/>
        <v>项目建筑规模</v>
      </c>
      <c r="R34" s="1563" t="s">
        <v>8</v>
      </c>
      <c r="S34" s="1564" t="e">
        <f t="shared" si="12"/>
        <v>#N/A</v>
      </c>
      <c r="T34" s="1563" t="s">
        <v>8</v>
      </c>
      <c r="U34" s="1564" t="e">
        <f t="shared" si="13"/>
        <v>#N/A</v>
      </c>
      <c r="V34" s="1563" t="s">
        <v>8</v>
      </c>
      <c r="W34" s="1564" t="e">
        <f t="shared" si="14"/>
        <v>#N/A</v>
      </c>
      <c r="X34" s="1565"/>
      <c r="Y34" s="3391"/>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91"/>
      <c r="Q35" s="1558" t="str">
        <f t="shared" si="11"/>
        <v>建筑结构</v>
      </c>
      <c r="R35" s="1559" t="s">
        <v>8</v>
      </c>
      <c r="S35" s="1560">
        <f t="shared" si="12"/>
        <v>100</v>
      </c>
      <c r="T35" s="1559" t="s">
        <v>8</v>
      </c>
      <c r="U35" s="1560">
        <f t="shared" si="13"/>
        <v>100</v>
      </c>
      <c r="V35" s="1559" t="s">
        <v>8</v>
      </c>
      <c r="W35" s="1560">
        <f t="shared" si="14"/>
        <v>100</v>
      </c>
      <c r="X35" s="1553"/>
      <c r="Y35" s="3391"/>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91"/>
      <c r="Q36" s="1558" t="str">
        <f t="shared" si="11"/>
        <v>公共部分装修</v>
      </c>
      <c r="R36" s="1559" t="s">
        <v>8</v>
      </c>
      <c r="S36" s="1560">
        <f t="shared" si="12"/>
        <v>100</v>
      </c>
      <c r="T36" s="1559" t="s">
        <v>8</v>
      </c>
      <c r="U36" s="1560">
        <f t="shared" si="13"/>
        <v>100</v>
      </c>
      <c r="V36" s="1559" t="s">
        <v>8</v>
      </c>
      <c r="W36" s="1560">
        <f t="shared" si="14"/>
        <v>100</v>
      </c>
      <c r="X36" s="1553"/>
      <c r="Y36" s="3391"/>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91"/>
      <c r="Q37" s="1558" t="str">
        <f t="shared" si="11"/>
        <v>成新度</v>
      </c>
      <c r="R37" s="1559" t="s">
        <v>8</v>
      </c>
      <c r="S37" s="1560" t="e">
        <f t="shared" si="12"/>
        <v>#N/A</v>
      </c>
      <c r="T37" s="1559" t="s">
        <v>8</v>
      </c>
      <c r="U37" s="1560" t="e">
        <f t="shared" si="13"/>
        <v>#N/A</v>
      </c>
      <c r="V37" s="1559" t="s">
        <v>8</v>
      </c>
      <c r="W37" s="1560" t="e">
        <f t="shared" si="14"/>
        <v>#N/A</v>
      </c>
      <c r="X37" s="1553"/>
      <c r="Y37" s="3391"/>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91"/>
      <c r="Q38" s="1146" t="str">
        <f t="shared" si="11"/>
        <v>写字楼等级</v>
      </c>
      <c r="R38" s="1554" t="s">
        <v>8</v>
      </c>
      <c r="S38" s="1555">
        <f t="shared" si="12"/>
        <v>100</v>
      </c>
      <c r="T38" s="1554" t="s">
        <v>8</v>
      </c>
      <c r="U38" s="1555">
        <f t="shared" si="13"/>
        <v>100</v>
      </c>
      <c r="V38" s="1554" t="s">
        <v>8</v>
      </c>
      <c r="W38" s="1555">
        <f t="shared" si="14"/>
        <v>100</v>
      </c>
      <c r="X38" s="1556"/>
      <c r="Y38" s="3391"/>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91" t="s">
        <v>549</v>
      </c>
      <c r="Q39" s="1558" t="str">
        <f t="shared" si="11"/>
        <v>物业管理</v>
      </c>
      <c r="R39" s="1559" t="s">
        <v>8</v>
      </c>
      <c r="S39" s="1560">
        <f t="shared" si="12"/>
        <v>100</v>
      </c>
      <c r="T39" s="1559" t="s">
        <v>8</v>
      </c>
      <c r="U39" s="1560">
        <f t="shared" si="13"/>
        <v>100</v>
      </c>
      <c r="V39" s="1559" t="s">
        <v>8</v>
      </c>
      <c r="W39" s="1560">
        <f t="shared" si="14"/>
        <v>100</v>
      </c>
      <c r="X39" s="1553"/>
      <c r="Y39" s="3391"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91"/>
      <c r="Q40" s="1558" t="str">
        <f t="shared" si="11"/>
        <v>市政基础设施</v>
      </c>
      <c r="R40" s="1559" t="s">
        <v>8</v>
      </c>
      <c r="S40" s="1560">
        <f t="shared" si="12"/>
        <v>100</v>
      </c>
      <c r="T40" s="1559" t="s">
        <v>8</v>
      </c>
      <c r="U40" s="1560">
        <f t="shared" si="13"/>
        <v>100</v>
      </c>
      <c r="V40" s="1559" t="s">
        <v>8</v>
      </c>
      <c r="W40" s="1560">
        <f t="shared" si="14"/>
        <v>100</v>
      </c>
      <c r="X40" s="1553"/>
      <c r="Y40" s="3391"/>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91"/>
      <c r="Q41" s="1558" t="str">
        <f t="shared" si="11"/>
        <v>层高</v>
      </c>
      <c r="R41" s="1559" t="s">
        <v>8</v>
      </c>
      <c r="S41" s="1560">
        <f t="shared" si="12"/>
        <v>100</v>
      </c>
      <c r="T41" s="1559" t="s">
        <v>8</v>
      </c>
      <c r="U41" s="1560">
        <f t="shared" si="13"/>
        <v>100</v>
      </c>
      <c r="V41" s="1559" t="s">
        <v>8</v>
      </c>
      <c r="W41" s="1560">
        <f t="shared" si="14"/>
        <v>100</v>
      </c>
      <c r="X41" s="1553"/>
      <c r="Y41" s="3391"/>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91"/>
      <c r="Q42" s="1590" t="str">
        <f t="shared" si="11"/>
        <v>单套建筑面积</v>
      </c>
      <c r="R42" s="1563" t="s">
        <v>8</v>
      </c>
      <c r="S42" s="1564">
        <f t="shared" si="12"/>
        <v>100</v>
      </c>
      <c r="T42" s="1563" t="s">
        <v>8</v>
      </c>
      <c r="U42" s="1564">
        <f t="shared" si="13"/>
        <v>100</v>
      </c>
      <c r="V42" s="1563" t="s">
        <v>8</v>
      </c>
      <c r="W42" s="1564">
        <f t="shared" si="14"/>
        <v>100</v>
      </c>
      <c r="X42" s="1565"/>
      <c r="Y42" s="3391"/>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91"/>
      <c r="Q43" s="1558" t="str">
        <f t="shared" si="11"/>
        <v>内部装修</v>
      </c>
      <c r="R43" s="1559" t="s">
        <v>8</v>
      </c>
      <c r="S43" s="1560">
        <f t="shared" si="12"/>
        <v>100</v>
      </c>
      <c r="T43" s="1559" t="s">
        <v>8</v>
      </c>
      <c r="U43" s="1560">
        <f t="shared" si="13"/>
        <v>100</v>
      </c>
      <c r="V43" s="1559" t="s">
        <v>8</v>
      </c>
      <c r="W43" s="1560">
        <f t="shared" si="14"/>
        <v>100</v>
      </c>
      <c r="X43" s="1553"/>
      <c r="Y43" s="3391"/>
      <c r="Z43" s="1561" t="str">
        <f t="shared" si="15"/>
        <v>内部装修</v>
      </c>
      <c r="AA43" s="1562">
        <f t="shared" si="3"/>
        <v>1</v>
      </c>
      <c r="AB43" s="1562">
        <f t="shared" si="4"/>
        <v>1</v>
      </c>
      <c r="AC43" s="1562">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91"/>
      <c r="Q44" s="1558" t="str">
        <f t="shared" si="11"/>
        <v>内部装修维护情况</v>
      </c>
      <c r="R44" s="1559" t="s">
        <v>8</v>
      </c>
      <c r="S44" s="1560">
        <f t="shared" si="12"/>
        <v>100</v>
      </c>
      <c r="T44" s="1559" t="s">
        <v>8</v>
      </c>
      <c r="U44" s="1560">
        <f t="shared" si="13"/>
        <v>100</v>
      </c>
      <c r="V44" s="1559" t="s">
        <v>8</v>
      </c>
      <c r="W44" s="1560">
        <f t="shared" si="14"/>
        <v>100</v>
      </c>
      <c r="X44" s="1553"/>
      <c r="Y44" s="3391"/>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91"/>
      <c r="Q45" s="1146">
        <f t="shared" si="11"/>
        <v>111</v>
      </c>
      <c r="R45" s="1554" t="s">
        <v>8</v>
      </c>
      <c r="S45" s="1555">
        <f t="shared" si="12"/>
        <v>100</v>
      </c>
      <c r="T45" s="1554" t="s">
        <v>8</v>
      </c>
      <c r="U45" s="1555">
        <f t="shared" si="13"/>
        <v>100</v>
      </c>
      <c r="V45" s="1554" t="s">
        <v>8</v>
      </c>
      <c r="W45" s="1555">
        <f t="shared" si="14"/>
        <v>100</v>
      </c>
      <c r="X45" s="1556"/>
      <c r="Y45" s="3391"/>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91"/>
      <c r="Q46" s="1558">
        <f t="shared" si="11"/>
        <v>111</v>
      </c>
      <c r="R46" s="1559" t="s">
        <v>8</v>
      </c>
      <c r="S46" s="1560">
        <f t="shared" si="12"/>
        <v>100</v>
      </c>
      <c r="T46" s="1559" t="s">
        <v>8</v>
      </c>
      <c r="U46" s="1560">
        <f t="shared" si="13"/>
        <v>100</v>
      </c>
      <c r="V46" s="1559" t="s">
        <v>8</v>
      </c>
      <c r="W46" s="1560">
        <f t="shared" si="14"/>
        <v>100</v>
      </c>
      <c r="X46" s="1553"/>
      <c r="Y46" s="3391"/>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5"/>
      <c r="Q47" s="1558">
        <f t="shared" si="11"/>
        <v>111</v>
      </c>
      <c r="R47" s="1559" t="s">
        <v>8</v>
      </c>
      <c r="S47" s="1560">
        <f t="shared" si="12"/>
        <v>100</v>
      </c>
      <c r="T47" s="1559" t="s">
        <v>8</v>
      </c>
      <c r="U47" s="1560">
        <f t="shared" si="13"/>
        <v>100</v>
      </c>
      <c r="V47" s="1559" t="s">
        <v>8</v>
      </c>
      <c r="W47" s="1560">
        <f t="shared" si="14"/>
        <v>100</v>
      </c>
      <c r="X47" s="1553"/>
      <c r="Y47" s="3485"/>
      <c r="Z47" s="1561">
        <f t="shared" si="15"/>
        <v>111</v>
      </c>
      <c r="AA47" s="1562">
        <f t="shared" si="3"/>
        <v>1</v>
      </c>
      <c r="AB47" s="1562">
        <f t="shared" si="4"/>
        <v>1</v>
      </c>
      <c r="AC47" s="1562">
        <f t="shared" si="5"/>
        <v>1</v>
      </c>
    </row>
    <row r="48" spans="1:29" ht="15">
      <c r="A48" s="606" t="s">
        <v>735</v>
      </c>
      <c r="B48" s="886"/>
      <c r="C48" s="2590" t="s">
        <v>1</v>
      </c>
      <c r="D48" s="2591"/>
      <c r="E48" s="2592"/>
      <c r="F48" s="2593"/>
      <c r="G48" s="2594"/>
      <c r="H48" s="2595"/>
      <c r="I48" s="2592"/>
      <c r="J48" s="2595"/>
      <c r="K48" s="1596"/>
      <c r="L48" s="2128"/>
      <c r="M48" s="2118"/>
      <c r="N48" s="2118"/>
      <c r="O48" s="2118"/>
      <c r="P48" s="3408" t="str">
        <f>A48</f>
        <v>成交单价（元/平方米）</v>
      </c>
      <c r="Q48" s="3386"/>
      <c r="R48" s="3484">
        <f>E48</f>
        <v>0</v>
      </c>
      <c r="S48" s="3484"/>
      <c r="T48" s="3484">
        <f>G48</f>
        <v>0</v>
      </c>
      <c r="U48" s="3484"/>
      <c r="V48" s="3484">
        <f>I48</f>
        <v>0</v>
      </c>
      <c r="W48" s="3484"/>
      <c r="X48" s="1545"/>
      <c r="Y48" s="1567"/>
      <c r="Z48" s="1545"/>
      <c r="AA48" s="1545"/>
      <c r="AB48" s="1545"/>
      <c r="AC48" s="1545"/>
    </row>
    <row r="49" spans="1:29" ht="15.7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408" t="str">
        <f>A49</f>
        <v>比较价格（元/平方米）</v>
      </c>
      <c r="Q49" s="3386"/>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5"/>
      <c r="Y49" s="1545"/>
      <c r="Z49" s="1545"/>
      <c r="AA49" s="1545"/>
      <c r="AB49" s="1545"/>
      <c r="AC49" s="1545"/>
    </row>
    <row r="50" spans="1:29" ht="15.75" thickBot="1">
      <c r="A50" s="620" t="s">
        <v>2925</v>
      </c>
      <c r="B50" s="621"/>
      <c r="C50" s="2599" t="e">
        <f>R50</f>
        <v>#DIV/0!</v>
      </c>
      <c r="D50" s="2599"/>
      <c r="E50" s="2599"/>
      <c r="F50" s="2599"/>
      <c r="G50" s="2599"/>
      <c r="H50" s="2599"/>
      <c r="I50" s="2599"/>
      <c r="J50" s="2599"/>
      <c r="K50" s="1598"/>
      <c r="L50" s="2128"/>
      <c r="M50" s="2118"/>
      <c r="N50" s="2118"/>
      <c r="O50" s="2118"/>
      <c r="P50" s="3489" t="str">
        <f>A50</f>
        <v>估价对象XX用房的比较价格（楼面单价，元/平方米）</v>
      </c>
      <c r="Q50" s="3408"/>
      <c r="R50" s="3483" t="e">
        <f>IF(F1="售价",ROUND(AVERAGE(R49:V49),0),ROUND(AVERAGE(R49:V49),1))</f>
        <v>#DIV/0!</v>
      </c>
      <c r="S50" s="3483"/>
      <c r="T50" s="3483"/>
      <c r="U50" s="3483"/>
      <c r="V50" s="3483"/>
      <c r="W50" s="3483"/>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5">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520</v>
      </c>
      <c r="B4" s="512"/>
      <c r="C4" s="3392" t="s">
        <v>521</v>
      </c>
      <c r="D4" s="3393"/>
      <c r="E4" s="3416" t="s">
        <v>522</v>
      </c>
      <c r="F4" s="3417"/>
      <c r="G4" s="3392" t="s">
        <v>523</v>
      </c>
      <c r="H4" s="3393"/>
      <c r="I4" s="3392" t="s">
        <v>524</v>
      </c>
      <c r="J4" s="3393"/>
      <c r="K4" s="513" t="s">
        <v>525</v>
      </c>
      <c r="L4" s="2117"/>
      <c r="M4" s="2118"/>
      <c r="N4" s="2118"/>
      <c r="O4" s="2118"/>
      <c r="P4" s="3394" t="s">
        <v>526</v>
      </c>
      <c r="Q4" s="3395"/>
      <c r="R4" s="3380" t="s">
        <v>522</v>
      </c>
      <c r="S4" s="3381"/>
      <c r="T4" s="3380" t="s">
        <v>523</v>
      </c>
      <c r="U4" s="3381"/>
      <c r="V4" s="3400" t="s">
        <v>524</v>
      </c>
      <c r="W4" s="3400"/>
      <c r="X4" s="1553"/>
      <c r="Y4" s="3380" t="s">
        <v>526</v>
      </c>
      <c r="Z4" s="3381"/>
      <c r="AA4" s="3375" t="s">
        <v>522</v>
      </c>
      <c r="AB4" s="3376" t="s">
        <v>523</v>
      </c>
      <c r="AC4" s="3375" t="s">
        <v>524</v>
      </c>
    </row>
    <row r="5" spans="1:29" ht="15">
      <c r="A5" s="514"/>
      <c r="B5" s="515"/>
      <c r="C5" s="3403" t="s">
        <v>2919</v>
      </c>
      <c r="D5" s="3404"/>
      <c r="E5" s="3418" t="s">
        <v>2920</v>
      </c>
      <c r="F5" s="3419"/>
      <c r="G5" s="3403" t="s">
        <v>2921</v>
      </c>
      <c r="H5" s="3404"/>
      <c r="I5" s="3403" t="s">
        <v>2922</v>
      </c>
      <c r="J5" s="3404"/>
      <c r="K5" s="513"/>
      <c r="L5" s="2117"/>
      <c r="M5" s="2118"/>
      <c r="N5" s="2118"/>
      <c r="O5" s="2118"/>
      <c r="P5" s="3396"/>
      <c r="Q5" s="3397"/>
      <c r="R5" s="3382"/>
      <c r="S5" s="3383"/>
      <c r="T5" s="3382"/>
      <c r="U5" s="3383"/>
      <c r="V5" s="3400"/>
      <c r="W5" s="3400"/>
      <c r="X5" s="1553"/>
      <c r="Y5" s="3382"/>
      <c r="Z5" s="3383"/>
      <c r="AA5" s="3376"/>
      <c r="AB5" s="3376"/>
      <c r="AC5" s="3376"/>
    </row>
    <row r="6" spans="1:29" ht="15.75" thickBot="1">
      <c r="A6" s="516"/>
      <c r="B6" s="517"/>
      <c r="C6" s="3401" t="s">
        <v>2923</v>
      </c>
      <c r="D6" s="3402"/>
      <c r="E6" s="3420" t="s">
        <v>2923</v>
      </c>
      <c r="F6" s="3421"/>
      <c r="G6" s="3401" t="s">
        <v>2923</v>
      </c>
      <c r="H6" s="3402"/>
      <c r="I6" s="3401" t="s">
        <v>2923</v>
      </c>
      <c r="J6" s="3402"/>
      <c r="K6" s="513" t="s">
        <v>527</v>
      </c>
      <c r="L6" s="2117"/>
      <c r="M6" s="2118"/>
      <c r="N6" s="2118"/>
      <c r="O6" s="2118"/>
      <c r="P6" s="3398"/>
      <c r="Q6" s="3399"/>
      <c r="R6" s="3382"/>
      <c r="S6" s="3383"/>
      <c r="T6" s="3384"/>
      <c r="U6" s="3385"/>
      <c r="V6" s="3400"/>
      <c r="W6" s="3400"/>
      <c r="X6" s="1553"/>
      <c r="Y6" s="3384"/>
      <c r="Z6" s="3385"/>
      <c r="AA6" s="3377"/>
      <c r="AB6" s="3377"/>
      <c r="AC6" s="3377"/>
    </row>
    <row r="7" spans="1:29" s="1215" customFormat="1" ht="15.7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78" t="s">
        <v>529</v>
      </c>
      <c r="Q7" s="3387"/>
      <c r="R7" s="1554" t="s">
        <v>8</v>
      </c>
      <c r="S7" s="1555">
        <f t="shared" ref="S7:S15" si="0">F7</f>
        <v>0</v>
      </c>
      <c r="T7" s="1554" t="s">
        <v>8</v>
      </c>
      <c r="U7" s="1555">
        <f t="shared" ref="U7:U15" si="1">H7</f>
        <v>0</v>
      </c>
      <c r="V7" s="1554" t="s">
        <v>8</v>
      </c>
      <c r="W7" s="1555">
        <f t="shared" ref="W7:W15" si="2">J7</f>
        <v>0</v>
      </c>
      <c r="X7" s="1556"/>
      <c r="Y7" s="3378" t="s">
        <v>529</v>
      </c>
      <c r="Z7" s="3379"/>
      <c r="AA7" s="1557" t="e">
        <f>D7/F7</f>
        <v>#DIV/0!</v>
      </c>
      <c r="AB7" s="1557" t="e">
        <f>D7/H7</f>
        <v>#DIV/0!</v>
      </c>
      <c r="AC7" s="1557" t="e">
        <f>D7/J7</f>
        <v>#DIV/0!</v>
      </c>
    </row>
    <row r="8" spans="1:29" s="1215"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78" t="s">
        <v>532</v>
      </c>
      <c r="Q8" s="3379"/>
      <c r="R8" s="1554" t="s">
        <v>8</v>
      </c>
      <c r="S8" s="1555">
        <f t="shared" si="0"/>
        <v>0</v>
      </c>
      <c r="T8" s="1554" t="s">
        <v>8</v>
      </c>
      <c r="U8" s="1555">
        <f t="shared" si="1"/>
        <v>0</v>
      </c>
      <c r="V8" s="1554" t="s">
        <v>8</v>
      </c>
      <c r="W8" s="1555">
        <f t="shared" si="2"/>
        <v>0</v>
      </c>
      <c r="X8" s="1556"/>
      <c r="Y8" s="3378" t="s">
        <v>532</v>
      </c>
      <c r="Z8" s="3379"/>
      <c r="AA8" s="1557" t="e">
        <f t="shared" ref="AA8:AA40" si="3">D8/F8</f>
        <v>#DIV/0!</v>
      </c>
      <c r="AB8" s="1557" t="e">
        <f t="shared" ref="AB8:AB40" si="4">D8/H8</f>
        <v>#DIV/0!</v>
      </c>
      <c r="AC8" s="1557" t="e">
        <f t="shared" ref="AC8:AC40" si="5">D8/J8</f>
        <v>#DIV/0!</v>
      </c>
    </row>
    <row r="9" spans="1:29" s="1215" customFormat="1" ht="15">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86" t="s">
        <v>534</v>
      </c>
      <c r="Q9" s="1146" t="str">
        <f t="shared" ref="Q9:Q15" si="6">B9</f>
        <v>用途</v>
      </c>
      <c r="R9" s="1554" t="s">
        <v>8</v>
      </c>
      <c r="S9" s="1555">
        <f t="shared" si="0"/>
        <v>100</v>
      </c>
      <c r="T9" s="1554" t="s">
        <v>8</v>
      </c>
      <c r="U9" s="1555">
        <f t="shared" si="1"/>
        <v>100</v>
      </c>
      <c r="V9" s="1554" t="s">
        <v>8</v>
      </c>
      <c r="W9" s="1555">
        <f t="shared" si="2"/>
        <v>100</v>
      </c>
      <c r="X9" s="1556"/>
      <c r="Y9" s="3337"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86"/>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86"/>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86"/>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86"/>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86"/>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57">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88" t="s">
        <v>539</v>
      </c>
      <c r="Q15" s="1558" t="str">
        <f t="shared" si="6"/>
        <v>产业集聚程度</v>
      </c>
      <c r="R15" s="1559" t="s">
        <v>8</v>
      </c>
      <c r="S15" s="1560">
        <f t="shared" si="0"/>
        <v>100</v>
      </c>
      <c r="T15" s="1559" t="s">
        <v>8</v>
      </c>
      <c r="U15" s="1560">
        <f t="shared" si="1"/>
        <v>100</v>
      </c>
      <c r="V15" s="1559" t="s">
        <v>8</v>
      </c>
      <c r="W15" s="1560">
        <f t="shared" si="2"/>
        <v>100</v>
      </c>
      <c r="X15" s="1553"/>
      <c r="Y15" s="3388"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9"/>
      <c r="Q16" s="1558"/>
      <c r="R16" s="1559"/>
      <c r="S16" s="1560"/>
      <c r="T16" s="1559"/>
      <c r="U16" s="1560"/>
      <c r="V16" s="1559"/>
      <c r="W16" s="1560"/>
      <c r="X16" s="1553"/>
      <c r="Y16" s="3389"/>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9"/>
      <c r="Q18" s="1558"/>
      <c r="R18" s="1559"/>
      <c r="S18" s="1560"/>
      <c r="T18" s="1559"/>
      <c r="U18" s="1560"/>
      <c r="V18" s="1559"/>
      <c r="W18" s="1560"/>
      <c r="X18" s="1553"/>
      <c r="Y18" s="3389"/>
      <c r="Z18" s="1561"/>
      <c r="AA18" s="1562">
        <v>1</v>
      </c>
      <c r="AB18" s="1562">
        <v>1</v>
      </c>
      <c r="AC18" s="1562">
        <v>1</v>
      </c>
    </row>
    <row r="19" spans="1:29" ht="42.75">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89"/>
      <c r="Q20" s="1558"/>
      <c r="R20" s="1559"/>
      <c r="S20" s="1560"/>
      <c r="T20" s="1559"/>
      <c r="U20" s="1560"/>
      <c r="V20" s="1559"/>
      <c r="W20" s="1560"/>
      <c r="X20" s="1553"/>
      <c r="Y20" s="3389"/>
      <c r="Z20" s="1561"/>
      <c r="AA20" s="1562">
        <v>1</v>
      </c>
      <c r="AB20" s="1562">
        <v>1</v>
      </c>
      <c r="AC20" s="1562">
        <v>1</v>
      </c>
    </row>
    <row r="21" spans="1:29" ht="28.5">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89"/>
      <c r="Q21" s="2542" t="str">
        <f>B21</f>
        <v>基础设施水平</v>
      </c>
      <c r="R21" s="1559" t="s">
        <v>8</v>
      </c>
      <c r="S21" s="1560">
        <f>F21</f>
        <v>100</v>
      </c>
      <c r="T21" s="1559" t="s">
        <v>8</v>
      </c>
      <c r="U21" s="1560">
        <f>H21</f>
        <v>100</v>
      </c>
      <c r="V21" s="1559" t="s">
        <v>8</v>
      </c>
      <c r="W21" s="1560">
        <f>J21</f>
        <v>100</v>
      </c>
      <c r="X21" s="2544"/>
      <c r="Y21" s="3389"/>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89"/>
      <c r="Q22" s="2542"/>
      <c r="R22" s="1559"/>
      <c r="S22" s="1560"/>
      <c r="T22" s="1559"/>
      <c r="U22" s="1560"/>
      <c r="V22" s="1559"/>
      <c r="W22" s="1560"/>
      <c r="X22" s="2544"/>
      <c r="Y22" s="3389"/>
      <c r="Z22" s="2543"/>
      <c r="AA22" s="1562">
        <v>1</v>
      </c>
      <c r="AB22" s="1562">
        <v>1</v>
      </c>
      <c r="AC22" s="1562">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89"/>
      <c r="Q24" s="1558"/>
      <c r="R24" s="1559"/>
      <c r="S24" s="1560"/>
      <c r="T24" s="1559"/>
      <c r="U24" s="1560"/>
      <c r="V24" s="1559"/>
      <c r="W24" s="1560"/>
      <c r="X24" s="1553"/>
      <c r="Y24" s="3389"/>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89"/>
      <c r="Q25" s="1558">
        <f>B25</f>
        <v>111</v>
      </c>
      <c r="R25" s="1559" t="s">
        <v>8</v>
      </c>
      <c r="S25" s="1560">
        <f>F25</f>
        <v>100</v>
      </c>
      <c r="T25" s="1559" t="s">
        <v>8</v>
      </c>
      <c r="U25" s="1560">
        <f>H25</f>
        <v>100</v>
      </c>
      <c r="V25" s="1559" t="s">
        <v>8</v>
      </c>
      <c r="W25" s="1560">
        <f>J25</f>
        <v>100</v>
      </c>
      <c r="X25" s="1553"/>
      <c r="Y25" s="3389"/>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89"/>
      <c r="Q26" s="1558">
        <f t="shared" ref="Q26:Q40" si="11">B26</f>
        <v>111</v>
      </c>
      <c r="R26" s="1559" t="s">
        <v>8</v>
      </c>
      <c r="S26" s="1560">
        <f>F26</f>
        <v>100</v>
      </c>
      <c r="T26" s="1559" t="s">
        <v>8</v>
      </c>
      <c r="U26" s="1560">
        <f>H26</f>
        <v>100</v>
      </c>
      <c r="V26" s="1559" t="s">
        <v>8</v>
      </c>
      <c r="W26" s="1560">
        <f>J26</f>
        <v>100</v>
      </c>
      <c r="X26" s="1553"/>
      <c r="Y26" s="3389"/>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89"/>
      <c r="Q27" s="1146">
        <f t="shared" si="11"/>
        <v>111</v>
      </c>
      <c r="R27" s="1554" t="s">
        <v>8</v>
      </c>
      <c r="S27" s="1555">
        <f>F27</f>
        <v>100</v>
      </c>
      <c r="T27" s="1554" t="s">
        <v>8</v>
      </c>
      <c r="U27" s="1555">
        <f>H27</f>
        <v>100</v>
      </c>
      <c r="V27" s="1554" t="s">
        <v>8</v>
      </c>
      <c r="W27" s="1555">
        <f>J27</f>
        <v>100</v>
      </c>
      <c r="X27" s="1556"/>
      <c r="Y27" s="3389"/>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89"/>
      <c r="Q28" s="1558">
        <f t="shared" si="11"/>
        <v>111</v>
      </c>
      <c r="R28" s="1559" t="s">
        <v>8</v>
      </c>
      <c r="S28" s="1560">
        <f t="shared" ref="S28:S40" si="12">F28</f>
        <v>100</v>
      </c>
      <c r="T28" s="1559" t="s">
        <v>8</v>
      </c>
      <c r="U28" s="1560">
        <f t="shared" ref="U28:U40" si="13">H28</f>
        <v>100</v>
      </c>
      <c r="V28" s="1559" t="s">
        <v>8</v>
      </c>
      <c r="W28" s="1560">
        <f t="shared" ref="W28:W40" si="14">J28</f>
        <v>100</v>
      </c>
      <c r="X28" s="1553"/>
      <c r="Y28" s="3389"/>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90" t="s">
        <v>549</v>
      </c>
      <c r="Q29" s="1558" t="str">
        <f t="shared" si="11"/>
        <v>建筑类型</v>
      </c>
      <c r="R29" s="1559" t="s">
        <v>8</v>
      </c>
      <c r="S29" s="1560">
        <f t="shared" si="12"/>
        <v>100</v>
      </c>
      <c r="T29" s="1559" t="s">
        <v>8</v>
      </c>
      <c r="U29" s="1560">
        <f t="shared" si="13"/>
        <v>100</v>
      </c>
      <c r="V29" s="1559" t="s">
        <v>8</v>
      </c>
      <c r="W29" s="1560">
        <f t="shared" si="14"/>
        <v>100</v>
      </c>
      <c r="X29" s="1553"/>
      <c r="Y29" s="3391"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91"/>
      <c r="Q30" s="1590" t="str">
        <f t="shared" si="11"/>
        <v>项目建筑规模</v>
      </c>
      <c r="R30" s="1563" t="s">
        <v>8</v>
      </c>
      <c r="S30" s="1564" t="e">
        <f t="shared" si="12"/>
        <v>#N/A</v>
      </c>
      <c r="T30" s="1563" t="s">
        <v>8</v>
      </c>
      <c r="U30" s="1564" t="e">
        <f t="shared" si="13"/>
        <v>#N/A</v>
      </c>
      <c r="V30" s="1563" t="s">
        <v>8</v>
      </c>
      <c r="W30" s="1564" t="e">
        <f t="shared" si="14"/>
        <v>#N/A</v>
      </c>
      <c r="X30" s="1565"/>
      <c r="Y30" s="3391"/>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91"/>
      <c r="Q31" s="1558" t="str">
        <f t="shared" si="11"/>
        <v>建筑结构</v>
      </c>
      <c r="R31" s="1559" t="s">
        <v>8</v>
      </c>
      <c r="S31" s="1560">
        <f t="shared" si="12"/>
        <v>100</v>
      </c>
      <c r="T31" s="1559" t="s">
        <v>8</v>
      </c>
      <c r="U31" s="1560">
        <f t="shared" si="13"/>
        <v>100</v>
      </c>
      <c r="V31" s="1559" t="s">
        <v>8</v>
      </c>
      <c r="W31" s="1560">
        <f t="shared" si="14"/>
        <v>100</v>
      </c>
      <c r="X31" s="1553"/>
      <c r="Y31" s="3391"/>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91"/>
      <c r="Q32" s="1558" t="str">
        <f t="shared" si="11"/>
        <v>公共部分装修</v>
      </c>
      <c r="R32" s="1559" t="s">
        <v>8</v>
      </c>
      <c r="S32" s="1560">
        <f t="shared" si="12"/>
        <v>100</v>
      </c>
      <c r="T32" s="1559" t="s">
        <v>8</v>
      </c>
      <c r="U32" s="1560">
        <f t="shared" si="13"/>
        <v>100</v>
      </c>
      <c r="V32" s="1559" t="s">
        <v>8</v>
      </c>
      <c r="W32" s="1560">
        <f t="shared" si="14"/>
        <v>100</v>
      </c>
      <c r="X32" s="1553"/>
      <c r="Y32" s="3391"/>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91"/>
      <c r="Q33" s="1558" t="str">
        <f t="shared" si="11"/>
        <v>成新度</v>
      </c>
      <c r="R33" s="1559" t="s">
        <v>8</v>
      </c>
      <c r="S33" s="1560" t="e">
        <f t="shared" si="12"/>
        <v>#N/A</v>
      </c>
      <c r="T33" s="1559" t="s">
        <v>8</v>
      </c>
      <c r="U33" s="1560" t="e">
        <f t="shared" si="13"/>
        <v>#N/A</v>
      </c>
      <c r="V33" s="1559" t="s">
        <v>8</v>
      </c>
      <c r="W33" s="1560" t="e">
        <f t="shared" si="14"/>
        <v>#N/A</v>
      </c>
      <c r="X33" s="1553"/>
      <c r="Y33" s="3391"/>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91"/>
      <c r="Q34" s="1146" t="str">
        <f t="shared" si="11"/>
        <v>物业管理</v>
      </c>
      <c r="R34" s="1554" t="s">
        <v>8</v>
      </c>
      <c r="S34" s="1555">
        <f t="shared" si="12"/>
        <v>100</v>
      </c>
      <c r="T34" s="1554" t="s">
        <v>8</v>
      </c>
      <c r="U34" s="1555">
        <f t="shared" si="13"/>
        <v>100</v>
      </c>
      <c r="V34" s="1554" t="s">
        <v>8</v>
      </c>
      <c r="W34" s="1555">
        <f t="shared" si="14"/>
        <v>100</v>
      </c>
      <c r="X34" s="1556"/>
      <c r="Y34" s="3391"/>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91" t="s">
        <v>549</v>
      </c>
      <c r="Q35" s="1558" t="str">
        <f t="shared" si="11"/>
        <v>市政基础设施</v>
      </c>
      <c r="R35" s="1559" t="s">
        <v>8</v>
      </c>
      <c r="S35" s="1560">
        <f t="shared" si="12"/>
        <v>100</v>
      </c>
      <c r="T35" s="1559" t="s">
        <v>8</v>
      </c>
      <c r="U35" s="1560">
        <f t="shared" si="13"/>
        <v>100</v>
      </c>
      <c r="V35" s="1559" t="s">
        <v>8</v>
      </c>
      <c r="W35" s="1560">
        <f t="shared" si="14"/>
        <v>100</v>
      </c>
      <c r="X35" s="1553"/>
      <c r="Y35" s="3391"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91"/>
      <c r="Q36" s="1558" t="str">
        <f t="shared" si="11"/>
        <v>内部装修</v>
      </c>
      <c r="R36" s="1559" t="s">
        <v>8</v>
      </c>
      <c r="S36" s="1560">
        <f t="shared" si="12"/>
        <v>100</v>
      </c>
      <c r="T36" s="1559" t="s">
        <v>8</v>
      </c>
      <c r="U36" s="1560">
        <f t="shared" si="13"/>
        <v>100</v>
      </c>
      <c r="V36" s="1559" t="s">
        <v>8</v>
      </c>
      <c r="W36" s="1560">
        <f t="shared" si="14"/>
        <v>100</v>
      </c>
      <c r="X36" s="1553"/>
      <c r="Y36" s="3391"/>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91"/>
      <c r="Q37" s="1558" t="str">
        <f t="shared" si="11"/>
        <v>内部装修状况</v>
      </c>
      <c r="R37" s="1559" t="s">
        <v>8</v>
      </c>
      <c r="S37" s="1560">
        <f t="shared" si="12"/>
        <v>100</v>
      </c>
      <c r="T37" s="1559" t="s">
        <v>8</v>
      </c>
      <c r="U37" s="1560">
        <f t="shared" si="13"/>
        <v>100</v>
      </c>
      <c r="V37" s="1559" t="s">
        <v>8</v>
      </c>
      <c r="W37" s="1560">
        <f t="shared" si="14"/>
        <v>100</v>
      </c>
      <c r="X37" s="1553"/>
      <c r="Y37" s="3391"/>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91"/>
      <c r="Q38" s="1590">
        <f t="shared" si="11"/>
        <v>111</v>
      </c>
      <c r="R38" s="1563" t="s">
        <v>8</v>
      </c>
      <c r="S38" s="1564">
        <f t="shared" si="12"/>
        <v>100</v>
      </c>
      <c r="T38" s="1563" t="s">
        <v>8</v>
      </c>
      <c r="U38" s="1564">
        <f t="shared" si="13"/>
        <v>100</v>
      </c>
      <c r="V38" s="1563" t="s">
        <v>8</v>
      </c>
      <c r="W38" s="1564">
        <f t="shared" si="14"/>
        <v>100</v>
      </c>
      <c r="X38" s="1565"/>
      <c r="Y38" s="3391"/>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91"/>
      <c r="Q39" s="1558">
        <f t="shared" si="11"/>
        <v>111</v>
      </c>
      <c r="R39" s="1559" t="s">
        <v>8</v>
      </c>
      <c r="S39" s="1560">
        <f t="shared" si="12"/>
        <v>100</v>
      </c>
      <c r="T39" s="1559" t="s">
        <v>8</v>
      </c>
      <c r="U39" s="1560">
        <f t="shared" si="13"/>
        <v>100</v>
      </c>
      <c r="V39" s="1559" t="s">
        <v>8</v>
      </c>
      <c r="W39" s="1560">
        <f t="shared" si="14"/>
        <v>100</v>
      </c>
      <c r="X39" s="1553"/>
      <c r="Y39" s="3391"/>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5"/>
      <c r="Q40" s="1558">
        <f t="shared" si="11"/>
        <v>111</v>
      </c>
      <c r="R40" s="1559" t="s">
        <v>8</v>
      </c>
      <c r="S40" s="1560">
        <f t="shared" si="12"/>
        <v>100</v>
      </c>
      <c r="T40" s="1559" t="s">
        <v>8</v>
      </c>
      <c r="U40" s="1560">
        <f t="shared" si="13"/>
        <v>100</v>
      </c>
      <c r="V40" s="1559" t="s">
        <v>8</v>
      </c>
      <c r="W40" s="1560">
        <f t="shared" si="14"/>
        <v>100</v>
      </c>
      <c r="X40" s="1553"/>
      <c r="Y40" s="3485"/>
      <c r="Z40" s="1561">
        <f t="shared" si="15"/>
        <v>111</v>
      </c>
      <c r="AA40" s="1562">
        <f t="shared" si="3"/>
        <v>1</v>
      </c>
      <c r="AB40" s="1562">
        <f t="shared" si="4"/>
        <v>1</v>
      </c>
      <c r="AC40" s="1562">
        <f t="shared" si="5"/>
        <v>1</v>
      </c>
    </row>
    <row r="41" spans="1:29" ht="15">
      <c r="A41" s="606" t="s">
        <v>735</v>
      </c>
      <c r="B41" s="886"/>
      <c r="C41" s="2590" t="s">
        <v>1</v>
      </c>
      <c r="D41" s="2591"/>
      <c r="E41" s="2592"/>
      <c r="F41" s="2593"/>
      <c r="G41" s="2594"/>
      <c r="H41" s="2595"/>
      <c r="I41" s="2592"/>
      <c r="J41" s="2595"/>
      <c r="K41" s="1596"/>
      <c r="L41" s="2128"/>
      <c r="M41" s="2129"/>
      <c r="N41" s="2118"/>
      <c r="O41" s="2129"/>
      <c r="P41" s="3386" t="str">
        <f>A41</f>
        <v>成交单价（元/平方米）</v>
      </c>
      <c r="Q41" s="3386"/>
      <c r="R41" s="3484">
        <f>E41</f>
        <v>0</v>
      </c>
      <c r="S41" s="3484"/>
      <c r="T41" s="3484">
        <f>G41</f>
        <v>0</v>
      </c>
      <c r="U41" s="3484"/>
      <c r="V41" s="3484">
        <f>I41</f>
        <v>0</v>
      </c>
      <c r="W41" s="3484"/>
      <c r="X41" s="1545"/>
      <c r="Y41" s="1567"/>
      <c r="Z41" s="1545"/>
      <c r="AA41" s="1545"/>
      <c r="AB41" s="1545"/>
      <c r="AC41" s="1545"/>
    </row>
    <row r="42" spans="1:29" ht="15.7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86" t="str">
        <f>A42</f>
        <v>比较价格（元/平方米）</v>
      </c>
      <c r="Q42" s="3386"/>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5"/>
      <c r="Y42" s="1545"/>
      <c r="Z42" s="1545"/>
      <c r="AA42" s="1545"/>
      <c r="AB42" s="1545"/>
      <c r="AC42" s="1545"/>
    </row>
    <row r="43" spans="1:29" ht="15.75" thickBot="1">
      <c r="A43" s="620" t="s">
        <v>2925</v>
      </c>
      <c r="B43" s="621"/>
      <c r="C43" s="2599" t="e">
        <f>R43</f>
        <v>#DIV/0!</v>
      </c>
      <c r="D43" s="2599"/>
      <c r="E43" s="2599"/>
      <c r="F43" s="2599"/>
      <c r="G43" s="2599"/>
      <c r="H43" s="2599"/>
      <c r="I43" s="2599"/>
      <c r="J43" s="2599"/>
      <c r="K43" s="1598"/>
      <c r="L43" s="2128"/>
      <c r="M43" s="2129"/>
      <c r="N43" s="2129"/>
      <c r="O43" s="2129"/>
      <c r="P43" s="3407" t="str">
        <f>A43</f>
        <v>估价对象XX用房的比较价格（楼面单价，元/平方米）</v>
      </c>
      <c r="Q43" s="3408"/>
      <c r="R43" s="3483" t="e">
        <f>IF(F1="售价",ROUND(AVERAGE(R42:V42),0),ROUND(AVERAGE(R42:V42),1))</f>
        <v>#DIV/0!</v>
      </c>
      <c r="S43" s="3483"/>
      <c r="T43" s="3483"/>
      <c r="U43" s="3483"/>
      <c r="V43" s="3483"/>
      <c r="W43" s="3483"/>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5">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796</v>
      </c>
      <c r="B4" s="512"/>
      <c r="C4" s="3392" t="s">
        <v>797</v>
      </c>
      <c r="D4" s="3393"/>
      <c r="E4" s="3392" t="s">
        <v>798</v>
      </c>
      <c r="F4" s="3393"/>
      <c r="G4" s="3392" t="s">
        <v>799</v>
      </c>
      <c r="H4" s="3393"/>
      <c r="I4" s="3392" t="s">
        <v>800</v>
      </c>
      <c r="J4" s="3393"/>
      <c r="K4" s="513" t="s">
        <v>801</v>
      </c>
      <c r="L4" s="2117"/>
      <c r="M4" s="2118"/>
      <c r="N4" s="2118"/>
      <c r="O4" s="2118"/>
      <c r="P4" s="3394" t="s">
        <v>802</v>
      </c>
      <c r="Q4" s="3395"/>
      <c r="R4" s="3380" t="s">
        <v>798</v>
      </c>
      <c r="S4" s="3381"/>
      <c r="T4" s="3380" t="s">
        <v>799</v>
      </c>
      <c r="U4" s="3381"/>
      <c r="V4" s="3400" t="s">
        <v>800</v>
      </c>
      <c r="W4" s="3400"/>
      <c r="X4" s="1553"/>
      <c r="Y4" s="3380" t="s">
        <v>802</v>
      </c>
      <c r="Z4" s="3381"/>
      <c r="AA4" s="3375" t="s">
        <v>798</v>
      </c>
      <c r="AB4" s="3376" t="s">
        <v>799</v>
      </c>
      <c r="AC4" s="3375" t="s">
        <v>800</v>
      </c>
    </row>
    <row r="5" spans="1:29" ht="15">
      <c r="A5" s="514"/>
      <c r="B5" s="515"/>
      <c r="C5" s="3403" t="s">
        <v>2919</v>
      </c>
      <c r="D5" s="3404"/>
      <c r="E5" s="3403" t="s">
        <v>2920</v>
      </c>
      <c r="F5" s="3404"/>
      <c r="G5" s="3403" t="s">
        <v>2921</v>
      </c>
      <c r="H5" s="3404"/>
      <c r="I5" s="3403" t="s">
        <v>2922</v>
      </c>
      <c r="J5" s="3404"/>
      <c r="K5" s="513"/>
      <c r="L5" s="2117"/>
      <c r="M5" s="2118"/>
      <c r="N5" s="2118"/>
      <c r="O5" s="2118"/>
      <c r="P5" s="3396"/>
      <c r="Q5" s="3397"/>
      <c r="R5" s="3382"/>
      <c r="S5" s="3383"/>
      <c r="T5" s="3382"/>
      <c r="U5" s="3383"/>
      <c r="V5" s="3400"/>
      <c r="W5" s="3400"/>
      <c r="X5" s="1553"/>
      <c r="Y5" s="3382"/>
      <c r="Z5" s="3383"/>
      <c r="AA5" s="3376"/>
      <c r="AB5" s="3376"/>
      <c r="AC5" s="3376"/>
    </row>
    <row r="6" spans="1:29" ht="15.75" thickBot="1">
      <c r="A6" s="516"/>
      <c r="B6" s="517"/>
      <c r="C6" s="3401" t="s">
        <v>2923</v>
      </c>
      <c r="D6" s="3402"/>
      <c r="E6" s="3405" t="s">
        <v>2923</v>
      </c>
      <c r="F6" s="3406"/>
      <c r="G6" s="3401" t="s">
        <v>2923</v>
      </c>
      <c r="H6" s="3402"/>
      <c r="I6" s="3401" t="s">
        <v>2923</v>
      </c>
      <c r="J6" s="3402"/>
      <c r="K6" s="513" t="s">
        <v>527</v>
      </c>
      <c r="L6" s="2117"/>
      <c r="M6" s="2118"/>
      <c r="N6" s="2118"/>
      <c r="O6" s="2118"/>
      <c r="P6" s="3398"/>
      <c r="Q6" s="3399"/>
      <c r="R6" s="3382"/>
      <c r="S6" s="3383"/>
      <c r="T6" s="3384"/>
      <c r="U6" s="3385"/>
      <c r="V6" s="3400"/>
      <c r="W6" s="3400"/>
      <c r="X6" s="1553"/>
      <c r="Y6" s="3384"/>
      <c r="Z6" s="3385"/>
      <c r="AA6" s="3377"/>
      <c r="AB6" s="3377"/>
      <c r="AC6" s="3377"/>
    </row>
    <row r="7" spans="1:29" s="1215" customFormat="1" ht="15.7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78" t="s">
        <v>529</v>
      </c>
      <c r="Q7" s="3387"/>
      <c r="R7" s="1554" t="s">
        <v>8</v>
      </c>
      <c r="S7" s="1555">
        <f t="shared" ref="S7:S14" si="0">F7</f>
        <v>0</v>
      </c>
      <c r="T7" s="1554" t="s">
        <v>8</v>
      </c>
      <c r="U7" s="1555">
        <f t="shared" ref="U7:U14" si="1">H7</f>
        <v>0</v>
      </c>
      <c r="V7" s="1554" t="s">
        <v>8</v>
      </c>
      <c r="W7" s="1555">
        <f t="shared" ref="W7:W14" si="2">J7</f>
        <v>0</v>
      </c>
      <c r="X7" s="1556"/>
      <c r="Y7" s="3378" t="s">
        <v>529</v>
      </c>
      <c r="Z7" s="3379"/>
      <c r="AA7" s="1557" t="e">
        <f>D7/F7</f>
        <v>#DIV/0!</v>
      </c>
      <c r="AB7" s="1557" t="e">
        <f>D7/H7</f>
        <v>#DIV/0!</v>
      </c>
      <c r="AC7" s="1557" t="e">
        <f>D7/J7</f>
        <v>#DIV/0!</v>
      </c>
    </row>
    <row r="8" spans="1:29" s="1215"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78" t="s">
        <v>532</v>
      </c>
      <c r="Q8" s="3379"/>
      <c r="R8" s="1554" t="s">
        <v>8</v>
      </c>
      <c r="S8" s="1555">
        <f t="shared" si="0"/>
        <v>0</v>
      </c>
      <c r="T8" s="1554" t="s">
        <v>8</v>
      </c>
      <c r="U8" s="1555">
        <f t="shared" si="1"/>
        <v>0</v>
      </c>
      <c r="V8" s="1554" t="s">
        <v>8</v>
      </c>
      <c r="W8" s="1555">
        <f t="shared" si="2"/>
        <v>0</v>
      </c>
      <c r="X8" s="1556"/>
      <c r="Y8" s="3378" t="s">
        <v>532</v>
      </c>
      <c r="Z8" s="3379"/>
      <c r="AA8" s="1557" t="e">
        <f t="shared" ref="AA8:AA36" si="3">D8/F8</f>
        <v>#DIV/0!</v>
      </c>
      <c r="AB8" s="1557" t="e">
        <f t="shared" ref="AB8:AB36" si="4">D8/H8</f>
        <v>#DIV/0!</v>
      </c>
      <c r="AC8" s="1557" t="e">
        <f t="shared" ref="AC8:AC36" si="5">D8/J8</f>
        <v>#DIV/0!</v>
      </c>
    </row>
    <row r="9" spans="1:29" s="1215" customFormat="1" ht="15">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86" t="s">
        <v>534</v>
      </c>
      <c r="Q9" s="1146" t="str">
        <f t="shared" ref="Q9:Q14" si="6">B9</f>
        <v>用途</v>
      </c>
      <c r="R9" s="1554" t="s">
        <v>8</v>
      </c>
      <c r="S9" s="1555">
        <f t="shared" si="0"/>
        <v>100</v>
      </c>
      <c r="T9" s="1554" t="s">
        <v>8</v>
      </c>
      <c r="U9" s="1555">
        <f t="shared" si="1"/>
        <v>100</v>
      </c>
      <c r="V9" s="1554" t="s">
        <v>8</v>
      </c>
      <c r="W9" s="1555">
        <f t="shared" si="2"/>
        <v>100</v>
      </c>
      <c r="X9" s="1556"/>
      <c r="Y9" s="3337" t="s">
        <v>535</v>
      </c>
      <c r="Z9" s="1145" t="str">
        <f t="shared" ref="Z9:Z14" si="7">Q9</f>
        <v>用途</v>
      </c>
      <c r="AA9" s="1557">
        <f t="shared" si="3"/>
        <v>1</v>
      </c>
      <c r="AB9" s="1557">
        <f t="shared" si="4"/>
        <v>1</v>
      </c>
      <c r="AC9" s="1557">
        <f t="shared" si="5"/>
        <v>1</v>
      </c>
    </row>
    <row r="10" spans="1:29" s="1333" customFormat="1" ht="27">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86"/>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86"/>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86"/>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86"/>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88" t="s">
        <v>539</v>
      </c>
      <c r="Q14" s="1558" t="str">
        <f t="shared" si="6"/>
        <v>交通便捷度</v>
      </c>
      <c r="R14" s="1559" t="s">
        <v>8</v>
      </c>
      <c r="S14" s="1560">
        <f t="shared" si="0"/>
        <v>100</v>
      </c>
      <c r="T14" s="1559" t="s">
        <v>8</v>
      </c>
      <c r="U14" s="1560">
        <f t="shared" si="1"/>
        <v>100</v>
      </c>
      <c r="V14" s="1559" t="s">
        <v>8</v>
      </c>
      <c r="W14" s="1560">
        <f t="shared" si="2"/>
        <v>100</v>
      </c>
      <c r="X14" s="1553"/>
      <c r="Y14" s="3388"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89"/>
      <c r="Q15" s="1558"/>
      <c r="R15" s="1559"/>
      <c r="S15" s="1560"/>
      <c r="T15" s="1559"/>
      <c r="U15" s="1560"/>
      <c r="V15" s="1559"/>
      <c r="W15" s="1560"/>
      <c r="X15" s="1553"/>
      <c r="Y15" s="3389"/>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89"/>
      <c r="Q17" s="1558"/>
      <c r="R17" s="1559"/>
      <c r="S17" s="1560"/>
      <c r="T17" s="1559"/>
      <c r="U17" s="1560"/>
      <c r="V17" s="1559"/>
      <c r="W17" s="1560"/>
      <c r="X17" s="1553"/>
      <c r="Y17" s="3389"/>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89"/>
      <c r="Q18" s="2542" t="str">
        <f>B18</f>
        <v>基础设施水平</v>
      </c>
      <c r="R18" s="1559" t="s">
        <v>8</v>
      </c>
      <c r="S18" s="1560">
        <f>F18</f>
        <v>100</v>
      </c>
      <c r="T18" s="1559" t="s">
        <v>8</v>
      </c>
      <c r="U18" s="1560">
        <f>H18</f>
        <v>100</v>
      </c>
      <c r="V18" s="1559" t="s">
        <v>8</v>
      </c>
      <c r="W18" s="1560">
        <f>J18</f>
        <v>100</v>
      </c>
      <c r="X18" s="2544"/>
      <c r="Y18" s="3389"/>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89"/>
      <c r="Q19" s="2542"/>
      <c r="R19" s="1559"/>
      <c r="S19" s="1560"/>
      <c r="T19" s="1559"/>
      <c r="U19" s="1560"/>
      <c r="V19" s="1559"/>
      <c r="W19" s="1560"/>
      <c r="X19" s="2544"/>
      <c r="Y19" s="3389"/>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89"/>
      <c r="Q21" s="1558"/>
      <c r="R21" s="1559"/>
      <c r="S21" s="1560"/>
      <c r="T21" s="1559"/>
      <c r="U21" s="1560"/>
      <c r="V21" s="1559"/>
      <c r="W21" s="1560"/>
      <c r="X21" s="1553"/>
      <c r="Y21" s="3389"/>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89"/>
      <c r="Q24" s="1558">
        <f t="shared" ref="Q24:Q36"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90"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1"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91"/>
      <c r="Q27" s="1590" t="str">
        <f t="shared" si="11"/>
        <v>项目停车位配比</v>
      </c>
      <c r="R27" s="1563" t="s">
        <v>8</v>
      </c>
      <c r="S27" s="1564">
        <f t="shared" si="12"/>
        <v>100</v>
      </c>
      <c r="T27" s="1563" t="s">
        <v>8</v>
      </c>
      <c r="U27" s="1564">
        <f t="shared" si="13"/>
        <v>100</v>
      </c>
      <c r="V27" s="1563" t="s">
        <v>8</v>
      </c>
      <c r="W27" s="1564">
        <f t="shared" si="14"/>
        <v>100</v>
      </c>
      <c r="X27" s="1565"/>
      <c r="Y27" s="3391"/>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91"/>
      <c r="Q28" s="1558" t="str">
        <f t="shared" si="11"/>
        <v>公共部分装修</v>
      </c>
      <c r="R28" s="1559" t="s">
        <v>8</v>
      </c>
      <c r="S28" s="1560">
        <f t="shared" si="12"/>
        <v>100</v>
      </c>
      <c r="T28" s="1559" t="s">
        <v>8</v>
      </c>
      <c r="U28" s="1560">
        <f t="shared" si="13"/>
        <v>100</v>
      </c>
      <c r="V28" s="1559" t="s">
        <v>8</v>
      </c>
      <c r="W28" s="1560">
        <f t="shared" si="14"/>
        <v>100</v>
      </c>
      <c r="X28" s="1553"/>
      <c r="Y28" s="3391"/>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91"/>
      <c r="Q29" s="1558" t="str">
        <f t="shared" si="11"/>
        <v>成新率</v>
      </c>
      <c r="R29" s="1559" t="s">
        <v>8</v>
      </c>
      <c r="S29" s="1560" t="e">
        <f t="shared" si="12"/>
        <v>#N/A</v>
      </c>
      <c r="T29" s="1559" t="s">
        <v>8</v>
      </c>
      <c r="U29" s="1560" t="e">
        <f t="shared" si="13"/>
        <v>#N/A</v>
      </c>
      <c r="V29" s="1559" t="s">
        <v>8</v>
      </c>
      <c r="W29" s="1560" t="e">
        <f t="shared" si="14"/>
        <v>#N/A</v>
      </c>
      <c r="X29" s="1553"/>
      <c r="Y29" s="3391"/>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91"/>
      <c r="Q30" s="1558" t="str">
        <f t="shared" si="11"/>
        <v>物业等级</v>
      </c>
      <c r="R30" s="1559" t="s">
        <v>8</v>
      </c>
      <c r="S30" s="1560">
        <f t="shared" si="12"/>
        <v>100</v>
      </c>
      <c r="T30" s="1559" t="s">
        <v>8</v>
      </c>
      <c r="U30" s="1560">
        <f t="shared" si="13"/>
        <v>100</v>
      </c>
      <c r="V30" s="1559" t="s">
        <v>8</v>
      </c>
      <c r="W30" s="1560">
        <f t="shared" si="14"/>
        <v>100</v>
      </c>
      <c r="X30" s="1553"/>
      <c r="Y30" s="3391"/>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91"/>
      <c r="Q31" s="1146" t="str">
        <f t="shared" si="11"/>
        <v>停车位面积</v>
      </c>
      <c r="R31" s="1554" t="s">
        <v>8</v>
      </c>
      <c r="S31" s="1555" t="e">
        <f t="shared" si="12"/>
        <v>#N/A</v>
      </c>
      <c r="T31" s="1554" t="s">
        <v>8</v>
      </c>
      <c r="U31" s="1555" t="e">
        <f t="shared" si="13"/>
        <v>#N/A</v>
      </c>
      <c r="V31" s="1554" t="s">
        <v>8</v>
      </c>
      <c r="W31" s="1555" t="e">
        <f t="shared" si="14"/>
        <v>#N/A</v>
      </c>
      <c r="X31" s="1556"/>
      <c r="Y31" s="3391"/>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91" t="s">
        <v>549</v>
      </c>
      <c r="Q32" s="1558" t="str">
        <f t="shared" si="11"/>
        <v>车位类型</v>
      </c>
      <c r="R32" s="1559" t="s">
        <v>8</v>
      </c>
      <c r="S32" s="1560">
        <f t="shared" si="12"/>
        <v>100</v>
      </c>
      <c r="T32" s="1559" t="s">
        <v>8</v>
      </c>
      <c r="U32" s="1560">
        <f t="shared" si="13"/>
        <v>100</v>
      </c>
      <c r="V32" s="1559" t="s">
        <v>8</v>
      </c>
      <c r="W32" s="1560">
        <f t="shared" si="14"/>
        <v>100</v>
      </c>
      <c r="X32" s="1553"/>
      <c r="Y32" s="3391"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91"/>
      <c r="Q33" s="1558" t="str">
        <f t="shared" si="11"/>
        <v>是否直接入户</v>
      </c>
      <c r="R33" s="1559" t="s">
        <v>8</v>
      </c>
      <c r="S33" s="1560">
        <f t="shared" si="12"/>
        <v>100</v>
      </c>
      <c r="T33" s="1559" t="s">
        <v>8</v>
      </c>
      <c r="U33" s="1560">
        <f t="shared" si="13"/>
        <v>100</v>
      </c>
      <c r="V33" s="1559" t="s">
        <v>8</v>
      </c>
      <c r="W33" s="1560">
        <f t="shared" si="14"/>
        <v>100</v>
      </c>
      <c r="X33" s="1553"/>
      <c r="Y33" s="3391"/>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91"/>
      <c r="Q35" s="1590">
        <f t="shared" si="11"/>
        <v>111</v>
      </c>
      <c r="R35" s="1563" t="s">
        <v>8</v>
      </c>
      <c r="S35" s="1564">
        <f t="shared" si="12"/>
        <v>100</v>
      </c>
      <c r="T35" s="1563" t="s">
        <v>8</v>
      </c>
      <c r="U35" s="1564">
        <f t="shared" si="13"/>
        <v>100</v>
      </c>
      <c r="V35" s="1563" t="s">
        <v>8</v>
      </c>
      <c r="W35" s="1564">
        <f t="shared" si="14"/>
        <v>100</v>
      </c>
      <c r="X35" s="1565"/>
      <c r="Y35" s="3391"/>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91"/>
      <c r="Q36" s="1558">
        <f t="shared" si="11"/>
        <v>111</v>
      </c>
      <c r="R36" s="1559" t="s">
        <v>8</v>
      </c>
      <c r="S36" s="1560">
        <f t="shared" si="12"/>
        <v>100</v>
      </c>
      <c r="T36" s="1559" t="s">
        <v>8</v>
      </c>
      <c r="U36" s="1560">
        <f t="shared" si="13"/>
        <v>100</v>
      </c>
      <c r="V36" s="1559" t="s">
        <v>8</v>
      </c>
      <c r="W36" s="1560">
        <f t="shared" si="14"/>
        <v>100</v>
      </c>
      <c r="X36" s="1553"/>
      <c r="Y36" s="3391"/>
      <c r="Z36" s="1561">
        <f t="shared" si="15"/>
        <v>111</v>
      </c>
      <c r="AA36" s="1562">
        <f t="shared" si="3"/>
        <v>1</v>
      </c>
      <c r="AB36" s="1562">
        <f t="shared" si="4"/>
        <v>1</v>
      </c>
      <c r="AC36" s="1562">
        <f t="shared" si="5"/>
        <v>1</v>
      </c>
    </row>
    <row r="37" spans="1:29" ht="15">
      <c r="A37" s="1830" t="s">
        <v>2071</v>
      </c>
      <c r="B37" s="1831" t="s">
        <v>2072</v>
      </c>
      <c r="C37" s="2590" t="s">
        <v>1</v>
      </c>
      <c r="D37" s="2591"/>
      <c r="E37" s="2592"/>
      <c r="F37" s="2593"/>
      <c r="G37" s="2594"/>
      <c r="H37" s="2595"/>
      <c r="I37" s="2592"/>
      <c r="J37" s="2595"/>
      <c r="K37" s="1596"/>
      <c r="L37" s="2128"/>
      <c r="M37" s="2129"/>
      <c r="N37" s="2118"/>
      <c r="O37" s="2129"/>
      <c r="P37" s="3386" t="str">
        <f>A37</f>
        <v>成交单价</v>
      </c>
      <c r="Q37" s="3386"/>
      <c r="R37" s="3484">
        <f>E37</f>
        <v>0</v>
      </c>
      <c r="S37" s="3484"/>
      <c r="T37" s="3484">
        <f>G37</f>
        <v>0</v>
      </c>
      <c r="U37" s="3484"/>
      <c r="V37" s="3484">
        <f>I37</f>
        <v>0</v>
      </c>
      <c r="W37" s="3484"/>
      <c r="X37" s="1545"/>
      <c r="Y37" s="1567"/>
      <c r="Z37" s="1545"/>
      <c r="AA37" s="1545"/>
      <c r="AB37" s="1545"/>
      <c r="AC37" s="1545"/>
    </row>
    <row r="38" spans="1:29" ht="15.7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86" t="str">
        <f>A38</f>
        <v>比较价格（元/平方米）</v>
      </c>
      <c r="Q38" s="3386"/>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5"/>
      <c r="Y38" s="1545"/>
      <c r="Z38" s="1545"/>
      <c r="AA38" s="1545"/>
      <c r="AB38" s="1545"/>
      <c r="AC38" s="1545"/>
    </row>
    <row r="39" spans="1:29" ht="15.75" thickBot="1">
      <c r="A39" s="620" t="s">
        <v>2925</v>
      </c>
      <c r="B39" s="621"/>
      <c r="C39" s="2599" t="e">
        <f>R39</f>
        <v>#DIV/0!</v>
      </c>
      <c r="D39" s="2599"/>
      <c r="E39" s="2599"/>
      <c r="F39" s="2599"/>
      <c r="G39" s="2599"/>
      <c r="H39" s="2599"/>
      <c r="I39" s="2599"/>
      <c r="J39" s="2599"/>
      <c r="K39" s="1598"/>
      <c r="L39" s="2128"/>
      <c r="M39" s="2129"/>
      <c r="N39" s="2129"/>
      <c r="O39" s="2129"/>
      <c r="P39" s="3407" t="str">
        <f>A39</f>
        <v>估价对象XX用房的比较价格（楼面单价，元/平方米）</v>
      </c>
      <c r="Q39" s="3408"/>
      <c r="R39" s="3483" t="e">
        <f>IF(F1="售价",ROUND(AVERAGE(R38:V38),0),ROUND(AVERAGE(R38:V38),1))</f>
        <v>#DIV/0!</v>
      </c>
      <c r="S39" s="3483"/>
      <c r="T39" s="3483"/>
      <c r="U39" s="3483"/>
      <c r="V39" s="3483"/>
      <c r="W39" s="3483"/>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受贵公司委托，我公司对湖南省株洲市醴陵市出让国有建设用地使用权抵押价格进行了预评估。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93.75">
      <c r="A7" s="2827" t="s">
        <v>2741</v>
      </c>
    </row>
    <row r="8" spans="1:4" ht="18.75">
      <c r="A8" s="1778" t="s">
        <v>1904</v>
      </c>
    </row>
    <row r="9" spans="1:4" ht="75">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2020</v>
      </c>
    </row>
    <row r="11" spans="1:4" ht="18.75">
      <c r="A11" s="1764" t="str">
        <f>TEXT(项目基本情况!D3,"yyyy年m月d日;;")&amp;IF(项目基本情况!B3=项目基本情况!D3,"（评估专业人员勘察现场之日）","")</f>
        <v>2020年2月21日</v>
      </c>
    </row>
    <row r="12" spans="1:4" ht="18.75">
      <c r="A12" s="1781" t="s">
        <v>2019</v>
      </c>
    </row>
    <row r="13" spans="1:4" ht="18.75">
      <c r="A13" s="1775" t="s">
        <v>2065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2066</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5" t="s">
        <v>2067</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2068</v>
      </c>
    </row>
    <row r="23" spans="1:1" ht="18.75">
      <c r="A23" s="2829" t="s">
        <v>2742</v>
      </c>
    </row>
    <row r="24" spans="1:1" ht="18.75">
      <c r="A24" s="1775" t="s">
        <v>2069</v>
      </c>
    </row>
    <row r="25" spans="1:1" ht="93.75">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2021</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796</v>
      </c>
      <c r="B4" s="512"/>
      <c r="C4" s="3392" t="s">
        <v>797</v>
      </c>
      <c r="D4" s="3393"/>
      <c r="E4" s="3416" t="s">
        <v>798</v>
      </c>
      <c r="F4" s="3417"/>
      <c r="G4" s="3392" t="s">
        <v>799</v>
      </c>
      <c r="H4" s="3393"/>
      <c r="I4" s="3392" t="s">
        <v>800</v>
      </c>
      <c r="J4" s="3393"/>
      <c r="K4" s="513" t="s">
        <v>801</v>
      </c>
      <c r="L4" s="2117"/>
      <c r="M4" s="2118"/>
      <c r="N4" s="2118"/>
      <c r="O4" s="2118"/>
      <c r="P4" s="3394" t="s">
        <v>802</v>
      </c>
      <c r="Q4" s="3395"/>
      <c r="R4" s="3380" t="s">
        <v>798</v>
      </c>
      <c r="S4" s="3381"/>
      <c r="T4" s="3380" t="s">
        <v>799</v>
      </c>
      <c r="U4" s="3381"/>
      <c r="V4" s="3400" t="s">
        <v>800</v>
      </c>
      <c r="W4" s="3400"/>
      <c r="X4" s="1553"/>
      <c r="Y4" s="3380" t="s">
        <v>802</v>
      </c>
      <c r="Z4" s="3381"/>
      <c r="AA4" s="3375" t="s">
        <v>798</v>
      </c>
      <c r="AB4" s="3376" t="s">
        <v>799</v>
      </c>
      <c r="AC4" s="3375" t="s">
        <v>800</v>
      </c>
    </row>
    <row r="5" spans="1:29" ht="15">
      <c r="A5" s="514"/>
      <c r="B5" s="515"/>
      <c r="C5" s="3403" t="s">
        <v>2919</v>
      </c>
      <c r="D5" s="3404"/>
      <c r="E5" s="3418" t="s">
        <v>2920</v>
      </c>
      <c r="F5" s="3419"/>
      <c r="G5" s="3403" t="s">
        <v>2921</v>
      </c>
      <c r="H5" s="3404"/>
      <c r="I5" s="3403" t="s">
        <v>2922</v>
      </c>
      <c r="J5" s="3404"/>
      <c r="K5" s="513"/>
      <c r="L5" s="2117"/>
      <c r="M5" s="2118"/>
      <c r="N5" s="2118"/>
      <c r="O5" s="2118"/>
      <c r="P5" s="3396"/>
      <c r="Q5" s="3397"/>
      <c r="R5" s="3382"/>
      <c r="S5" s="3383"/>
      <c r="T5" s="3382"/>
      <c r="U5" s="3383"/>
      <c r="V5" s="3400"/>
      <c r="W5" s="3400"/>
      <c r="X5" s="1553"/>
      <c r="Y5" s="3382"/>
      <c r="Z5" s="3383"/>
      <c r="AA5" s="3376"/>
      <c r="AB5" s="3376"/>
      <c r="AC5" s="3376"/>
    </row>
    <row r="6" spans="1:29" ht="15.75" thickBot="1">
      <c r="A6" s="516"/>
      <c r="B6" s="517"/>
      <c r="C6" s="3401" t="s">
        <v>2923</v>
      </c>
      <c r="D6" s="3402"/>
      <c r="E6" s="3420" t="s">
        <v>2923</v>
      </c>
      <c r="F6" s="3421"/>
      <c r="G6" s="3401" t="s">
        <v>2923</v>
      </c>
      <c r="H6" s="3402"/>
      <c r="I6" s="3401" t="s">
        <v>2923</v>
      </c>
      <c r="J6" s="3402"/>
      <c r="K6" s="513" t="s">
        <v>527</v>
      </c>
      <c r="L6" s="2117"/>
      <c r="M6" s="2118"/>
      <c r="N6" s="2118"/>
      <c r="O6" s="2118"/>
      <c r="P6" s="3398"/>
      <c r="Q6" s="3399"/>
      <c r="R6" s="3382"/>
      <c r="S6" s="3383"/>
      <c r="T6" s="3384"/>
      <c r="U6" s="3385"/>
      <c r="V6" s="3400"/>
      <c r="W6" s="3400"/>
      <c r="X6" s="1553"/>
      <c r="Y6" s="3384"/>
      <c r="Z6" s="3385"/>
      <c r="AA6" s="3377"/>
      <c r="AB6" s="3377"/>
      <c r="AC6" s="3377"/>
    </row>
    <row r="7" spans="1:29" s="1215" customFormat="1" ht="15.7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78" t="s">
        <v>529</v>
      </c>
      <c r="Q7" s="3387"/>
      <c r="R7" s="1554" t="s">
        <v>8</v>
      </c>
      <c r="S7" s="1555">
        <f t="shared" ref="S7:S14" si="0">F7</f>
        <v>0</v>
      </c>
      <c r="T7" s="1554" t="s">
        <v>8</v>
      </c>
      <c r="U7" s="1555">
        <f t="shared" ref="U7:U14" si="1">H7</f>
        <v>0</v>
      </c>
      <c r="V7" s="1554" t="s">
        <v>8</v>
      </c>
      <c r="W7" s="1555">
        <f t="shared" ref="W7:W14" si="2">J7</f>
        <v>0</v>
      </c>
      <c r="X7" s="1556"/>
      <c r="Y7" s="3378" t="s">
        <v>529</v>
      </c>
      <c r="Z7" s="3379"/>
      <c r="AA7" s="1557" t="e">
        <f>D7/F7</f>
        <v>#DIV/0!</v>
      </c>
      <c r="AB7" s="1557" t="e">
        <f>D7/H7</f>
        <v>#DIV/0!</v>
      </c>
      <c r="AC7" s="1557" t="e">
        <f>D7/J7</f>
        <v>#DIV/0!</v>
      </c>
    </row>
    <row r="8" spans="1:29" s="1215"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78" t="s">
        <v>532</v>
      </c>
      <c r="Q8" s="3379"/>
      <c r="R8" s="1554" t="s">
        <v>8</v>
      </c>
      <c r="S8" s="1555">
        <f t="shared" si="0"/>
        <v>0</v>
      </c>
      <c r="T8" s="1554" t="s">
        <v>8</v>
      </c>
      <c r="U8" s="1555">
        <f t="shared" si="1"/>
        <v>0</v>
      </c>
      <c r="V8" s="1554" t="s">
        <v>8</v>
      </c>
      <c r="W8" s="1555">
        <f t="shared" si="2"/>
        <v>0</v>
      </c>
      <c r="X8" s="1556"/>
      <c r="Y8" s="3378" t="s">
        <v>532</v>
      </c>
      <c r="Z8" s="3379"/>
      <c r="AA8" s="1557" t="e">
        <f t="shared" ref="AA8:AA34" si="3">D8/F8</f>
        <v>#DIV/0!</v>
      </c>
      <c r="AB8" s="1557" t="e">
        <f t="shared" ref="AB8:AB34" si="4">D8/H8</f>
        <v>#DIV/0!</v>
      </c>
      <c r="AC8" s="1557" t="e">
        <f t="shared" ref="AC8:AC34" si="5">D8/J8</f>
        <v>#DIV/0!</v>
      </c>
    </row>
    <row r="9" spans="1:29" s="1215" customFormat="1" ht="15">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86" t="s">
        <v>534</v>
      </c>
      <c r="Q9" s="1146" t="str">
        <f t="shared" ref="Q9:Q14" si="6">B9</f>
        <v>用途</v>
      </c>
      <c r="R9" s="1554" t="s">
        <v>8</v>
      </c>
      <c r="S9" s="1555">
        <f t="shared" si="0"/>
        <v>100</v>
      </c>
      <c r="T9" s="1554" t="s">
        <v>8</v>
      </c>
      <c r="U9" s="1555">
        <f t="shared" si="1"/>
        <v>100</v>
      </c>
      <c r="V9" s="1554" t="s">
        <v>8</v>
      </c>
      <c r="W9" s="1555">
        <f t="shared" si="2"/>
        <v>100</v>
      </c>
      <c r="X9" s="1556"/>
      <c r="Y9" s="3337" t="s">
        <v>535</v>
      </c>
      <c r="Z9" s="1145" t="str">
        <f t="shared" ref="Z9:Z14" si="7">Q9</f>
        <v>用途</v>
      </c>
      <c r="AA9" s="1557">
        <f t="shared" si="3"/>
        <v>1</v>
      </c>
      <c r="AB9" s="1557">
        <f t="shared" si="4"/>
        <v>1</v>
      </c>
      <c r="AC9" s="1557">
        <f t="shared" si="5"/>
        <v>1</v>
      </c>
    </row>
    <row r="10" spans="1:29" s="1333" customFormat="1" ht="27">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86"/>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86"/>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86"/>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86"/>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88" t="s">
        <v>539</v>
      </c>
      <c r="Q14" s="1558" t="str">
        <f t="shared" si="6"/>
        <v>交通便捷度</v>
      </c>
      <c r="R14" s="1559" t="s">
        <v>8</v>
      </c>
      <c r="S14" s="1560">
        <f t="shared" si="0"/>
        <v>100</v>
      </c>
      <c r="T14" s="1559" t="s">
        <v>8</v>
      </c>
      <c r="U14" s="1560">
        <f t="shared" si="1"/>
        <v>100</v>
      </c>
      <c r="V14" s="1559" t="s">
        <v>8</v>
      </c>
      <c r="W14" s="1560">
        <f t="shared" si="2"/>
        <v>100</v>
      </c>
      <c r="X14" s="1553"/>
      <c r="Y14" s="3388"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89"/>
      <c r="Q15" s="1558"/>
      <c r="R15" s="1559"/>
      <c r="S15" s="1560"/>
      <c r="T15" s="1559"/>
      <c r="U15" s="1560"/>
      <c r="V15" s="1559"/>
      <c r="W15" s="1560"/>
      <c r="X15" s="1553"/>
      <c r="Y15" s="3389"/>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89"/>
      <c r="Q17" s="1558"/>
      <c r="R17" s="1559"/>
      <c r="S17" s="1560"/>
      <c r="T17" s="1559"/>
      <c r="U17" s="1560"/>
      <c r="V17" s="1559"/>
      <c r="W17" s="1560"/>
      <c r="X17" s="1553"/>
      <c r="Y17" s="3389"/>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89"/>
      <c r="Q18" s="2542" t="str">
        <f>B18</f>
        <v>基础设施水平</v>
      </c>
      <c r="R18" s="1559" t="s">
        <v>8</v>
      </c>
      <c r="S18" s="1560">
        <f>F18</f>
        <v>100</v>
      </c>
      <c r="T18" s="1559" t="s">
        <v>8</v>
      </c>
      <c r="U18" s="1560">
        <f>H18</f>
        <v>100</v>
      </c>
      <c r="V18" s="1559" t="s">
        <v>8</v>
      </c>
      <c r="W18" s="1560">
        <f>J18</f>
        <v>100</v>
      </c>
      <c r="X18" s="2544"/>
      <c r="Y18" s="3389"/>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89"/>
      <c r="Q19" s="2542"/>
      <c r="R19" s="1559"/>
      <c r="S19" s="1560"/>
      <c r="T19" s="1559"/>
      <c r="U19" s="1560"/>
      <c r="V19" s="1559"/>
      <c r="W19" s="1560"/>
      <c r="X19" s="2544"/>
      <c r="Y19" s="3389"/>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89"/>
      <c r="Q21" s="1558"/>
      <c r="R21" s="1559"/>
      <c r="S21" s="1560"/>
      <c r="T21" s="1559"/>
      <c r="U21" s="1560"/>
      <c r="V21" s="1559"/>
      <c r="W21" s="1560"/>
      <c r="X21" s="1553"/>
      <c r="Y21" s="3389"/>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89"/>
      <c r="Q24" s="1558">
        <f t="shared" ref="Q24:Q34"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90"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1"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91"/>
      <c r="Q27" s="1590" t="str">
        <f t="shared" si="11"/>
        <v>成新率</v>
      </c>
      <c r="R27" s="1563" t="s">
        <v>8</v>
      </c>
      <c r="S27" s="1564" t="e">
        <f t="shared" si="12"/>
        <v>#N/A</v>
      </c>
      <c r="T27" s="1563" t="s">
        <v>8</v>
      </c>
      <c r="U27" s="1564" t="e">
        <f t="shared" si="13"/>
        <v>#N/A</v>
      </c>
      <c r="V27" s="1563" t="s">
        <v>8</v>
      </c>
      <c r="W27" s="1564" t="e">
        <f t="shared" si="14"/>
        <v>#N/A</v>
      </c>
      <c r="X27" s="1565"/>
      <c r="Y27" s="3391"/>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91"/>
      <c r="Q28" s="1558" t="str">
        <f t="shared" si="11"/>
        <v>物业等级</v>
      </c>
      <c r="R28" s="1559" t="s">
        <v>8</v>
      </c>
      <c r="S28" s="1560">
        <f t="shared" si="12"/>
        <v>100</v>
      </c>
      <c r="T28" s="1559" t="s">
        <v>8</v>
      </c>
      <c r="U28" s="1560">
        <f t="shared" si="13"/>
        <v>100</v>
      </c>
      <c r="V28" s="1559" t="s">
        <v>8</v>
      </c>
      <c r="W28" s="1560">
        <f t="shared" si="14"/>
        <v>100</v>
      </c>
      <c r="X28" s="1553"/>
      <c r="Y28" s="3391"/>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91"/>
      <c r="Q29" s="1558" t="str">
        <f t="shared" si="11"/>
        <v>有无电梯</v>
      </c>
      <c r="R29" s="1559" t="s">
        <v>8</v>
      </c>
      <c r="S29" s="1560">
        <f t="shared" si="12"/>
        <v>100</v>
      </c>
      <c r="T29" s="1559" t="s">
        <v>8</v>
      </c>
      <c r="U29" s="1560">
        <f t="shared" si="13"/>
        <v>100</v>
      </c>
      <c r="V29" s="1559" t="s">
        <v>8</v>
      </c>
      <c r="W29" s="1560">
        <f t="shared" si="14"/>
        <v>100</v>
      </c>
      <c r="X29" s="1553"/>
      <c r="Y29" s="3391"/>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91"/>
      <c r="Q30" s="1558" t="str">
        <f t="shared" si="11"/>
        <v>建筑面积</v>
      </c>
      <c r="R30" s="1559" t="s">
        <v>8</v>
      </c>
      <c r="S30" s="1560" t="e">
        <f t="shared" si="12"/>
        <v>#N/A</v>
      </c>
      <c r="T30" s="1559" t="s">
        <v>8</v>
      </c>
      <c r="U30" s="1560" t="e">
        <f t="shared" si="13"/>
        <v>#N/A</v>
      </c>
      <c r="V30" s="1559" t="s">
        <v>8</v>
      </c>
      <c r="W30" s="1560" t="e">
        <f t="shared" si="14"/>
        <v>#N/A</v>
      </c>
      <c r="X30" s="1553"/>
      <c r="Y30" s="3391"/>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91"/>
      <c r="Q31" s="1146" t="str">
        <f t="shared" si="11"/>
        <v>是否封闭</v>
      </c>
      <c r="R31" s="1554" t="s">
        <v>8</v>
      </c>
      <c r="S31" s="1555">
        <f t="shared" si="12"/>
        <v>100</v>
      </c>
      <c r="T31" s="1554" t="s">
        <v>8</v>
      </c>
      <c r="U31" s="1555">
        <f t="shared" si="13"/>
        <v>100</v>
      </c>
      <c r="V31" s="1554" t="s">
        <v>8</v>
      </c>
      <c r="W31" s="1555">
        <f t="shared" si="14"/>
        <v>100</v>
      </c>
      <c r="X31" s="1556"/>
      <c r="Y31" s="3391"/>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91" t="s">
        <v>549</v>
      </c>
      <c r="Q32" s="1558">
        <f t="shared" si="11"/>
        <v>111</v>
      </c>
      <c r="R32" s="1559" t="s">
        <v>8</v>
      </c>
      <c r="S32" s="1560">
        <f t="shared" si="12"/>
        <v>100</v>
      </c>
      <c r="T32" s="1559" t="s">
        <v>8</v>
      </c>
      <c r="U32" s="1560">
        <f t="shared" si="13"/>
        <v>100</v>
      </c>
      <c r="V32" s="1559" t="s">
        <v>8</v>
      </c>
      <c r="W32" s="1560">
        <f t="shared" si="14"/>
        <v>100</v>
      </c>
      <c r="X32" s="1553"/>
      <c r="Y32" s="3391"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91"/>
      <c r="Q33" s="1558">
        <f t="shared" si="11"/>
        <v>111</v>
      </c>
      <c r="R33" s="1559" t="s">
        <v>8</v>
      </c>
      <c r="S33" s="1560">
        <f t="shared" si="12"/>
        <v>100</v>
      </c>
      <c r="T33" s="1559" t="s">
        <v>8</v>
      </c>
      <c r="U33" s="1560">
        <f t="shared" si="13"/>
        <v>100</v>
      </c>
      <c r="V33" s="1559" t="s">
        <v>8</v>
      </c>
      <c r="W33" s="1560">
        <f t="shared" si="14"/>
        <v>100</v>
      </c>
      <c r="X33" s="1553"/>
      <c r="Y33" s="3391"/>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ht="15">
      <c r="A35" s="606" t="s">
        <v>735</v>
      </c>
      <c r="B35" s="886"/>
      <c r="C35" s="2590" t="s">
        <v>1</v>
      </c>
      <c r="D35" s="2591"/>
      <c r="E35" s="2592"/>
      <c r="F35" s="2593"/>
      <c r="G35" s="2594"/>
      <c r="H35" s="2595"/>
      <c r="I35" s="2592"/>
      <c r="J35" s="2595"/>
      <c r="K35" s="1596"/>
      <c r="L35" s="2128"/>
      <c r="M35" s="2129"/>
      <c r="N35" s="2118"/>
      <c r="O35" s="2129"/>
      <c r="P35" s="3386" t="str">
        <f>A35</f>
        <v>成交单价（元/平方米）</v>
      </c>
      <c r="Q35" s="3386"/>
      <c r="R35" s="3484">
        <f>E35</f>
        <v>0</v>
      </c>
      <c r="S35" s="3484"/>
      <c r="T35" s="3484">
        <f>G35</f>
        <v>0</v>
      </c>
      <c r="U35" s="3484"/>
      <c r="V35" s="3484">
        <f>I35</f>
        <v>0</v>
      </c>
      <c r="W35" s="3484"/>
      <c r="X35" s="1545"/>
      <c r="Y35" s="1567"/>
      <c r="Z35" s="1545"/>
      <c r="AA35" s="1545"/>
      <c r="AB35" s="1545"/>
      <c r="AC35" s="1545"/>
    </row>
    <row r="36" spans="1:29" ht="15.7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86" t="str">
        <f>A36</f>
        <v>比较价格（元/平方米）</v>
      </c>
      <c r="Q36" s="3386"/>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5"/>
      <c r="Y36" s="1545"/>
      <c r="Z36" s="1545"/>
      <c r="AA36" s="1545"/>
      <c r="AB36" s="1545"/>
      <c r="AC36" s="1545"/>
    </row>
    <row r="37" spans="1:29" ht="15.75" thickBot="1">
      <c r="A37" s="620" t="s">
        <v>2925</v>
      </c>
      <c r="B37" s="621"/>
      <c r="C37" s="2599" t="e">
        <f>R37</f>
        <v>#DIV/0!</v>
      </c>
      <c r="D37" s="2599"/>
      <c r="E37" s="2599"/>
      <c r="F37" s="2599"/>
      <c r="G37" s="2599"/>
      <c r="H37" s="2599"/>
      <c r="I37" s="2599"/>
      <c r="J37" s="2599"/>
      <c r="K37" s="1598"/>
      <c r="L37" s="2128"/>
      <c r="M37" s="2129"/>
      <c r="N37" s="2129"/>
      <c r="O37" s="2129"/>
      <c r="P37" s="3407" t="str">
        <f>A37</f>
        <v>估价对象XX用房的比较价格（楼面单价，元/平方米）</v>
      </c>
      <c r="Q37" s="3408"/>
      <c r="R37" s="3483" t="e">
        <f>IF(F1="售价",ROUND(AVERAGE(R36:V36),0),ROUND(AVERAGE(R36:V36),1))</f>
        <v>#DIV/0!</v>
      </c>
      <c r="S37" s="3483"/>
      <c r="T37" s="3483"/>
      <c r="U37" s="3483"/>
      <c r="V37" s="3483"/>
      <c r="W37" s="3483"/>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5">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3" t="s">
        <v>2298</v>
      </c>
      <c r="D1" s="3494"/>
      <c r="E1" s="3494"/>
      <c r="F1" s="3494"/>
      <c r="G1" s="3494"/>
      <c r="H1" s="3494"/>
      <c r="I1" s="3494"/>
      <c r="J1" s="3494"/>
      <c r="K1" s="3494"/>
      <c r="L1" s="3494"/>
      <c r="M1" s="3494"/>
      <c r="N1" s="3494"/>
      <c r="O1" s="3494"/>
      <c r="P1" s="3494"/>
      <c r="Q1" s="3494"/>
      <c r="R1" s="3494"/>
      <c r="S1" s="3495"/>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2032</v>
      </c>
      <c r="B1" s="3200"/>
      <c r="C1" s="3200"/>
      <c r="D1" s="3200"/>
      <c r="E1" s="3200"/>
      <c r="F1" s="3200"/>
      <c r="G1" s="3200"/>
      <c r="H1" s="3200"/>
      <c r="I1" s="3200"/>
      <c r="J1" s="3200"/>
      <c r="K1" s="3200"/>
      <c r="L1" s="3200"/>
      <c r="M1" s="3200"/>
      <c r="N1" s="3200"/>
      <c r="O1" s="3200"/>
      <c r="P1" s="3200"/>
      <c r="Q1" s="3200"/>
      <c r="R1" s="3200"/>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1" t="s">
        <v>2023</v>
      </c>
      <c r="B3" s="3201" t="s">
        <v>2724</v>
      </c>
      <c r="C3" s="3202" t="s">
        <v>2024</v>
      </c>
      <c r="D3" s="3201" t="s">
        <v>2728</v>
      </c>
      <c r="E3" s="3204" t="s">
        <v>2025</v>
      </c>
      <c r="F3" s="3204"/>
      <c r="G3" s="3204"/>
      <c r="H3" s="3204" t="s">
        <v>2026</v>
      </c>
      <c r="I3" s="3204"/>
      <c r="J3" s="3204"/>
      <c r="K3" s="3202" t="s">
        <v>2027</v>
      </c>
      <c r="L3" s="3202" t="s">
        <v>2028</v>
      </c>
      <c r="M3" s="3201" t="s">
        <v>2725</v>
      </c>
      <c r="N3" s="3203" t="str">
        <f>"（分摊）"&amp;项目基本情况!B16&amp;"国有建设用地使用权面积/㎡"</f>
        <v>（分摊）出让国有建设用地使用权面积/㎡</v>
      </c>
      <c r="O3" s="3201" t="s">
        <v>2057</v>
      </c>
      <c r="P3" s="3202" t="s">
        <v>2037</v>
      </c>
      <c r="Q3" s="3202" t="s">
        <v>2058</v>
      </c>
      <c r="R3" s="3202" t="s">
        <v>2029</v>
      </c>
    </row>
    <row r="4" spans="1:18" ht="36.75" customHeight="1">
      <c r="A4" s="3201"/>
      <c r="B4" s="3201"/>
      <c r="C4" s="3202"/>
      <c r="D4" s="3201"/>
      <c r="E4" s="2612" t="s">
        <v>2036</v>
      </c>
      <c r="F4" s="2612" t="s">
        <v>2737</v>
      </c>
      <c r="G4" s="2612" t="s">
        <v>2030</v>
      </c>
      <c r="H4" s="2612" t="s">
        <v>2031</v>
      </c>
      <c r="I4" s="2612" t="s">
        <v>2738</v>
      </c>
      <c r="J4" s="2612" t="s">
        <v>2030</v>
      </c>
      <c r="K4" s="3202"/>
      <c r="L4" s="3202"/>
      <c r="M4" s="3201"/>
      <c r="N4" s="3203"/>
      <c r="O4" s="3201"/>
      <c r="P4" s="3202"/>
      <c r="Q4" s="3202"/>
      <c r="R4" s="3202"/>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5208</v>
      </c>
      <c r="Q5" s="1794">
        <f ca="1">结果表!D42</f>
        <v>2083</v>
      </c>
      <c r="R5" s="1795">
        <f ca="1">结果表!C42</f>
        <v>33606</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6">
        <f ca="1">结果表!O39</f>
        <v>33606</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6"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8" t="s">
        <v>2059</v>
      </c>
      <c r="B1" s="3208"/>
      <c r="C1" s="3208"/>
      <c r="D1" s="3208"/>
    </row>
    <row r="2" spans="1:4" ht="47.25" customHeight="1">
      <c r="A2" s="3212" t="str">
        <f>"1.权利限制："&amp;项目基本情况!L24&amp;"未设定租赁等其他他项权利。"</f>
        <v>1.权利限制：根据估价对象《不动产权证书》复印件、，截至估价期日，估价对象抵押权未见登记。未设定租赁等其他他项权利。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2060</v>
      </c>
      <c r="B5" s="3211"/>
      <c r="C5" s="3211"/>
      <c r="D5" s="3211"/>
    </row>
    <row r="6" spans="1:4">
      <c r="A6" s="3208" t="s">
        <v>2038</v>
      </c>
      <c r="B6" s="3208"/>
      <c r="C6" s="3208"/>
      <c r="D6" s="3208"/>
    </row>
    <row r="7" spans="1:4" ht="33" customHeight="1">
      <c r="A7" s="3208" t="s">
        <v>2568</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（1）根据估价对象《不动产权证书》复印件、，截至估价期日，估价对象抵押权未见登记。</v>
      </c>
      <c r="B11" s="3210"/>
      <c r="C11" s="3210"/>
      <c r="D11" s="3210"/>
    </row>
    <row r="12" spans="1:4" ht="168" customHeight="1">
      <c r="A12" s="3211" t="s">
        <v>2062</v>
      </c>
      <c r="B12" s="3211"/>
      <c r="C12" s="3211"/>
      <c r="D12" s="3211"/>
    </row>
    <row r="13" spans="1:4">
      <c r="A13" s="3209" t="s">
        <v>2739</v>
      </c>
      <c r="B13" s="3209"/>
      <c r="C13" s="3209"/>
      <c r="D13" s="3209"/>
    </row>
    <row r="14" spans="1:4">
      <c r="A14" s="3210" t="str">
        <f>IF(项目基本情况!B8="抵押","综上，"&amp;结果表!K47,"——")</f>
        <v>综上，本次评估设定估价对象不存在估价师知悉的法定优先受偿款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2695</v>
      </c>
      <c r="B17" s="3208"/>
      <c r="C17" s="3208"/>
      <c r="D17" s="3208"/>
    </row>
    <row r="18" spans="1:4">
      <c r="A18" s="3208" t="s">
        <v>2687</v>
      </c>
      <c r="B18" s="3208"/>
      <c r="C18" s="3208"/>
      <c r="D18" s="3208"/>
    </row>
    <row r="19" spans="1:4">
      <c r="A19" s="2822" t="s">
        <v>2688</v>
      </c>
      <c r="B19" s="2822" t="s">
        <v>2689</v>
      </c>
      <c r="C19" s="2822" t="s">
        <v>2690</v>
      </c>
      <c r="D19" s="2822" t="s">
        <v>2691</v>
      </c>
    </row>
    <row r="20" spans="1:4">
      <c r="A20" s="2822" t="str">
        <f>项目基本情况!B4</f>
        <v>崔锴</v>
      </c>
      <c r="B20" s="2822">
        <f ca="1">项目基本情况!C4</f>
        <v>2010110070</v>
      </c>
      <c r="C20" s="2824"/>
      <c r="D20" s="1784" t="s">
        <v>2696</v>
      </c>
    </row>
    <row r="21" spans="1:4">
      <c r="A21" s="2822" t="str">
        <f>项目基本情况!D4</f>
        <v>赵雯</v>
      </c>
      <c r="B21" s="2822">
        <f ca="1">项目基本情况!E4</f>
        <v>2011110090</v>
      </c>
      <c r="C21" s="2824"/>
      <c r="D21" s="1784" t="s">
        <v>2697</v>
      </c>
    </row>
    <row r="23" spans="1:4">
      <c r="A23" s="3208" t="s">
        <v>2692</v>
      </c>
      <c r="B23" s="3208"/>
      <c r="C23" s="3208"/>
      <c r="D23" s="3208"/>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0" t="s">
        <v>53</v>
      </c>
      <c r="B15" s="3221" t="s">
        <v>845</v>
      </c>
      <c r="C15" s="3217"/>
    </row>
    <row r="16" spans="1:7" ht="14.25">
      <c r="A16" s="3220"/>
      <c r="B16" s="3218" t="s">
        <v>54</v>
      </c>
      <c r="C16" s="1167" t="s">
        <v>53</v>
      </c>
    </row>
    <row r="17" spans="1:3" ht="14.25">
      <c r="A17" s="3220"/>
      <c r="B17" s="3218"/>
      <c r="C17" s="1167" t="s">
        <v>55</v>
      </c>
    </row>
    <row r="18" spans="1:3" ht="14.25">
      <c r="A18" s="3220"/>
      <c r="B18" s="3218"/>
      <c r="C18" s="1167" t="s">
        <v>56</v>
      </c>
    </row>
    <row r="19" spans="1:3" ht="14.25">
      <c r="A19" s="3220"/>
      <c r="B19" s="3216" t="s">
        <v>57</v>
      </c>
      <c r="C19" s="3217"/>
    </row>
    <row r="20" spans="1:3" ht="14.25">
      <c r="A20" s="1168" t="s">
        <v>58</v>
      </c>
      <c r="B20" s="1169"/>
      <c r="C20" s="1170"/>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1" t="s">
        <v>836</v>
      </c>
    </row>
    <row r="25" spans="1:3" ht="14.25">
      <c r="A25" s="3219"/>
      <c r="B25" s="3223"/>
      <c r="C25" s="1171" t="s">
        <v>837</v>
      </c>
    </row>
    <row r="26" spans="1:3" ht="14.25">
      <c r="A26" s="3219"/>
      <c r="B26" s="3223"/>
      <c r="C26" s="1171" t="s">
        <v>838</v>
      </c>
    </row>
    <row r="27" spans="1:3" ht="14.25">
      <c r="A27" s="3219"/>
      <c r="B27" s="3223"/>
      <c r="C27" s="1171" t="s">
        <v>839</v>
      </c>
    </row>
    <row r="28" spans="1:3" ht="14.25">
      <c r="A28" s="3219"/>
      <c r="B28" s="3223"/>
      <c r="C28" s="1171" t="s">
        <v>840</v>
      </c>
    </row>
    <row r="29" spans="1:3" ht="14.25">
      <c r="A29" s="3219"/>
      <c r="B29" s="3223"/>
      <c r="C29" s="1171" t="s">
        <v>841</v>
      </c>
    </row>
    <row r="30" spans="1:3" ht="14.25">
      <c r="A30" s="3219"/>
      <c r="B30" s="3223"/>
      <c r="C30" s="1171" t="s">
        <v>842</v>
      </c>
    </row>
    <row r="31" spans="1:3" ht="14.25">
      <c r="A31" s="3219"/>
      <c r="B31" s="3223"/>
      <c r="C31" s="1171" t="s">
        <v>843</v>
      </c>
    </row>
    <row r="32" spans="1:3" ht="14.25">
      <c r="A32" s="3219"/>
      <c r="B32" s="3223"/>
      <c r="C32" s="1171" t="s">
        <v>1645</v>
      </c>
    </row>
    <row r="33" spans="1:3" ht="14.25">
      <c r="A33" s="3219"/>
      <c r="B33" s="3213" t="s">
        <v>1651</v>
      </c>
      <c r="C33" s="1171" t="s">
        <v>1646</v>
      </c>
    </row>
    <row r="34" spans="1:3" ht="14.25">
      <c r="A34" s="3219"/>
      <c r="B34" s="3214"/>
      <c r="C34" s="1176" t="s">
        <v>1647</v>
      </c>
    </row>
    <row r="35" spans="1:3" ht="14.25">
      <c r="A35" s="3219"/>
      <c r="B35" s="3214"/>
      <c r="C35" s="1177" t="s">
        <v>1648</v>
      </c>
    </row>
    <row r="36" spans="1:3" ht="14.25">
      <c r="A36" s="3219"/>
      <c r="B36" s="3214"/>
      <c r="C36" s="1177" t="s">
        <v>1649</v>
      </c>
    </row>
    <row r="37" spans="1:3" ht="14.25">
      <c r="A37" s="3219"/>
      <c r="B37" s="3215"/>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43972</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2970</v>
      </c>
      <c r="B14" s="3129">
        <f ca="1">IF(C14&lt;B2,"已过期",1120040230)</f>
        <v>1120040230</v>
      </c>
      <c r="C14" s="3133">
        <v>44864</v>
      </c>
      <c r="D14" s="3134" t="s">
        <v>2971</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2984</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2986</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4" t="s">
        <v>1922</v>
      </c>
      <c r="B25" s="3224"/>
      <c r="C25" s="3224"/>
      <c r="D25" s="3224"/>
      <c r="E25" s="3224"/>
      <c r="F25" s="3224"/>
      <c r="G25" s="3224"/>
    </row>
    <row r="26" spans="1:7" ht="20.25" customHeight="1">
      <c r="A26" s="3225" t="s">
        <v>1923</v>
      </c>
      <c r="B26" s="3225"/>
      <c r="C26" s="3225"/>
      <c r="D26" s="3225" t="s">
        <v>1924</v>
      </c>
      <c r="E26" s="3225"/>
      <c r="F26" s="3225"/>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2985</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62" t="s">
        <v>2944</v>
      </c>
      <c r="C18" s="1540"/>
    </row>
    <row r="19" spans="1:3">
      <c r="A19" s="8" t="s">
        <v>120</v>
      </c>
      <c r="B19" s="3062" t="s">
        <v>2952</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6"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6"/>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6"/>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6"/>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6"/>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2020-05-21T07:46:33Z</dcterms:modified>
</cp:coreProperties>
</file>